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55" activeTab="2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세입!$A$1:$Y$224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45621"/>
</workbook>
</file>

<file path=xl/calcChain.xml><?xml version="1.0" encoding="utf-8"?>
<calcChain xmlns="http://schemas.openxmlformats.org/spreadsheetml/2006/main">
  <c r="X199" i="4" l="1"/>
  <c r="X189" i="4" l="1"/>
  <c r="X63" i="4" l="1"/>
  <c r="X69" i="4"/>
  <c r="AD182" i="31" l="1"/>
  <c r="AD179" i="31"/>
  <c r="AD174" i="31"/>
  <c r="AD167" i="31"/>
  <c r="AD159" i="31"/>
  <c r="AD143" i="31"/>
  <c r="AD126" i="31"/>
  <c r="AD93" i="31"/>
  <c r="AD75" i="31"/>
  <c r="AD67" i="31"/>
  <c r="AD57" i="31"/>
  <c r="AD31" i="31"/>
  <c r="X27" i="4"/>
  <c r="X156" i="4"/>
  <c r="AD89" i="31" l="1"/>
  <c r="AD152" i="31" l="1"/>
  <c r="AD137" i="31"/>
  <c r="X77" i="4"/>
  <c r="X75" i="4"/>
  <c r="X73" i="4"/>
  <c r="X71" i="4"/>
  <c r="X76" i="4"/>
  <c r="X74" i="4"/>
  <c r="X72" i="4"/>
  <c r="X65" i="4"/>
  <c r="X7" i="4" l="1"/>
  <c r="X211" i="4" l="1"/>
  <c r="AD90" i="31" l="1"/>
  <c r="AD14" i="31" l="1"/>
  <c r="E13" i="4" l="1"/>
  <c r="E22" i="4"/>
  <c r="E86" i="4"/>
  <c r="E144" i="4"/>
  <c r="E148" i="4"/>
  <c r="E155" i="4"/>
  <c r="E161" i="4"/>
  <c r="E164" i="4"/>
  <c r="E168" i="4"/>
  <c r="E172" i="4"/>
  <c r="E177" i="4"/>
  <c r="E198" i="4"/>
  <c r="E203" i="4"/>
  <c r="E207" i="4"/>
  <c r="E210" i="4"/>
  <c r="E218" i="4"/>
  <c r="I26" i="18"/>
  <c r="I24" i="18"/>
  <c r="I17" i="18"/>
  <c r="I12" i="18"/>
  <c r="I8" i="18"/>
  <c r="D22" i="18"/>
  <c r="D20" i="18"/>
  <c r="D15" i="18"/>
  <c r="D10" i="18"/>
  <c r="D8" i="18"/>
  <c r="E176" i="4" l="1"/>
  <c r="E167" i="4"/>
  <c r="I7" i="18"/>
  <c r="E206" i="4"/>
  <c r="E160" i="4"/>
  <c r="D7" i="18"/>
  <c r="E147" i="4"/>
  <c r="E12" i="4"/>
  <c r="E4" i="4" l="1"/>
  <c r="AD17" i="31"/>
  <c r="AD173" i="31" l="1"/>
  <c r="AD172" i="31"/>
  <c r="AD175" i="31"/>
  <c r="AD176" i="31"/>
  <c r="AD177" i="31"/>
  <c r="AD135" i="31"/>
  <c r="K18" i="18" l="1"/>
  <c r="K20" i="18"/>
  <c r="K21" i="18"/>
  <c r="X78" i="4" l="1"/>
  <c r="X70" i="4"/>
  <c r="X178" i="4" l="1"/>
  <c r="AD88" i="31" l="1"/>
  <c r="F16" i="18" l="1"/>
  <c r="K27" i="18" l="1"/>
  <c r="E15" i="18" l="1"/>
  <c r="X28" i="4" l="1"/>
  <c r="F23" i="18"/>
  <c r="F19" i="18"/>
  <c r="F18" i="18" s="1"/>
  <c r="F17" i="18"/>
  <c r="F15" i="18" s="1"/>
  <c r="K22" i="18"/>
  <c r="K13" i="18" l="1"/>
  <c r="F13" i="18"/>
  <c r="AD79" i="31" l="1"/>
  <c r="F156" i="4" l="1"/>
  <c r="AD105" i="31"/>
  <c r="AD184" i="31" l="1"/>
  <c r="AD96" i="31" l="1"/>
  <c r="K10" i="18" l="1"/>
  <c r="G197" i="31" l="1"/>
  <c r="X64" i="4"/>
  <c r="AD23" i="31" l="1"/>
  <c r="AD20" i="31"/>
  <c r="D62" i="31"/>
  <c r="M128" i="4"/>
  <c r="M105" i="4"/>
  <c r="X105" i="4" s="1"/>
  <c r="M102" i="4"/>
  <c r="M99" i="4"/>
  <c r="M96" i="4"/>
  <c r="M92" i="4"/>
  <c r="X38" i="4"/>
  <c r="X41" i="4"/>
  <c r="D190" i="31" l="1"/>
  <c r="L197" i="31"/>
  <c r="K197" i="31"/>
  <c r="J197" i="31"/>
  <c r="I197" i="31"/>
  <c r="H197" i="31"/>
  <c r="F197" i="31"/>
  <c r="L191" i="31"/>
  <c r="K191" i="31"/>
  <c r="J191" i="31"/>
  <c r="I191" i="31"/>
  <c r="H191" i="31"/>
  <c r="G191" i="31"/>
  <c r="G190" i="31" s="1"/>
  <c r="F191" i="31"/>
  <c r="AD197" i="31"/>
  <c r="E197" i="31" s="1"/>
  <c r="M197" i="31" s="1"/>
  <c r="N197" i="31" s="1"/>
  <c r="AD191" i="31"/>
  <c r="E191" i="31" s="1"/>
  <c r="D158" i="31"/>
  <c r="J26" i="18"/>
  <c r="K26" i="18"/>
  <c r="J24" i="18"/>
  <c r="K25" i="18"/>
  <c r="K24" i="18" s="1"/>
  <c r="J190" i="31" l="1"/>
  <c r="F190" i="31"/>
  <c r="K190" i="31"/>
  <c r="H190" i="31"/>
  <c r="L190" i="31"/>
  <c r="I190" i="31"/>
  <c r="AD190" i="31"/>
  <c r="AD94" i="31"/>
  <c r="AD73" i="31" l="1"/>
  <c r="X104" i="4" l="1"/>
  <c r="M108" i="4"/>
  <c r="M112" i="4" s="1"/>
  <c r="X112" i="4" s="1"/>
  <c r="X108" i="4" l="1"/>
  <c r="X107" i="4" s="1"/>
  <c r="M124" i="4"/>
  <c r="X124" i="4" s="1"/>
  <c r="M121" i="4"/>
  <c r="X121" i="4" s="1"/>
  <c r="M115" i="4"/>
  <c r="X115" i="4" s="1"/>
  <c r="M44" i="4"/>
  <c r="X44" i="4" s="1"/>
  <c r="X40" i="4"/>
  <c r="E22" i="18" l="1"/>
  <c r="E20" i="18"/>
  <c r="J164" i="31"/>
  <c r="AD183" i="31" l="1"/>
  <c r="AD180" i="31"/>
  <c r="J179" i="31" s="1"/>
  <c r="AD171" i="31"/>
  <c r="AD170" i="31" s="1"/>
  <c r="F170" i="31"/>
  <c r="G170" i="31"/>
  <c r="H170" i="31"/>
  <c r="I170" i="31"/>
  <c r="K170" i="31"/>
  <c r="L170" i="31"/>
  <c r="AD168" i="31"/>
  <c r="AD164" i="31"/>
  <c r="E164" i="31" s="1"/>
  <c r="M164" i="31" s="1"/>
  <c r="N164" i="31" s="1"/>
  <c r="L164" i="31"/>
  <c r="K164" i="31"/>
  <c r="I164" i="31"/>
  <c r="H164" i="31"/>
  <c r="G164" i="31"/>
  <c r="F164" i="31"/>
  <c r="AD162" i="31"/>
  <c r="AD161" i="31"/>
  <c r="AD160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87" i="31"/>
  <c r="AD86" i="31"/>
  <c r="AD78" i="31"/>
  <c r="AD77" i="31"/>
  <c r="E170" i="31" l="1"/>
  <c r="M170" i="31" s="1"/>
  <c r="N170" i="31" s="1"/>
  <c r="AD85" i="31"/>
  <c r="J170" i="31"/>
  <c r="AD103" i="31"/>
  <c r="AD134" i="31"/>
  <c r="H188" i="31" l="1"/>
  <c r="G188" i="31"/>
  <c r="H182" i="31"/>
  <c r="G182" i="31"/>
  <c r="H179" i="31"/>
  <c r="G179" i="31"/>
  <c r="H174" i="31"/>
  <c r="G174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5" i="31"/>
  <c r="G85" i="31"/>
  <c r="G65" i="31"/>
  <c r="H65" i="31"/>
  <c r="H63" i="31"/>
  <c r="G63" i="31"/>
  <c r="H67" i="31"/>
  <c r="G67" i="31"/>
  <c r="H75" i="31"/>
  <c r="G75" i="31"/>
  <c r="H13" i="31"/>
  <c r="G13" i="31"/>
  <c r="H30" i="31"/>
  <c r="G30" i="31"/>
  <c r="H38" i="31"/>
  <c r="G38" i="31"/>
  <c r="H57" i="31"/>
  <c r="G57" i="31"/>
  <c r="H158" i="31" l="1"/>
  <c r="G158" i="31"/>
  <c r="S32" i="31"/>
  <c r="AD32" i="31" s="1"/>
  <c r="AD7" i="31"/>
  <c r="H10" i="31"/>
  <c r="G10" i="31"/>
  <c r="H7" i="31"/>
  <c r="G7" i="31"/>
  <c r="N188" i="31"/>
  <c r="L188" i="31"/>
  <c r="L187" i="31" s="1"/>
  <c r="K188" i="31"/>
  <c r="K187" i="31" s="1"/>
  <c r="J188" i="31"/>
  <c r="J187" i="31" s="1"/>
  <c r="I188" i="31"/>
  <c r="I187" i="31" s="1"/>
  <c r="H187" i="31"/>
  <c r="G187" i="31"/>
  <c r="F188" i="31"/>
  <c r="F187" i="31" s="1"/>
  <c r="E188" i="31"/>
  <c r="E187" i="31" s="1"/>
  <c r="AD187" i="31"/>
  <c r="D187" i="31"/>
  <c r="N187" i="31" s="1"/>
  <c r="E182" i="31"/>
  <c r="M182" i="31" s="1"/>
  <c r="K182" i="31"/>
  <c r="J182" i="31"/>
  <c r="I182" i="31"/>
  <c r="F182" i="31"/>
  <c r="E179" i="31"/>
  <c r="L179" i="31"/>
  <c r="K179" i="31"/>
  <c r="I179" i="31"/>
  <c r="F179" i="31"/>
  <c r="E174" i="31"/>
  <c r="L174" i="31"/>
  <c r="K174" i="31"/>
  <c r="J174" i="31"/>
  <c r="I174" i="31"/>
  <c r="F174" i="31"/>
  <c r="E167" i="31"/>
  <c r="L167" i="31"/>
  <c r="K167" i="31"/>
  <c r="J167" i="31"/>
  <c r="I167" i="31"/>
  <c r="F167" i="3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E143" i="3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5" i="31"/>
  <c r="K75" i="31"/>
  <c r="AD72" i="31"/>
  <c r="E72" i="31" s="1"/>
  <c r="L72" i="31"/>
  <c r="K72" i="31"/>
  <c r="J72" i="31"/>
  <c r="I72" i="31"/>
  <c r="H72" i="31"/>
  <c r="G72" i="31"/>
  <c r="F72" i="31"/>
  <c r="E67" i="3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AD13" i="31" s="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2" i="31" l="1"/>
  <c r="L158" i="31"/>
  <c r="K158" i="31"/>
  <c r="I158" i="31"/>
  <c r="J158" i="31"/>
  <c r="F158" i="31"/>
  <c r="J75" i="31"/>
  <c r="J71" i="31" s="1"/>
  <c r="E75" i="31"/>
  <c r="E159" i="31"/>
  <c r="E158" i="31" s="1"/>
  <c r="AD158" i="31"/>
  <c r="G134" i="31"/>
  <c r="G150" i="31"/>
  <c r="E13" i="31"/>
  <c r="D132" i="31"/>
  <c r="D5" i="31"/>
  <c r="L134" i="31"/>
  <c r="L133" i="31" s="1"/>
  <c r="E126" i="31"/>
  <c r="AD155" i="31"/>
  <c r="E155" i="31" s="1"/>
  <c r="M155" i="31" s="1"/>
  <c r="N155" i="31" s="1"/>
  <c r="F85" i="31"/>
  <c r="I62" i="31"/>
  <c r="L103" i="31"/>
  <c r="I75" i="31"/>
  <c r="H111" i="31"/>
  <c r="H110" i="31" s="1"/>
  <c r="I6" i="31"/>
  <c r="M187" i="31"/>
  <c r="F75" i="31"/>
  <c r="E93" i="31"/>
  <c r="M93" i="31" s="1"/>
  <c r="N93" i="31" s="1"/>
  <c r="J62" i="31"/>
  <c r="L111" i="31"/>
  <c r="L110" i="31" s="1"/>
  <c r="K103" i="31"/>
  <c r="M188" i="31"/>
  <c r="M179" i="31"/>
  <c r="N179" i="31" s="1"/>
  <c r="M143" i="31"/>
  <c r="N143" i="31" s="1"/>
  <c r="M167" i="31"/>
  <c r="N167" i="31" s="1"/>
  <c r="K13" i="31"/>
  <c r="L6" i="31"/>
  <c r="F134" i="31"/>
  <c r="M174" i="31"/>
  <c r="N174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E57" i="31"/>
  <c r="AD62" i="31"/>
  <c r="I111" i="31"/>
  <c r="I110" i="31" s="1"/>
  <c r="S41" i="31"/>
  <c r="AD41" i="31" s="1"/>
  <c r="J111" i="31"/>
  <c r="J110" i="31" s="1"/>
  <c r="F126" i="31"/>
  <c r="E85" i="31"/>
  <c r="F93" i="31"/>
  <c r="AD99" i="31"/>
  <c r="E99" i="31" s="1"/>
  <c r="G71" i="31"/>
  <c r="J134" i="31"/>
  <c r="F155" i="31"/>
  <c r="K67" i="31"/>
  <c r="K62" i="31" s="1"/>
  <c r="J5" i="31" l="1"/>
  <c r="D4" i="31"/>
  <c r="M191" i="31"/>
  <c r="N191" i="31" s="1"/>
  <c r="E190" i="31"/>
  <c r="M190" i="31" s="1"/>
  <c r="N190" i="31" s="1"/>
  <c r="M159" i="31"/>
  <c r="M158" i="31" s="1"/>
  <c r="N158" i="31" s="1"/>
  <c r="M126" i="31"/>
  <c r="N126" i="31" s="1"/>
  <c r="F30" i="31"/>
  <c r="AD111" i="31"/>
  <c r="AD110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AD44" i="31" s="1"/>
  <c r="F71" i="31"/>
  <c r="F111" i="31"/>
  <c r="F110" i="31" s="1"/>
  <c r="M85" i="31"/>
  <c r="N85" i="31" s="1"/>
  <c r="M7" i="31"/>
  <c r="N7" i="31" s="1"/>
  <c r="M99" i="31"/>
  <c r="N99" i="31" s="1"/>
  <c r="G133" i="31"/>
  <c r="G132" i="31" s="1"/>
  <c r="F133" i="31"/>
  <c r="F132" i="31" s="1"/>
  <c r="I4" i="31" l="1"/>
  <c r="N159" i="31"/>
  <c r="H4" i="31"/>
  <c r="J4" i="31"/>
  <c r="L4" i="31"/>
  <c r="AD71" i="31"/>
  <c r="AD34" i="31"/>
  <c r="AD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M110" i="31" s="1"/>
  <c r="N110" i="31" s="1"/>
  <c r="AD40" i="31"/>
  <c r="S50" i="31"/>
  <c r="AD50" i="31" s="1"/>
  <c r="E30" i="31" l="1"/>
  <c r="M30" i="31" s="1"/>
  <c r="N30" i="31" s="1"/>
  <c r="K38" i="31"/>
  <c r="G6" i="31"/>
  <c r="G5" i="31" s="1"/>
  <c r="G4" i="31" s="1"/>
  <c r="S47" i="31"/>
  <c r="AD47" i="31" s="1"/>
  <c r="AD43" i="31"/>
  <c r="M132" i="31"/>
  <c r="N132" i="31" s="1"/>
  <c r="N133" i="31"/>
  <c r="S53" i="31"/>
  <c r="AD53" i="31" s="1"/>
  <c r="K6" i="31" l="1"/>
  <c r="K5" i="31" s="1"/>
  <c r="K4" i="31" s="1"/>
  <c r="AD52" i="31"/>
  <c r="AD49" i="31"/>
  <c r="AD46" i="31"/>
  <c r="F38" i="31"/>
  <c r="AD38" i="31" l="1"/>
  <c r="F6" i="31"/>
  <c r="E38" i="31" l="1"/>
  <c r="E6" i="31" s="1"/>
  <c r="AD6" i="31"/>
  <c r="AD5" i="31" s="1"/>
  <c r="AD4" i="31" s="1"/>
  <c r="F5" i="31"/>
  <c r="F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42" i="4" l="1"/>
  <c r="X102" i="4"/>
  <c r="X99" i="4"/>
  <c r="X96" i="4"/>
  <c r="X92" i="4"/>
  <c r="X101" i="4" l="1"/>
  <c r="X98" i="4"/>
  <c r="X95" i="4"/>
  <c r="X91" i="4"/>
  <c r="X123" i="4"/>
  <c r="M48" i="4"/>
  <c r="X48" i="4" s="1"/>
  <c r="X35" i="4"/>
  <c r="X32" i="4"/>
  <c r="X94" i="4" l="1"/>
  <c r="X34" i="4"/>
  <c r="X120" i="4"/>
  <c r="X111" i="4"/>
  <c r="M118" i="4"/>
  <c r="X118" i="4" s="1"/>
  <c r="X37" i="4"/>
  <c r="M51" i="4"/>
  <c r="X51" i="4" s="1"/>
  <c r="M57" i="4"/>
  <c r="X57" i="4" s="1"/>
  <c r="X47" i="4"/>
  <c r="M60" i="4"/>
  <c r="X60" i="4" s="1"/>
  <c r="X31" i="4"/>
  <c r="M54" i="4" l="1"/>
  <c r="X114" i="4"/>
  <c r="X117" i="4"/>
  <c r="X56" i="4"/>
  <c r="X59" i="4"/>
  <c r="X6" i="4"/>
  <c r="X5" i="4" s="1"/>
  <c r="X54" i="4" l="1"/>
  <c r="X53" i="4" s="1"/>
  <c r="X110" i="4"/>
  <c r="X90" i="4" s="1"/>
  <c r="X50" i="4"/>
  <c r="X46" i="4" l="1"/>
  <c r="X155" i="4" l="1"/>
  <c r="X15" i="4"/>
  <c r="X224" i="4" l="1"/>
  <c r="X181" i="4"/>
  <c r="J17" i="18" l="1"/>
  <c r="J12" i="18"/>
  <c r="J8" i="18"/>
  <c r="K23" i="18"/>
  <c r="K19" i="18"/>
  <c r="K15" i="18"/>
  <c r="K11" i="18"/>
  <c r="E10" i="18"/>
  <c r="E8" i="18"/>
  <c r="K17" i="18" l="1"/>
  <c r="J7" i="18"/>
  <c r="E7" i="18"/>
  <c r="X139" i="4" l="1"/>
  <c r="X138" i="4" s="1"/>
  <c r="X128" i="4"/>
  <c r="X18" i="4"/>
  <c r="F17" i="4" l="1"/>
  <c r="G17" i="4" s="1"/>
  <c r="H17" i="4" s="1"/>
  <c r="X67" i="4" l="1"/>
  <c r="F20" i="4"/>
  <c r="G20" i="4" s="1"/>
  <c r="H20" i="4" s="1"/>
  <c r="X133" i="4" l="1"/>
  <c r="X132" i="4"/>
  <c r="X131" i="4"/>
  <c r="H204" i="4" l="1"/>
  <c r="H203" i="4"/>
  <c r="H208" i="4" l="1"/>
  <c r="H207" i="4"/>
  <c r="H169" i="4"/>
  <c r="H168" i="4"/>
  <c r="H165" i="4"/>
  <c r="H162" i="4"/>
  <c r="X154" i="4"/>
  <c r="X153" i="4" s="1"/>
  <c r="F153" i="4" s="1"/>
  <c r="G153" i="4" s="1"/>
  <c r="H153" i="4" s="1"/>
  <c r="X223" i="4"/>
  <c r="X219" i="4" s="1"/>
  <c r="F219" i="4" l="1"/>
  <c r="F218" i="4" s="1"/>
  <c r="G218" i="4" s="1"/>
  <c r="H218" i="4" s="1"/>
  <c r="G219" i="4" l="1"/>
  <c r="H219" i="4" s="1"/>
  <c r="X198" i="4" l="1"/>
  <c r="F189" i="4"/>
  <c r="G189" i="4" s="1"/>
  <c r="H189" i="4" s="1"/>
  <c r="X185" i="4"/>
  <c r="F185" i="4" s="1"/>
  <c r="G185" i="4" s="1"/>
  <c r="H185" i="4" s="1"/>
  <c r="F181" i="4"/>
  <c r="G181" i="4" s="1"/>
  <c r="H181" i="4" s="1"/>
  <c r="F178" i="4"/>
  <c r="G178" i="4" s="1"/>
  <c r="H178" i="4" s="1"/>
  <c r="H164" i="4"/>
  <c r="H161" i="4"/>
  <c r="X164" i="4"/>
  <c r="X162" i="4"/>
  <c r="X161" i="4" s="1"/>
  <c r="F165" i="4"/>
  <c r="X84" i="4"/>
  <c r="X83" i="4" s="1"/>
  <c r="F83" i="4" s="1"/>
  <c r="G83" i="4" s="1"/>
  <c r="H83" i="4" s="1"/>
  <c r="X81" i="4"/>
  <c r="X80" i="4" s="1"/>
  <c r="X134" i="4"/>
  <c r="X136" i="4"/>
  <c r="X43" i="4"/>
  <c r="X30" i="4" s="1"/>
  <c r="F211" i="4" l="1"/>
  <c r="G211" i="4" s="1"/>
  <c r="H211" i="4" s="1"/>
  <c r="X210" i="4"/>
  <c r="F162" i="4"/>
  <c r="G162" i="4" s="1"/>
  <c r="F173" i="4"/>
  <c r="F63" i="4"/>
  <c r="G63" i="4" s="1"/>
  <c r="H63" i="4" s="1"/>
  <c r="F164" i="4"/>
  <c r="G164" i="4" s="1"/>
  <c r="G165" i="4"/>
  <c r="X141" i="4"/>
  <c r="F141" i="4" s="1"/>
  <c r="G141" i="4" s="1"/>
  <c r="H141" i="4" s="1"/>
  <c r="X127" i="4"/>
  <c r="X160" i="4"/>
  <c r="X177" i="4"/>
  <c r="F199" i="4"/>
  <c r="F177" i="4"/>
  <c r="G177" i="4" s="1"/>
  <c r="H177" i="4" s="1"/>
  <c r="F69" i="4"/>
  <c r="G69" i="4" s="1"/>
  <c r="H69" i="4" s="1"/>
  <c r="X130" i="4"/>
  <c r="F130" i="4" s="1"/>
  <c r="G130" i="4" s="1"/>
  <c r="H130" i="4" s="1"/>
  <c r="F210" i="4" l="1"/>
  <c r="G210" i="4" s="1"/>
  <c r="H210" i="4" s="1"/>
  <c r="F161" i="4"/>
  <c r="G161" i="4" s="1"/>
  <c r="F172" i="4"/>
  <c r="G172" i="4" s="1"/>
  <c r="H172" i="4" s="1"/>
  <c r="G173" i="4"/>
  <c r="H173" i="4" s="1"/>
  <c r="H160" i="4"/>
  <c r="F198" i="4"/>
  <c r="G198" i="4" s="1"/>
  <c r="H198" i="4" s="1"/>
  <c r="G199" i="4"/>
  <c r="H199" i="4" s="1"/>
  <c r="F160" i="4" l="1"/>
  <c r="G160" i="4" s="1"/>
  <c r="F90" i="4"/>
  <c r="G90" i="4" s="1"/>
  <c r="H90" i="4" s="1"/>
  <c r="F80" i="4"/>
  <c r="G80" i="4" s="1"/>
  <c r="H80" i="4" s="1"/>
  <c r="F138" i="4" l="1"/>
  <c r="G138" i="4" s="1"/>
  <c r="H138" i="4" s="1"/>
  <c r="X26" i="4" l="1"/>
  <c r="F26" i="4" l="1"/>
  <c r="G26" i="4" s="1"/>
  <c r="H26" i="4" s="1"/>
  <c r="X24" i="4" l="1"/>
  <c r="X10" i="4"/>
  <c r="F145" i="4"/>
  <c r="X218" i="4"/>
  <c r="X209" i="4"/>
  <c r="X208" i="4" s="1"/>
  <c r="F208" i="4" s="1"/>
  <c r="X204" i="4"/>
  <c r="X172" i="4"/>
  <c r="X169" i="4"/>
  <c r="X144" i="4"/>
  <c r="F127" i="4" s="1"/>
  <c r="G127" i="4" s="1"/>
  <c r="H127" i="4" s="1"/>
  <c r="X88" i="4"/>
  <c r="F207" i="4" l="1"/>
  <c r="G208" i="4"/>
  <c r="F144" i="4"/>
  <c r="G144" i="4" s="1"/>
  <c r="H144" i="4" s="1"/>
  <c r="G145" i="4"/>
  <c r="H145" i="4" s="1"/>
  <c r="X168" i="4"/>
  <c r="F169" i="4"/>
  <c r="X203" i="4"/>
  <c r="X176" i="4" s="1"/>
  <c r="F204" i="4"/>
  <c r="X14" i="4"/>
  <c r="X13" i="4" s="1"/>
  <c r="X87" i="4"/>
  <c r="X23" i="4"/>
  <c r="X22" i="4" s="1"/>
  <c r="X207" i="4"/>
  <c r="X206" i="4" s="1"/>
  <c r="X167" i="4"/>
  <c r="F206" i="4" l="1"/>
  <c r="G206" i="4" s="1"/>
  <c r="H206" i="4" s="1"/>
  <c r="G207" i="4"/>
  <c r="F203" i="4"/>
  <c r="G204" i="4"/>
  <c r="F168" i="4"/>
  <c r="G169" i="4"/>
  <c r="F87" i="4"/>
  <c r="X86" i="4"/>
  <c r="X12" i="4" s="1"/>
  <c r="F14" i="4"/>
  <c r="F13" i="4" s="1"/>
  <c r="F23" i="4"/>
  <c r="F10" i="4"/>
  <c r="G10" i="4" s="1"/>
  <c r="H10" i="4"/>
  <c r="X8" i="4"/>
  <c r="F167" i="4" l="1"/>
  <c r="G167" i="4" s="1"/>
  <c r="H167" i="4" s="1"/>
  <c r="G168" i="4"/>
  <c r="F176" i="4"/>
  <c r="G176" i="4" s="1"/>
  <c r="H176" i="4" s="1"/>
  <c r="G203" i="4"/>
  <c r="F86" i="4"/>
  <c r="G86" i="4" s="1"/>
  <c r="H86" i="4" s="1"/>
  <c r="G87" i="4"/>
  <c r="H87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/>
  <c r="F20" i="18" s="1"/>
  <c r="K14" i="18"/>
  <c r="K12" i="18" s="1"/>
  <c r="F14" i="18"/>
  <c r="F12" i="18"/>
  <c r="F11" i="18"/>
  <c r="K9" i="18"/>
  <c r="K8" i="18" s="1"/>
  <c r="F9" i="18"/>
  <c r="F8" i="18" s="1"/>
  <c r="F10" i="18" l="1"/>
  <c r="K7" i="18"/>
  <c r="F12" i="4"/>
  <c r="G12" i="4" s="1"/>
  <c r="H12" i="4" s="1"/>
  <c r="F7" i="18" l="1"/>
  <c r="X151" i="4"/>
  <c r="X149" i="4" s="1"/>
  <c r="X148" i="4" l="1"/>
  <c r="F155" i="4" l="1"/>
  <c r="G155" i="4" s="1"/>
  <c r="H155" i="4" s="1"/>
  <c r="G156" i="4"/>
  <c r="H156" i="4" s="1"/>
  <c r="X147" i="4"/>
  <c r="X4" i="4" s="1"/>
  <c r="F149" i="4"/>
  <c r="F148" i="4" l="1"/>
  <c r="G149" i="4"/>
  <c r="H149" i="4" s="1"/>
  <c r="F147" i="4" l="1"/>
  <c r="G147" i="4" s="1"/>
  <c r="H147" i="4" s="1"/>
  <c r="G148" i="4"/>
  <c r="H148" i="4" s="1"/>
  <c r="F5" i="4" l="1"/>
  <c r="F4" i="4" s="1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<sst xmlns="http://schemas.openxmlformats.org/spreadsheetml/2006/main" count="1625" uniqueCount="549">
  <si>
    <t>월</t>
    <phoneticPr fontId="9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</si>
  <si>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</si>
  <si>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</si>
  <si>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</si>
  <si>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</si>
  <si>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</si>
  <si>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</si>
  <si>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</si>
  <si>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</si>
  <si>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</si>
  <si>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</si>
  <si>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</si>
  <si>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</si>
  <si>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</si>
  <si>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</si>
  <si>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</si>
  <si>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</si>
  <si>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</si>
  <si>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</si>
  <si>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</si>
  <si>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</si>
  <si>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</si>
  <si>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</si>
  <si>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</si>
  <si>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</si>
  <si>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</si>
  <si>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</si>
  <si>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</si>
  <si>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</si>
  <si>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</si>
  <si>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</si>
  <si>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</si>
  <si>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</si>
  <si>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</si>
  <si>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</si>
  <si>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</si>
  <si>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</si>
  <si>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</si>
  <si>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</si>
  <si>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</si>
  <si>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</si>
  <si>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</si>
  <si>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</si>
  <si>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</si>
  <si>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</si>
  <si>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</si>
  <si>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</si>
  <si>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</si>
  <si>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</si>
  <si>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</si>
  <si>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</si>
  <si>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</si>
  <si>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</si>
  <si>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9" type="noConversion"/>
  </si>
  <si>
    <t>산               출                기               초</t>
    <phoneticPr fontId="9" type="noConversion"/>
  </si>
  <si>
    <t>명</t>
    <phoneticPr fontId="9" type="noConversion"/>
  </si>
  <si>
    <t>원</t>
    <phoneticPr fontId="9" type="noConversion"/>
  </si>
  <si>
    <t>×</t>
    <phoneticPr fontId="9" type="noConversion"/>
  </si>
  <si>
    <t>입  소</t>
    <phoneticPr fontId="9" type="noConversion"/>
  </si>
  <si>
    <t>비  용</t>
    <phoneticPr fontId="9" type="noConversion"/>
  </si>
  <si>
    <t>합  계 :</t>
    <phoneticPr fontId="9" type="noConversion"/>
  </si>
  <si>
    <t xml:space="preserve">                                                                                    </t>
    <phoneticPr fontId="9" type="noConversion"/>
  </si>
  <si>
    <t>과            목</t>
    <phoneticPr fontId="9" type="noConversion"/>
  </si>
  <si>
    <t>원</t>
    <phoneticPr fontId="9" type="noConversion"/>
  </si>
  <si>
    <t>총  계 :</t>
    <phoneticPr fontId="9" type="noConversion"/>
  </si>
  <si>
    <t>총  계 :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</si>
  <si>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</si>
  <si>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</si>
  <si>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</si>
  <si>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소계 :</t>
    <phoneticPr fontId="9" type="noConversion"/>
  </si>
  <si>
    <t>÷</t>
    <phoneticPr fontId="9" type="noConversion"/>
  </si>
  <si>
    <t>회</t>
    <phoneticPr fontId="9" type="noConversion"/>
  </si>
  <si>
    <t>후원금</t>
    <phoneticPr fontId="9" type="noConversion"/>
  </si>
  <si>
    <t xml:space="preserve">  *후원금 수입</t>
    <phoneticPr fontId="9" type="noConversion"/>
  </si>
  <si>
    <t>전입금</t>
    <phoneticPr fontId="9" type="noConversion"/>
  </si>
  <si>
    <t>잡수입</t>
    <phoneticPr fontId="9" type="noConversion"/>
  </si>
  <si>
    <t>일</t>
    <phoneticPr fontId="9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</si>
  <si>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</si>
  <si>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</si>
  <si>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</si>
  <si>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</si>
  <si>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비지정   후원금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</si>
  <si>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</si>
  <si>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</si>
  <si>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</si>
  <si>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</si>
  <si>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</si>
  <si>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</si>
  <si>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</si>
  <si>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</si>
  <si>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</si>
  <si>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</si>
  <si>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</si>
  <si>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</si>
  <si>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</si>
  <si>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</si>
  <si>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</si>
  <si>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</si>
  <si>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</si>
  <si>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 xml:space="preserve">  *직원후생복지 및 직원교육</t>
    <phoneticPr fontId="9" type="noConversion"/>
  </si>
  <si>
    <t>비  용</t>
  </si>
  <si>
    <t>입   소</t>
    <phoneticPr fontId="9" type="noConversion"/>
  </si>
  <si>
    <t>금액
(B-A)</t>
    <phoneticPr fontId="9" type="noConversion"/>
  </si>
  <si>
    <t>사업비</t>
    <phoneticPr fontId="9" type="noConversion"/>
  </si>
  <si>
    <t>원</t>
    <phoneticPr fontId="9" type="noConversion"/>
  </si>
  <si>
    <t>※ 피복비</t>
  </si>
  <si>
    <t>÷</t>
  </si>
  <si>
    <t>인건비</t>
    <phoneticPr fontId="9" type="noConversion"/>
  </si>
  <si>
    <t>명</t>
  </si>
  <si>
    <t>계</t>
    <phoneticPr fontId="9" type="noConversion"/>
  </si>
  <si>
    <t>※ 입소비용수입</t>
    <phoneticPr fontId="9" type="noConversion"/>
  </si>
  <si>
    <t>※ 총 계</t>
    <phoneticPr fontId="9" type="noConversion"/>
  </si>
  <si>
    <t>원</t>
    <phoneticPr fontId="9" type="noConversion"/>
  </si>
  <si>
    <t>월</t>
    <phoneticPr fontId="9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</si>
  <si>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</si>
  <si>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</si>
  <si>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</si>
  <si>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</si>
  <si>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</si>
  <si>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</si>
  <si>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</si>
  <si>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</si>
  <si>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</si>
  <si>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</si>
  <si>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</si>
  <si>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9" type="noConversion"/>
  </si>
  <si>
    <t>세목</t>
    <phoneticPr fontId="9" type="noConversion"/>
  </si>
  <si>
    <t>사 업</t>
    <phoneticPr fontId="9" type="noConversion"/>
  </si>
  <si>
    <t>수 입</t>
    <phoneticPr fontId="9" type="noConversion"/>
  </si>
  <si>
    <t>사 업</t>
    <phoneticPr fontId="9" type="noConversion"/>
  </si>
  <si>
    <t>수 입</t>
    <phoneticPr fontId="9" type="noConversion"/>
  </si>
  <si>
    <t>※ 사업수입</t>
    <phoneticPr fontId="9" type="noConversion"/>
  </si>
  <si>
    <t>보조금</t>
    <phoneticPr fontId="9" type="noConversion"/>
  </si>
  <si>
    <t>과년도</t>
    <phoneticPr fontId="9" type="noConversion"/>
  </si>
  <si>
    <t>수  입</t>
    <phoneticPr fontId="9" type="noConversion"/>
  </si>
  <si>
    <t>과년도</t>
    <phoneticPr fontId="9" type="noConversion"/>
  </si>
  <si>
    <t>국 고</t>
    <phoneticPr fontId="9" type="noConversion"/>
  </si>
  <si>
    <t>계</t>
    <phoneticPr fontId="9" type="noConversion"/>
  </si>
  <si>
    <t xml:space="preserve"> &lt;국고 보조금 합계&gt;</t>
    <phoneticPr fontId="9" type="noConversion"/>
  </si>
  <si>
    <t>원</t>
    <phoneticPr fontId="9" type="noConversion"/>
  </si>
  <si>
    <t>시 도</t>
    <phoneticPr fontId="9" type="noConversion"/>
  </si>
  <si>
    <t>보조금</t>
    <phoneticPr fontId="9" type="noConversion"/>
  </si>
  <si>
    <t>원</t>
    <phoneticPr fontId="9" type="noConversion"/>
  </si>
  <si>
    <t>시군구</t>
    <phoneticPr fontId="9" type="noConversion"/>
  </si>
  <si>
    <t xml:space="preserve"> &lt;시군구 보조금 합계&gt;</t>
    <phoneticPr fontId="9" type="noConversion"/>
  </si>
  <si>
    <t>기 타</t>
    <phoneticPr fontId="9" type="noConversion"/>
  </si>
  <si>
    <t>기타 보조금</t>
    <phoneticPr fontId="9" type="noConversion"/>
  </si>
  <si>
    <t>지 정</t>
    <phoneticPr fontId="9" type="noConversion"/>
  </si>
  <si>
    <t>후원금</t>
    <phoneticPr fontId="9" type="noConversion"/>
  </si>
  <si>
    <t>지정 후원금</t>
    <phoneticPr fontId="9" type="noConversion"/>
  </si>
  <si>
    <t>&lt;지정후원금&gt;</t>
    <phoneticPr fontId="9" type="noConversion"/>
  </si>
  <si>
    <t>비지정</t>
    <phoneticPr fontId="9" type="noConversion"/>
  </si>
  <si>
    <t>비지정후원금</t>
    <phoneticPr fontId="9" type="noConversion"/>
  </si>
  <si>
    <t xml:space="preserve"> &lt;비지정 후원금 합계&gt;</t>
    <phoneticPr fontId="9" type="noConversion"/>
  </si>
  <si>
    <t>차입금</t>
    <phoneticPr fontId="9" type="noConversion"/>
  </si>
  <si>
    <t>금융</t>
    <phoneticPr fontId="9" type="noConversion"/>
  </si>
  <si>
    <t>기관</t>
    <phoneticPr fontId="9" type="noConversion"/>
  </si>
  <si>
    <t>기타 차입금</t>
    <phoneticPr fontId="9" type="noConversion"/>
  </si>
  <si>
    <t xml:space="preserve"> &lt;금융기관 차입금&gt;</t>
    <phoneticPr fontId="9" type="noConversion"/>
  </si>
  <si>
    <t xml:space="preserve">  *금융기관 차입금</t>
    <phoneticPr fontId="9" type="noConversion"/>
  </si>
  <si>
    <t>금융기관</t>
    <phoneticPr fontId="9" type="noConversion"/>
  </si>
  <si>
    <t xml:space="preserve"> &lt;기타 차입금&gt;</t>
    <phoneticPr fontId="9" type="noConversion"/>
  </si>
  <si>
    <t xml:space="preserve">  *기타 차입금</t>
    <phoneticPr fontId="9" type="noConversion"/>
  </si>
  <si>
    <t>법 인</t>
    <phoneticPr fontId="9" type="noConversion"/>
  </si>
  <si>
    <t>전입금</t>
    <phoneticPr fontId="9" type="noConversion"/>
  </si>
  <si>
    <t>법인전입금</t>
    <phoneticPr fontId="9" type="noConversion"/>
  </si>
  <si>
    <t>법인</t>
    <phoneticPr fontId="9" type="noConversion"/>
  </si>
  <si>
    <t>(후원)</t>
    <phoneticPr fontId="9" type="noConversion"/>
  </si>
  <si>
    <t>(후원금)</t>
    <phoneticPr fontId="9" type="noConversion"/>
  </si>
  <si>
    <t xml:space="preserve"> &lt;법인 전입금&gt;</t>
    <phoneticPr fontId="9" type="noConversion"/>
  </si>
  <si>
    <t xml:space="preserve">  *법인 전입금(후원금)</t>
    <phoneticPr fontId="9" type="noConversion"/>
  </si>
  <si>
    <t>전년도</t>
    <phoneticPr fontId="9" type="noConversion"/>
  </si>
  <si>
    <t>이월금</t>
    <phoneticPr fontId="9" type="noConversion"/>
  </si>
  <si>
    <t>보조금이월금</t>
    <phoneticPr fontId="9" type="noConversion"/>
  </si>
  <si>
    <t>전년도이월금</t>
    <phoneticPr fontId="9" type="noConversion"/>
  </si>
  <si>
    <t xml:space="preserve"> &lt;전년도이월금(후원금)&gt;</t>
    <phoneticPr fontId="9" type="noConversion"/>
  </si>
  <si>
    <t>이 월</t>
    <phoneticPr fontId="9" type="noConversion"/>
  </si>
  <si>
    <t>사업비</t>
    <phoneticPr fontId="9" type="noConversion"/>
  </si>
  <si>
    <t>이월사업비</t>
    <phoneticPr fontId="9" type="noConversion"/>
  </si>
  <si>
    <t xml:space="preserve"> &lt;이월 사업비&gt;</t>
    <phoneticPr fontId="9" type="noConversion"/>
  </si>
  <si>
    <t>불용품</t>
    <phoneticPr fontId="9" type="noConversion"/>
  </si>
  <si>
    <t>매각대</t>
    <phoneticPr fontId="9" type="noConversion"/>
  </si>
  <si>
    <t>불용품매각대</t>
    <phoneticPr fontId="9" type="noConversion"/>
  </si>
  <si>
    <t>기타예</t>
    <phoneticPr fontId="9" type="noConversion"/>
  </si>
  <si>
    <t>금이자</t>
    <phoneticPr fontId="9" type="noConversion"/>
  </si>
  <si>
    <t>기타예금이자</t>
    <phoneticPr fontId="9" type="noConversion"/>
  </si>
  <si>
    <t>수     입</t>
    <phoneticPr fontId="9" type="noConversion"/>
  </si>
  <si>
    <t>잡수입</t>
    <phoneticPr fontId="9" type="noConversion"/>
  </si>
  <si>
    <t>기타잡수입</t>
    <phoneticPr fontId="9" type="noConversion"/>
  </si>
  <si>
    <t xml:space="preserve"> &lt;불용품매각대&gt;</t>
    <phoneticPr fontId="9" type="noConversion"/>
  </si>
  <si>
    <t xml:space="preserve"> &lt;기타예금이자수입&gt;</t>
    <phoneticPr fontId="9" type="noConversion"/>
  </si>
  <si>
    <t>&lt;생계비&gt;</t>
    <phoneticPr fontId="9" type="noConversion"/>
  </si>
  <si>
    <t>계:</t>
    <phoneticPr fontId="9" type="noConversion"/>
  </si>
  <si>
    <t>생계비</t>
    <phoneticPr fontId="9" type="noConversion"/>
  </si>
  <si>
    <t>보조금</t>
    <phoneticPr fontId="9" type="noConversion"/>
  </si>
  <si>
    <t>수 입</t>
    <phoneticPr fontId="9" type="noConversion"/>
  </si>
  <si>
    <t>수 입</t>
    <phoneticPr fontId="9" type="noConversion"/>
  </si>
  <si>
    <t>원</t>
    <phoneticPr fontId="9" type="noConversion"/>
  </si>
  <si>
    <t>※ 과년도 수입</t>
    <phoneticPr fontId="9" type="noConversion"/>
  </si>
  <si>
    <t>소계 :</t>
    <phoneticPr fontId="9" type="noConversion"/>
  </si>
  <si>
    <t>원</t>
    <phoneticPr fontId="9" type="noConversion"/>
  </si>
  <si>
    <t xml:space="preserve"> &lt;시도 보조금 합계&gt;</t>
    <phoneticPr fontId="9" type="noConversion"/>
  </si>
  <si>
    <t>인건비</t>
    <phoneticPr fontId="9" type="noConversion"/>
  </si>
  <si>
    <t>원</t>
    <phoneticPr fontId="9" type="noConversion"/>
  </si>
  <si>
    <t>÷</t>
    <phoneticPr fontId="9" type="noConversion"/>
  </si>
  <si>
    <t>월</t>
    <phoneticPr fontId="9" type="noConversion"/>
  </si>
  <si>
    <t>=</t>
    <phoneticPr fontId="9" type="noConversion"/>
  </si>
  <si>
    <t>×</t>
    <phoneticPr fontId="9" type="noConversion"/>
  </si>
  <si>
    <t>=</t>
    <phoneticPr fontId="9" type="noConversion"/>
  </si>
  <si>
    <t>소계 :</t>
    <phoneticPr fontId="9" type="noConversion"/>
  </si>
  <si>
    <t>운영비</t>
    <phoneticPr fontId="9" type="noConversion"/>
  </si>
  <si>
    <t>&lt;운영비&gt;</t>
    <phoneticPr fontId="9" type="noConversion"/>
  </si>
  <si>
    <t xml:space="preserve"> * 시설당 기본지원</t>
    <phoneticPr fontId="9" type="noConversion"/>
  </si>
  <si>
    <t>입소자지원금</t>
    <phoneticPr fontId="9" type="noConversion"/>
  </si>
  <si>
    <t>(4종)</t>
    <phoneticPr fontId="9" type="noConversion"/>
  </si>
  <si>
    <t>&lt;입소자지원금 : 4종&gt;</t>
    <phoneticPr fontId="9" type="noConversion"/>
  </si>
  <si>
    <t>*입소자 부식비(매월신청)</t>
    <phoneticPr fontId="9" type="noConversion"/>
  </si>
  <si>
    <t>일</t>
    <phoneticPr fontId="9" type="noConversion"/>
  </si>
  <si>
    <t>*입소자 간식비(매월신청)</t>
    <phoneticPr fontId="9" type="noConversion"/>
  </si>
  <si>
    <t>*입소자 구료비(특별피복비)</t>
    <phoneticPr fontId="9" type="noConversion"/>
  </si>
  <si>
    <t>회</t>
    <phoneticPr fontId="9" type="noConversion"/>
  </si>
  <si>
    <t>(설날,장애인의날, 추석,연말)</t>
    <phoneticPr fontId="9" type="noConversion"/>
  </si>
  <si>
    <t>*입소자 건강진단비</t>
    <phoneticPr fontId="9" type="noConversion"/>
  </si>
  <si>
    <t>시설운영지원</t>
    <phoneticPr fontId="9" type="noConversion"/>
  </si>
  <si>
    <t>재활프로그램</t>
    <phoneticPr fontId="9" type="noConversion"/>
  </si>
  <si>
    <t>지원금</t>
    <phoneticPr fontId="9" type="noConversion"/>
  </si>
  <si>
    <t>계 :</t>
    <phoneticPr fontId="9" type="noConversion"/>
  </si>
  <si>
    <t>&lt;재활프로그램 지원금&gt;</t>
    <phoneticPr fontId="9" type="noConversion"/>
  </si>
  <si>
    <t>(후원)</t>
    <phoneticPr fontId="9" type="noConversion"/>
  </si>
  <si>
    <t>(후원금)</t>
    <phoneticPr fontId="9" type="noConversion"/>
  </si>
  <si>
    <t xml:space="preserve"> *법인전입금</t>
    <phoneticPr fontId="9" type="noConversion"/>
  </si>
  <si>
    <t>원</t>
    <phoneticPr fontId="9" type="noConversion"/>
  </si>
  <si>
    <t xml:space="preserve"> * 예금이자(입소비용)</t>
    <phoneticPr fontId="9" type="noConversion"/>
  </si>
  <si>
    <t xml:space="preserve"> &lt;입소비용이월금&gt;</t>
    <phoneticPr fontId="9" type="noConversion"/>
  </si>
  <si>
    <t>입소비용이월금</t>
    <phoneticPr fontId="9" type="noConversion"/>
  </si>
  <si>
    <t xml:space="preserve"> &lt;보조금이월금&gt;</t>
    <phoneticPr fontId="9" type="noConversion"/>
  </si>
  <si>
    <t>잡수입이월금</t>
  </si>
  <si>
    <t>전입금이월금</t>
    <phoneticPr fontId="9" type="noConversion"/>
  </si>
  <si>
    <t xml:space="preserve"> &lt;법인전입금이월금&gt;</t>
    <phoneticPr fontId="9" type="noConversion"/>
  </si>
  <si>
    <t xml:space="preserve"> * 예금이자(법인전입금)</t>
    <phoneticPr fontId="9" type="noConversion"/>
  </si>
  <si>
    <t xml:space="preserve"> &lt;잡수입이월금&gt;</t>
    <phoneticPr fontId="9" type="noConversion"/>
  </si>
  <si>
    <t xml:space="preserve"> * 예금이자(잡수입)</t>
    <phoneticPr fontId="9" type="noConversion"/>
  </si>
  <si>
    <t xml:space="preserve"> &lt;기타예금이자 수입&gt;</t>
    <phoneticPr fontId="9" type="noConversion"/>
  </si>
  <si>
    <t xml:space="preserve"> * 예금이자(후원금)</t>
    <phoneticPr fontId="9" type="noConversion"/>
  </si>
  <si>
    <t xml:space="preserve"> &lt;기타잡수입&gt;</t>
    <phoneticPr fontId="9" type="noConversion"/>
  </si>
  <si>
    <t>원</t>
    <phoneticPr fontId="9" type="noConversion"/>
  </si>
  <si>
    <t>×</t>
    <phoneticPr fontId="9" type="noConversion"/>
  </si>
  <si>
    <t>명</t>
    <phoneticPr fontId="9" type="noConversion"/>
  </si>
  <si>
    <t>월</t>
    <phoneticPr fontId="9" type="noConversion"/>
  </si>
  <si>
    <t>=</t>
    <phoneticPr fontId="9" type="noConversion"/>
  </si>
  <si>
    <t>소계 :</t>
    <phoneticPr fontId="9" type="noConversion"/>
  </si>
  <si>
    <t>결연 후원금</t>
    <phoneticPr fontId="9" type="noConversion"/>
  </si>
  <si>
    <t xml:space="preserve">  *결연후원금</t>
    <phoneticPr fontId="9" type="noConversion"/>
  </si>
  <si>
    <t>소  계</t>
    <phoneticPr fontId="9" type="noConversion"/>
  </si>
  <si>
    <t>※ 보조금수입 합계</t>
    <phoneticPr fontId="9" type="noConversion"/>
  </si>
  <si>
    <t>소  계</t>
    <phoneticPr fontId="9" type="noConversion"/>
  </si>
  <si>
    <t>※후원금수입</t>
    <phoneticPr fontId="9" type="noConversion"/>
  </si>
  <si>
    <t>※ 차 입 금</t>
    <phoneticPr fontId="9" type="noConversion"/>
  </si>
  <si>
    <t>※법인 전입금</t>
    <phoneticPr fontId="9" type="noConversion"/>
  </si>
  <si>
    <t>※이 월 금</t>
    <phoneticPr fontId="9" type="noConversion"/>
  </si>
  <si>
    <t>※ 잡 수 입</t>
    <phoneticPr fontId="9" type="noConversion"/>
  </si>
  <si>
    <t>계</t>
    <phoneticPr fontId="9" type="noConversion"/>
  </si>
  <si>
    <t xml:space="preserve"> &lt;지정 후원금 합계&gt;</t>
    <phoneticPr fontId="9" type="noConversion"/>
  </si>
  <si>
    <t xml:space="preserve"> &lt;법인 전입금&gt;</t>
    <phoneticPr fontId="9" type="noConversion"/>
  </si>
  <si>
    <t xml:space="preserve"> &lt;법인 전입금(후원금)&gt;</t>
    <phoneticPr fontId="9" type="noConversion"/>
  </si>
  <si>
    <t xml:space="preserve"> &lt;전년도 이월금&gt;</t>
    <phoneticPr fontId="9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</si>
  <si>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</si>
  <si>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</si>
  <si>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</si>
  <si>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9" type="noConversion"/>
  </si>
  <si>
    <t>* 입소비용수입</t>
    <phoneticPr fontId="9" type="noConversion"/>
  </si>
  <si>
    <t>*생계비</t>
    <phoneticPr fontId="9" type="noConversion"/>
  </si>
  <si>
    <t>1.기본급 (인건비 산출내역 참조)</t>
    <phoneticPr fontId="9" type="noConversion"/>
  </si>
  <si>
    <t>2.제수당</t>
    <phoneticPr fontId="9" type="noConversion"/>
  </si>
  <si>
    <t xml:space="preserve"> 가.명절휴가비</t>
    <phoneticPr fontId="9" type="noConversion"/>
  </si>
  <si>
    <t xml:space="preserve"> 나.가족수당</t>
    <phoneticPr fontId="9" type="noConversion"/>
  </si>
  <si>
    <t xml:space="preserve"> 다.연장근로수당</t>
    <phoneticPr fontId="9" type="noConversion"/>
  </si>
  <si>
    <t>3.종사자퇴직금적립금</t>
    <phoneticPr fontId="9" type="noConversion"/>
  </si>
  <si>
    <t>4.종사자사회보험부담금</t>
    <phoneticPr fontId="9" type="noConversion"/>
  </si>
  <si>
    <t xml:space="preserve"> 가.국민연금부담금</t>
    <phoneticPr fontId="9" type="noConversion"/>
  </si>
  <si>
    <t xml:space="preserve"> 나.건강보험부담금</t>
    <phoneticPr fontId="9" type="noConversion"/>
  </si>
  <si>
    <t xml:space="preserve"> 다.장기요양보험부담금</t>
    <phoneticPr fontId="9" type="noConversion"/>
  </si>
  <si>
    <t xml:space="preserve"> 라.고용보험부담금</t>
    <phoneticPr fontId="9" type="noConversion"/>
  </si>
  <si>
    <t xml:space="preserve"> 마.산재보험부담금</t>
    <phoneticPr fontId="9" type="noConversion"/>
  </si>
  <si>
    <t>*환경개선사업비</t>
    <phoneticPr fontId="9" type="noConversion"/>
  </si>
  <si>
    <t xml:space="preserve"> * 직원 건강진단비</t>
    <phoneticPr fontId="9" type="noConversion"/>
  </si>
  <si>
    <t xml:space="preserve"> * 입소비용이월액</t>
    <phoneticPr fontId="9" type="noConversion"/>
  </si>
  <si>
    <t xml:space="preserve"> * 예금이자(입소비용)</t>
    <phoneticPr fontId="9" type="noConversion"/>
  </si>
  <si>
    <t xml:space="preserve"> * 운영비보조금이월액</t>
    <phoneticPr fontId="9" type="noConversion"/>
  </si>
  <si>
    <t xml:space="preserve"> * 예금이자(운영비)</t>
    <phoneticPr fontId="9" type="noConversion"/>
  </si>
  <si>
    <t xml:space="preserve"> * 법인전입금이월액</t>
    <phoneticPr fontId="9" type="noConversion"/>
  </si>
  <si>
    <t xml:space="preserve"> * 예금이자(법인전입금)</t>
    <phoneticPr fontId="9" type="noConversion"/>
  </si>
  <si>
    <t xml:space="preserve"> * 잡수입이월액</t>
    <phoneticPr fontId="9" type="noConversion"/>
  </si>
  <si>
    <t xml:space="preserve"> &lt;후원금이월금&gt;</t>
    <phoneticPr fontId="9" type="noConversion"/>
  </si>
  <si>
    <t>운영비</t>
    <phoneticPr fontId="9" type="noConversion"/>
  </si>
  <si>
    <t>4종</t>
    <phoneticPr fontId="9" type="noConversion"/>
  </si>
  <si>
    <t>사무비</t>
    <phoneticPr fontId="9" type="noConversion"/>
  </si>
  <si>
    <t>&lt;운영비 지원&gt;</t>
    <phoneticPr fontId="9" type="noConversion"/>
  </si>
  <si>
    <t>계:</t>
    <phoneticPr fontId="9" type="noConversion"/>
  </si>
  <si>
    <t>원</t>
    <phoneticPr fontId="9" type="noConversion"/>
  </si>
  <si>
    <t>×</t>
    <phoneticPr fontId="9" type="noConversion"/>
  </si>
  <si>
    <t>=</t>
    <phoneticPr fontId="9" type="noConversion"/>
  </si>
  <si>
    <t>&lt;기능보강사업비&gt;</t>
    <phoneticPr fontId="9" type="noConversion"/>
  </si>
  <si>
    <t xml:space="preserve"> * 경기도 재활프로그램(도예)</t>
    <phoneticPr fontId="9" type="noConversion"/>
  </si>
  <si>
    <t>*기능보강사업비(수직구조대설치)</t>
    <phoneticPr fontId="9" type="noConversion"/>
  </si>
  <si>
    <t>소계</t>
    <phoneticPr fontId="9" type="noConversion"/>
  </si>
  <si>
    <t>인건비</t>
    <phoneticPr fontId="9" type="noConversion"/>
  </si>
  <si>
    <t>(단위:원)</t>
    <phoneticPr fontId="28" type="noConversion"/>
  </si>
  <si>
    <t>&lt;비지정후원금&gt;</t>
    <phoneticPr fontId="9" type="noConversion"/>
  </si>
  <si>
    <t>6종</t>
    <phoneticPr fontId="9" type="noConversion"/>
  </si>
  <si>
    <t>원</t>
    <phoneticPr fontId="9" type="noConversion"/>
  </si>
  <si>
    <t>=</t>
    <phoneticPr fontId="9" type="noConversion"/>
  </si>
  <si>
    <t>원</t>
    <phoneticPr fontId="9" type="noConversion"/>
  </si>
  <si>
    <t>&lt;인건비 : 2명&gt;</t>
    <phoneticPr fontId="9" type="noConversion"/>
  </si>
  <si>
    <t>&lt;시설운영지원금 : 6종&gt;</t>
    <phoneticPr fontId="9" type="noConversion"/>
  </si>
  <si>
    <t>(6종)</t>
    <phoneticPr fontId="9" type="noConversion"/>
  </si>
  <si>
    <t xml:space="preserve"> * 비지정후원금이월액</t>
    <phoneticPr fontId="9" type="noConversion"/>
  </si>
  <si>
    <t xml:space="preserve"> * 지정후원금이월액</t>
    <phoneticPr fontId="9" type="noConversion"/>
  </si>
  <si>
    <t>A.. 직원건강진단비 지원금</t>
    <phoneticPr fontId="9" type="noConversion"/>
  </si>
  <si>
    <t>직원건강진단비</t>
    <phoneticPr fontId="9" type="noConversion"/>
  </si>
  <si>
    <t xml:space="preserve"> * 예금이자(보조금)</t>
    <phoneticPr fontId="9" type="noConversion"/>
  </si>
  <si>
    <t>* 직원급식비</t>
    <phoneticPr fontId="9" type="noConversion"/>
  </si>
  <si>
    <t>* 냉난방지원비</t>
    <phoneticPr fontId="9" type="noConversion"/>
  </si>
  <si>
    <t>보조금</t>
    <phoneticPr fontId="9" type="noConversion"/>
  </si>
  <si>
    <t>보조금
(4종)</t>
    <phoneticPr fontId="9" type="noConversion"/>
  </si>
  <si>
    <t>산              출               기              초</t>
    <phoneticPr fontId="9" type="noConversion"/>
  </si>
  <si>
    <t>계
(B)</t>
    <phoneticPr fontId="9" type="noConversion"/>
  </si>
  <si>
    <t>후원금</t>
    <phoneticPr fontId="9" type="noConversion"/>
  </si>
  <si>
    <t>입소자
부담금</t>
    <phoneticPr fontId="9" type="noConversion"/>
  </si>
  <si>
    <t>법인
전입금</t>
    <phoneticPr fontId="9" type="noConversion"/>
  </si>
  <si>
    <t>잡수입</t>
    <phoneticPr fontId="9" type="noConversion"/>
  </si>
  <si>
    <t>금액
(B-A)</t>
    <phoneticPr fontId="9" type="noConversion"/>
  </si>
  <si>
    <t>세출총계</t>
    <phoneticPr fontId="9" type="noConversion"/>
  </si>
  <si>
    <t>※기본급</t>
    <phoneticPr fontId="9" type="noConversion"/>
  </si>
  <si>
    <t>원</t>
    <phoneticPr fontId="9" type="noConversion"/>
  </si>
  <si>
    <t>보조</t>
    <phoneticPr fontId="9" type="noConversion"/>
  </si>
  <si>
    <t>×</t>
    <phoneticPr fontId="9" type="noConversion"/>
  </si>
  <si>
    <t>월</t>
    <phoneticPr fontId="9" type="noConversion"/>
  </si>
  <si>
    <t>=</t>
    <phoneticPr fontId="9" type="noConversion"/>
  </si>
  <si>
    <t>법인</t>
    <phoneticPr fontId="9" type="noConversion"/>
  </si>
  <si>
    <t>일용잡급</t>
    <phoneticPr fontId="9" type="noConversion"/>
  </si>
  <si>
    <t>※ 일용잡급</t>
    <phoneticPr fontId="9" type="noConversion"/>
  </si>
  <si>
    <t>합  계 :</t>
    <phoneticPr fontId="9" type="noConversion"/>
  </si>
  <si>
    <t>원</t>
    <phoneticPr fontId="9" type="noConversion"/>
  </si>
  <si>
    <t>1.명절휴가비</t>
    <phoneticPr fontId="9" type="noConversion"/>
  </si>
  <si>
    <t>합    계 :</t>
    <phoneticPr fontId="9" type="noConversion"/>
  </si>
  <si>
    <t xml:space="preserve"> </t>
    <phoneticPr fontId="9" type="noConversion"/>
  </si>
  <si>
    <t>2.가족수당</t>
    <phoneticPr fontId="9" type="noConversion"/>
  </si>
  <si>
    <t>3.연장근로수당</t>
    <phoneticPr fontId="9" type="noConversion"/>
  </si>
  <si>
    <t>÷</t>
    <phoneticPr fontId="9" type="noConversion"/>
  </si>
  <si>
    <t>합    계 :</t>
    <phoneticPr fontId="9" type="noConversion"/>
  </si>
  <si>
    <t xml:space="preserve"> </t>
    <phoneticPr fontId="9" type="noConversion"/>
  </si>
  <si>
    <t>원</t>
    <phoneticPr fontId="9" type="noConversion"/>
  </si>
  <si>
    <t xml:space="preserve"> 나. 법인지원 인력 퇴직금</t>
    <phoneticPr fontId="9" type="noConversion"/>
  </si>
  <si>
    <t>사회보험</t>
    <phoneticPr fontId="9" type="noConversion"/>
  </si>
  <si>
    <t>합  계 :</t>
    <phoneticPr fontId="9" type="noConversion"/>
  </si>
  <si>
    <t>부담금</t>
    <phoneticPr fontId="9" type="noConversion"/>
  </si>
  <si>
    <t>1.국민연금부담금</t>
    <phoneticPr fontId="9" type="noConversion"/>
  </si>
  <si>
    <t>2.국민건강보험부담금</t>
    <phoneticPr fontId="9" type="noConversion"/>
  </si>
  <si>
    <t>3.장기요양보험부담금</t>
    <phoneticPr fontId="9" type="noConversion"/>
  </si>
  <si>
    <t>4.고용보험부담금</t>
    <phoneticPr fontId="9" type="noConversion"/>
  </si>
  <si>
    <t>5.산업재해보험부담금</t>
    <phoneticPr fontId="9" type="noConversion"/>
  </si>
  <si>
    <t>기타후생</t>
    <phoneticPr fontId="9" type="noConversion"/>
  </si>
  <si>
    <t>※ 기타후생경비</t>
    <phoneticPr fontId="9" type="noConversion"/>
  </si>
  <si>
    <t>* 직원건강검진비(순수시비)</t>
    <phoneticPr fontId="9" type="noConversion"/>
  </si>
  <si>
    <t>후원</t>
    <phoneticPr fontId="9" type="noConversion"/>
  </si>
  <si>
    <t>업   무</t>
    <phoneticPr fontId="9" type="noConversion"/>
  </si>
  <si>
    <t>업무추진비</t>
    <phoneticPr fontId="9" type="noConversion"/>
  </si>
  <si>
    <t>추진비</t>
    <phoneticPr fontId="9" type="noConversion"/>
  </si>
  <si>
    <t>소계:</t>
    <phoneticPr fontId="9" type="noConversion"/>
  </si>
  <si>
    <t>* 기관방문 손님접대용 다과 및 운영위원 선물구입</t>
    <phoneticPr fontId="9" type="noConversion"/>
  </si>
  <si>
    <t>※ 직책보조비</t>
    <phoneticPr fontId="9" type="noConversion"/>
  </si>
  <si>
    <t>회  의  비</t>
    <phoneticPr fontId="9" type="noConversion"/>
  </si>
  <si>
    <t>회</t>
    <phoneticPr fontId="9" type="noConversion"/>
  </si>
  <si>
    <t>운영비</t>
    <phoneticPr fontId="9" type="noConversion"/>
  </si>
  <si>
    <t>여    비</t>
    <phoneticPr fontId="9" type="noConversion"/>
  </si>
  <si>
    <t xml:space="preserve"> * 교육 및 출장여비</t>
    <phoneticPr fontId="9" type="noConversion"/>
  </si>
  <si>
    <t xml:space="preserve"> * 시설장 여비</t>
    <phoneticPr fontId="9" type="noConversion"/>
  </si>
  <si>
    <t>수수료</t>
    <phoneticPr fontId="9" type="noConversion"/>
  </si>
  <si>
    <t>입소</t>
    <phoneticPr fontId="9" type="noConversion"/>
  </si>
  <si>
    <t>기타운영비</t>
    <phoneticPr fontId="9" type="noConversion"/>
  </si>
  <si>
    <t>※ 기타운영비</t>
    <phoneticPr fontId="9" type="noConversion"/>
  </si>
  <si>
    <t>계</t>
    <phoneticPr fontId="9" type="noConversion"/>
  </si>
  <si>
    <t>소계:</t>
    <phoneticPr fontId="9" type="noConversion"/>
  </si>
  <si>
    <t>잡수</t>
    <phoneticPr fontId="9" type="noConversion"/>
  </si>
  <si>
    <t>재산조성비</t>
    <phoneticPr fontId="9" type="noConversion"/>
  </si>
  <si>
    <t>조성비</t>
    <phoneticPr fontId="9" type="noConversion"/>
  </si>
  <si>
    <t>계</t>
    <phoneticPr fontId="9" type="noConversion"/>
  </si>
  <si>
    <t>시설비</t>
    <phoneticPr fontId="9" type="noConversion"/>
  </si>
  <si>
    <t>유지비</t>
    <phoneticPr fontId="9" type="noConversion"/>
  </si>
  <si>
    <t>사업비</t>
    <phoneticPr fontId="9" type="noConversion"/>
  </si>
  <si>
    <t>운영비</t>
    <phoneticPr fontId="9" type="noConversion"/>
  </si>
  <si>
    <t>계</t>
    <phoneticPr fontId="9" type="noConversion"/>
  </si>
  <si>
    <t>생계비</t>
    <phoneticPr fontId="9" type="noConversion"/>
  </si>
  <si>
    <t>※ 생계비</t>
    <phoneticPr fontId="9" type="noConversion"/>
  </si>
  <si>
    <t>소계:</t>
    <phoneticPr fontId="9" type="noConversion"/>
  </si>
  <si>
    <t>수용기관</t>
    <phoneticPr fontId="9" type="noConversion"/>
  </si>
  <si>
    <t>※ 수용기관경비</t>
    <phoneticPr fontId="9" type="noConversion"/>
  </si>
  <si>
    <t>경비</t>
    <phoneticPr fontId="9" type="noConversion"/>
  </si>
  <si>
    <t>피복비</t>
    <phoneticPr fontId="9" type="noConversion"/>
  </si>
  <si>
    <t>의료비</t>
    <phoneticPr fontId="9" type="noConversion"/>
  </si>
  <si>
    <t>※ 의료비</t>
    <phoneticPr fontId="9" type="noConversion"/>
  </si>
  <si>
    <t>소계:</t>
    <phoneticPr fontId="9" type="noConversion"/>
  </si>
  <si>
    <t>연료비</t>
    <phoneticPr fontId="9" type="noConversion"/>
  </si>
  <si>
    <t>※ 연료비</t>
    <phoneticPr fontId="9" type="noConversion"/>
  </si>
  <si>
    <t>프로그램</t>
    <phoneticPr fontId="9" type="noConversion"/>
  </si>
  <si>
    <t>계</t>
    <phoneticPr fontId="9" type="noConversion"/>
  </si>
  <si>
    <t>사업비</t>
    <phoneticPr fontId="9" type="noConversion"/>
  </si>
  <si>
    <t>소  계 :</t>
    <phoneticPr fontId="9" type="noConversion"/>
  </si>
  <si>
    <t>교육재활</t>
    <phoneticPr fontId="9" type="noConversion"/>
  </si>
  <si>
    <t>지원사업비</t>
    <phoneticPr fontId="9" type="noConversion"/>
  </si>
  <si>
    <t>반환금</t>
    <phoneticPr fontId="9" type="noConversion"/>
  </si>
  <si>
    <t>※ 보조금 반환금(수원시)</t>
    <phoneticPr fontId="9" type="noConversion"/>
  </si>
  <si>
    <t>1.보조금 운영비 잔액</t>
    <phoneticPr fontId="9" type="noConversion"/>
  </si>
  <si>
    <t>2.보조금 운영비 예금이자</t>
    <phoneticPr fontId="9" type="noConversion"/>
  </si>
  <si>
    <t>5.보조금(4종) 잔액</t>
    <phoneticPr fontId="9" type="noConversion"/>
  </si>
  <si>
    <t>6.보조금(4종) 예금이자</t>
    <phoneticPr fontId="9" type="noConversion"/>
  </si>
  <si>
    <t>잡지출</t>
    <phoneticPr fontId="9" type="noConversion"/>
  </si>
  <si>
    <t>잡지출</t>
    <phoneticPr fontId="9" type="noConversion"/>
  </si>
  <si>
    <t>※ 잡지출</t>
    <phoneticPr fontId="9" type="noConversion"/>
  </si>
  <si>
    <t>1. 예금이자(입소비용)</t>
    <phoneticPr fontId="9" type="noConversion"/>
  </si>
  <si>
    <t>2. 예금이자(후원금)</t>
    <phoneticPr fontId="9" type="noConversion"/>
  </si>
  <si>
    <t>3. 예금이자(법인전입금)</t>
    <phoneticPr fontId="9" type="noConversion"/>
  </si>
  <si>
    <t>4. 예금이자(잡수입)</t>
    <phoneticPr fontId="9" type="noConversion"/>
  </si>
  <si>
    <t xml:space="preserve"> A.경상보조금 1명</t>
    <phoneticPr fontId="9" type="noConversion"/>
  </si>
  <si>
    <t>4.야간근로수당</t>
    <phoneticPr fontId="9" type="noConversion"/>
  </si>
  <si>
    <t>5. 기타 제수당</t>
    <phoneticPr fontId="9" type="noConversion"/>
  </si>
  <si>
    <t xml:space="preserve"> B.기타</t>
    <phoneticPr fontId="9" type="noConversion"/>
  </si>
  <si>
    <t>1.경상보조금</t>
    <phoneticPr fontId="9" type="noConversion"/>
  </si>
  <si>
    <t>2.법인부담금</t>
    <phoneticPr fontId="9" type="noConversion"/>
  </si>
  <si>
    <t xml:space="preserve"> 가.기타</t>
    <phoneticPr fontId="9" type="noConversion"/>
  </si>
  <si>
    <t>6.4대보험정산보험료</t>
    <phoneticPr fontId="9" type="noConversion"/>
  </si>
  <si>
    <t>입소</t>
  </si>
  <si>
    <t>* 운영위원회 참석수당</t>
  </si>
  <si>
    <t>* 회의 다과비</t>
  </si>
  <si>
    <t>보조금
(6종)</t>
    <phoneticPr fontId="9" type="noConversion"/>
  </si>
  <si>
    <t>7.보조금(6종) 잔액</t>
    <phoneticPr fontId="9" type="noConversion"/>
  </si>
  <si>
    <t>8.보조금(6종) 예금이자</t>
    <phoneticPr fontId="9" type="noConversion"/>
  </si>
  <si>
    <t>&lt;인건비 : 명&gt;</t>
    <phoneticPr fontId="9" type="noConversion"/>
  </si>
  <si>
    <t>*입소자 특별급식비</t>
    <phoneticPr fontId="9" type="noConversion"/>
  </si>
  <si>
    <t>* 정수기 임대료 및 수질검사 등</t>
  </si>
  <si>
    <t>보조</t>
  </si>
  <si>
    <t>* 사무용품비(문구류 )</t>
    <phoneticPr fontId="9" type="noConversion"/>
  </si>
  <si>
    <t>* 프린트임대료</t>
    <phoneticPr fontId="9" type="noConversion"/>
  </si>
  <si>
    <t>* 소규모수선비/집기구입 등</t>
    <phoneticPr fontId="9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</si>
  <si>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</si>
  <si>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</si>
  <si>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</si>
  <si>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</si>
  <si>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</si>
  <si>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</si>
  <si>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</si>
  <si>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</si>
  <si>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</si>
  <si>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</si>
  <si>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9" type="noConversion"/>
  </si>
  <si>
    <t>* 차량유류대</t>
  </si>
  <si>
    <t>* 차량 정기검사/ 차량수리 및 정비비</t>
  </si>
  <si>
    <t>1. 직원 교육훈련비</t>
    <phoneticPr fontId="9" type="noConversion"/>
  </si>
  <si>
    <t>2. 직원 식대</t>
    <phoneticPr fontId="9" type="noConversion"/>
  </si>
  <si>
    <t xml:space="preserve"> * 주부식비</t>
    <phoneticPr fontId="9" type="noConversion"/>
  </si>
  <si>
    <t>* 전기안전점검비</t>
  </si>
  <si>
    <t>* 가스안전점검비</t>
  </si>
  <si>
    <t>6종</t>
    <phoneticPr fontId="9" type="noConversion"/>
  </si>
  <si>
    <t>* 주부식비(부식)</t>
  </si>
  <si>
    <t>* 장애인거주시설입소자4종(부식)</t>
    <phoneticPr fontId="9" type="noConversion"/>
  </si>
  <si>
    <t>* 간식비</t>
  </si>
  <si>
    <t>* 장애인거주시설입소자4종(간식)</t>
    <phoneticPr fontId="9" type="noConversion"/>
  </si>
  <si>
    <t>* 월동대책비(김장)</t>
  </si>
  <si>
    <t>* 장애인거주시설입소자4종(특별급식비)</t>
    <phoneticPr fontId="9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</si>
  <si>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</si>
  <si>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</si>
  <si>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</si>
  <si>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</si>
  <si>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</si>
  <si>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</si>
  <si>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</si>
  <si>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</si>
  <si>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9" type="noConversion"/>
  </si>
  <si>
    <t>* 요리프로그램</t>
  </si>
  <si>
    <t>일상생활</t>
    <phoneticPr fontId="9" type="noConversion"/>
  </si>
  <si>
    <t>* 자치회의</t>
  </si>
  <si>
    <t>자치회의</t>
    <phoneticPr fontId="9" type="noConversion"/>
  </si>
  <si>
    <t>나들이</t>
    <phoneticPr fontId="9" type="noConversion"/>
  </si>
  <si>
    <t>문화생활</t>
    <phoneticPr fontId="9" type="noConversion"/>
  </si>
  <si>
    <t>운동지원</t>
    <phoneticPr fontId="9" type="noConversion"/>
  </si>
  <si>
    <t>* 송년회</t>
  </si>
  <si>
    <t>* 이용인 직장방문</t>
  </si>
  <si>
    <t>기타</t>
    <phoneticPr fontId="9" type="noConversion"/>
  </si>
  <si>
    <t>* 환경개선사업(6종)</t>
    <phoneticPr fontId="9" type="noConversion"/>
  </si>
  <si>
    <t>(사회재활교사, 생활지도원)</t>
    <phoneticPr fontId="9" type="noConversion"/>
  </si>
  <si>
    <t>1.경상보조금 (종사자2명)</t>
    <phoneticPr fontId="9" type="noConversion"/>
  </si>
  <si>
    <t xml:space="preserve"> A.경상보조금 2명</t>
    <phoneticPr fontId="9" type="noConversion"/>
  </si>
  <si>
    <t xml:space="preserve">  - 경상인건비</t>
    <phoneticPr fontId="9" type="noConversion"/>
  </si>
  <si>
    <t xml:space="preserve"> 라.야간근로수당</t>
    <phoneticPr fontId="9" type="noConversion"/>
  </si>
  <si>
    <t>회</t>
    <phoneticPr fontId="9" type="noConversion"/>
  </si>
  <si>
    <t>입소</t>
    <phoneticPr fontId="9" type="noConversion"/>
  </si>
  <si>
    <t>* 부활나눔</t>
    <phoneticPr fontId="9" type="noConversion"/>
  </si>
  <si>
    <t>명</t>
    <phoneticPr fontId="9" type="noConversion"/>
  </si>
  <si>
    <t>원</t>
    <phoneticPr fontId="9" type="noConversion"/>
  </si>
  <si>
    <t xml:space="preserve"> * 직원연수교육비, 한장협, 경장협 등 </t>
    <phoneticPr fontId="9" type="noConversion"/>
  </si>
  <si>
    <t>* 야간근로자 특수건강검진(2명)</t>
    <phoneticPr fontId="9" type="noConversion"/>
  </si>
  <si>
    <t>* 직원독감 예방접종(2명)</t>
    <phoneticPr fontId="9" type="noConversion"/>
  </si>
  <si>
    <t xml:space="preserve"> A.휴일근로수당</t>
    <phoneticPr fontId="9" type="noConversion"/>
  </si>
  <si>
    <t xml:space="preserve"> * 예금이자(보조금-4종)</t>
    <phoneticPr fontId="9" type="noConversion"/>
  </si>
  <si>
    <t>(사회재활교사)</t>
    <phoneticPr fontId="9" type="noConversion"/>
  </si>
  <si>
    <t>입소</t>
    <phoneticPr fontId="9" type="noConversion"/>
  </si>
  <si>
    <t>* 공기청정기 임대료</t>
    <phoneticPr fontId="9" type="noConversion"/>
  </si>
  <si>
    <t>* 가을나들이</t>
    <phoneticPr fontId="9" type="noConversion"/>
  </si>
  <si>
    <t>* 봄나들이</t>
    <phoneticPr fontId="9" type="noConversion"/>
  </si>
  <si>
    <t>* 트레킹</t>
    <phoneticPr fontId="9" type="noConversion"/>
  </si>
  <si>
    <t>기타보조금</t>
    <phoneticPr fontId="28" type="noConversion"/>
  </si>
  <si>
    <t>자산 취득비</t>
    <phoneticPr fontId="28" type="noConversion"/>
  </si>
  <si>
    <t>* 성교육</t>
    <phoneticPr fontId="9" type="noConversion"/>
  </si>
  <si>
    <t xml:space="preserve"> * 지정후원금 수입</t>
    <phoneticPr fontId="9" type="noConversion"/>
  </si>
  <si>
    <t>* TV(지정후원금) 구입</t>
    <phoneticPr fontId="9" type="noConversion"/>
  </si>
  <si>
    <t>후원</t>
    <phoneticPr fontId="9" type="noConversion"/>
  </si>
  <si>
    <t>원</t>
    <phoneticPr fontId="9" type="noConversion"/>
  </si>
  <si>
    <t>지정   후원금</t>
    <phoneticPr fontId="28" type="noConversion"/>
  </si>
  <si>
    <t>시설장비유지비</t>
    <phoneticPr fontId="28" type="noConversion"/>
  </si>
  <si>
    <t>2025년
 본예산</t>
    <phoneticPr fontId="28" type="noConversion"/>
  </si>
  <si>
    <t>2025년
본예산
(B)
(단위:천원)</t>
    <phoneticPr fontId="9" type="noConversion"/>
  </si>
  <si>
    <t>* 여름나들이</t>
    <phoneticPr fontId="9" type="noConversion"/>
  </si>
  <si>
    <t>* 전통시장투어</t>
    <phoneticPr fontId="9" type="noConversion"/>
  </si>
  <si>
    <t>* 힐링허브농원</t>
    <phoneticPr fontId="9" type="noConversion"/>
  </si>
  <si>
    <t>* 환경개선사업(6종) - 식탁, 쇼파 구입</t>
    <phoneticPr fontId="9" type="noConversion"/>
  </si>
  <si>
    <t>3. 직원연수</t>
    <phoneticPr fontId="9" type="noConversion"/>
  </si>
  <si>
    <t>* 비품(거실좌탁, 컴퓨터)  구입</t>
    <phoneticPr fontId="9" type="noConversion"/>
  </si>
  <si>
    <t>* 시설보수비</t>
    <phoneticPr fontId="9" type="noConversion"/>
  </si>
  <si>
    <t>* 문화여가생활시설 이용</t>
    <phoneticPr fontId="9" type="noConversion"/>
  </si>
  <si>
    <t>□ 2025년도 1차 추경예산 세 입 · 세 출 총  괄  표</t>
    <phoneticPr fontId="28" type="noConversion"/>
  </si>
  <si>
    <t>&lt;2025년도 1차추경예산 세입내역&gt;</t>
    <phoneticPr fontId="9" type="noConversion"/>
  </si>
  <si>
    <t>&lt;2025년도 1차추경예산 세출내역&gt;</t>
    <phoneticPr fontId="9" type="noConversion"/>
  </si>
  <si>
    <t>2025년
 1차추경예산</t>
    <phoneticPr fontId="28" type="noConversion"/>
  </si>
  <si>
    <t>2025년
1차추경예산
(B)
(단위:천원)</t>
    <phoneticPr fontId="9" type="noConversion"/>
  </si>
  <si>
    <t>2025년 본예산액
(A)
(단위:천원)</t>
    <phoneticPr fontId="9" type="noConversion"/>
  </si>
  <si>
    <t>2025년 1차추경예산액(B)         (단위:천원)</t>
    <phoneticPr fontId="9" type="noConversion"/>
  </si>
  <si>
    <t xml:space="preserve"> * 예금이자전년도이월금(입소비용)</t>
    <phoneticPr fontId="9" type="noConversion"/>
  </si>
  <si>
    <t xml:space="preserve"> * 예금이자전년도이월금(법인전입금)</t>
    <phoneticPr fontId="9" type="noConversion"/>
  </si>
  <si>
    <t xml:space="preserve"> * 예금이자전년도이월금(잡수입)</t>
    <phoneticPr fontId="9" type="noConversion"/>
  </si>
  <si>
    <t xml:space="preserve"> * 예금이자전년도이월금(후원금)</t>
    <phoneticPr fontId="9" type="noConversion"/>
  </si>
  <si>
    <t>* 체크카드환급금(입소비용)</t>
    <phoneticPr fontId="9" type="noConversion"/>
  </si>
  <si>
    <t>* 체크카드환급금(잡수입)</t>
    <phoneticPr fontId="9" type="noConversion"/>
  </si>
  <si>
    <t>* 체크카드환급금(후원금)</t>
    <phoneticPr fontId="9" type="noConversion"/>
  </si>
  <si>
    <t>*입소자 특별급식비(설날,장애인의날, 추석,연말)</t>
    <phoneticPr fontId="9" type="noConversion"/>
  </si>
  <si>
    <t xml:space="preserve"> * 체크카드환급금전년도이월금(입소비용)</t>
    <phoneticPr fontId="9" type="noConversion"/>
  </si>
  <si>
    <t xml:space="preserve"> * 체크카드환급금전년도이월금(잡수입)</t>
    <phoneticPr fontId="9" type="noConversion"/>
  </si>
  <si>
    <t xml:space="preserve"> * 체크카드환급금전년도이월금(후원금)</t>
    <phoneticPr fontId="9" type="noConversion"/>
  </si>
  <si>
    <t xml:space="preserve"> * 법인전입금이월액(후원금)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</si>
</sst>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명&quot;;[Red]#,##0"/>
    <numFmt numFmtId="197" formatCode="#,##0&quot;회&quot;;[Red]#,##0"/>
    <numFmt numFmtId="198" formatCode="_-* #,##0_-;&quot;▲&quot;* #,##0_-;_-* &quot;-&quot;_-;_-@_-"/>
  </numFmts>
  <fonts count="56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sz val="10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8" fillId="0" borderId="0" applyFont="0" applyFill="0" applyAlignment="0" applyProtection="0">
      <alignment vertical="center"/>
    </xf>
    <xf numFmtId="41" fontId="8" fillId="0" borderId="0" applyFont="0" applyFill="0" applyAlignment="0" applyProtection="0">
      <alignment vertical="center"/>
    </xf>
    <xf numFmtId="0" fontId="8" fillId="0" borderId="0" applyFill="0" applyAlignment="0"/>
    <xf numFmtId="0" fontId="11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6" fillId="0" borderId="0">
      <alignment vertical="center"/>
    </xf>
    <xf numFmtId="41" fontId="46" fillId="0" borderId="0">
      <alignment vertical="center"/>
    </xf>
    <xf numFmtId="0" fontId="46" fillId="0" borderId="0"/>
    <xf numFmtId="0" fontId="11" fillId="0" borderId="0" applyFill="0" applyAlignment="0">
      <alignment vertical="center"/>
    </xf>
    <xf numFmtId="41" fontId="11" fillId="0" borderId="0" applyFont="0" applyFill="0" applyAlignment="0" applyProtection="0">
      <alignment vertical="center"/>
    </xf>
  </cellStyleXfs>
  <cellXfs count="612">
    <xf numFmtId="0" fontId="0" fillId="0" borderId="0" xfId="0" applyFill="1" applyAlignment="1">
      <alignment vertical="center"/>
    </xf>
    <xf numFmtId="0" fontId="10" fillId="0" borderId="0" xfId="3" applyFont="1" applyFill="1" applyAlignment="1">
      <alignment vertical="center"/>
    </xf>
    <xf numFmtId="176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horizontal="center" vertical="center" wrapText="1"/>
    </xf>
    <xf numFmtId="41" fontId="10" fillId="0" borderId="0" xfId="2" applyFont="1" applyFill="1" applyAlignment="1">
      <alignment horizontal="center" vertical="center"/>
    </xf>
    <xf numFmtId="178" fontId="10" fillId="0" borderId="0" xfId="3" applyNumberFormat="1" applyFont="1" applyFill="1" applyAlignment="1">
      <alignment vertical="center"/>
    </xf>
    <xf numFmtId="177" fontId="10" fillId="0" borderId="0" xfId="3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9" fontId="10" fillId="0" borderId="0" xfId="3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38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41" fontId="12" fillId="0" borderId="0" xfId="2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9" fontId="13" fillId="0" borderId="27" xfId="3" applyNumberFormat="1" applyFont="1" applyFill="1" applyBorder="1" applyAlignment="1">
      <alignment horizontal="center"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38" fontId="13" fillId="0" borderId="14" xfId="3" applyNumberFormat="1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176" fontId="13" fillId="0" borderId="54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horizontal="right" vertical="center"/>
    </xf>
    <xf numFmtId="9" fontId="10" fillId="0" borderId="0" xfId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5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0" fontId="6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6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3" xfId="3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176" fontId="19" fillId="0" borderId="53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3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5" xfId="1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0" fontId="13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88" fontId="13" fillId="0" borderId="0" xfId="1" applyNumberFormat="1" applyFont="1" applyFill="1" applyBorder="1" applyAlignment="1">
      <alignment horizontal="center" vertical="center"/>
    </xf>
    <xf numFmtId="178" fontId="16" fillId="0" borderId="44" xfId="3" applyNumberFormat="1" applyFont="1" applyFill="1" applyBorder="1" applyAlignment="1">
      <alignment vertical="center"/>
    </xf>
    <xf numFmtId="0" fontId="4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89" fontId="13" fillId="0" borderId="0" xfId="1" applyNumberFormat="1" applyFont="1" applyFill="1" applyBorder="1" applyAlignment="1">
      <alignment horizontal="center" vertical="center"/>
    </xf>
    <xf numFmtId="9" fontId="13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3" fillId="0" borderId="1" xfId="1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194" fontId="16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left" vertical="center"/>
    </xf>
    <xf numFmtId="180" fontId="24" fillId="0" borderId="30" xfId="2" applyNumberFormat="1" applyFont="1" applyFill="1" applyBorder="1" applyAlignment="1">
      <alignment vertical="center"/>
    </xf>
    <xf numFmtId="41" fontId="24" fillId="0" borderId="30" xfId="2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9" fontId="24" fillId="0" borderId="53" xfId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177" fontId="24" fillId="0" borderId="0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9" fontId="24" fillId="0" borderId="0" xfId="1" applyFont="1" applyFill="1" applyBorder="1" applyAlignment="1">
      <alignment horizontal="left" vertical="center"/>
    </xf>
    <xf numFmtId="9" fontId="24" fillId="0" borderId="0" xfId="1" applyFont="1" applyFill="1" applyBorder="1" applyAlignment="1">
      <alignment horizontal="right" vertical="center"/>
    </xf>
    <xf numFmtId="180" fontId="24" fillId="0" borderId="0" xfId="2" applyNumberFormat="1" applyFont="1" applyFill="1" applyBorder="1" applyAlignment="1">
      <alignment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>
      <alignment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6" fontId="35" fillId="0" borderId="5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3" fillId="0" borderId="11" xfId="8" applyFont="1" applyBorder="1" applyAlignment="1">
      <alignment vertical="center"/>
    </xf>
    <xf numFmtId="0" fontId="44" fillId="0" borderId="11" xfId="7" applyFont="1" applyBorder="1" applyAlignment="1">
      <alignment horizontal="center" vertical="center"/>
    </xf>
    <xf numFmtId="41" fontId="45" fillId="0" borderId="11" xfId="8" applyFont="1" applyBorder="1" applyAlignment="1">
      <alignment vertical="center"/>
    </xf>
    <xf numFmtId="0" fontId="44" fillId="0" borderId="20" xfId="7" applyFont="1" applyBorder="1" applyAlignment="1">
      <alignment horizontal="center" vertical="center"/>
    </xf>
    <xf numFmtId="41" fontId="45" fillId="0" borderId="20" xfId="8" applyFont="1" applyBorder="1">
      <alignment vertical="center"/>
    </xf>
    <xf numFmtId="182" fontId="45" fillId="0" borderId="18" xfId="8" applyNumberFormat="1" applyFont="1" applyBorder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0" fontId="26" fillId="0" borderId="14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8" fillId="0" borderId="27" xfId="3" applyNumberFormat="1" applyFont="1" applyFill="1" applyBorder="1" applyAlignment="1">
      <alignment vertical="center"/>
    </xf>
    <xf numFmtId="177" fontId="18" fillId="0" borderId="27" xfId="3" applyNumberFormat="1" applyFont="1" applyFill="1" applyBorder="1" applyAlignment="1">
      <alignment vertical="center"/>
    </xf>
    <xf numFmtId="9" fontId="18" fillId="0" borderId="27" xfId="3" applyNumberFormat="1" applyFont="1" applyFill="1" applyBorder="1" applyAlignment="1">
      <alignment horizontal="center" vertical="center"/>
    </xf>
    <xf numFmtId="176" fontId="13" fillId="0" borderId="44" xfId="3" applyNumberFormat="1" applyFont="1" applyFill="1" applyBorder="1" applyAlignment="1">
      <alignment vertical="center"/>
    </xf>
    <xf numFmtId="176" fontId="13" fillId="0" borderId="45" xfId="3" applyNumberFormat="1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47" fillId="0" borderId="0" xfId="3" applyNumberFormat="1" applyFont="1" applyFill="1" applyBorder="1" applyAlignment="1">
      <alignment horizontal="right" vertical="center"/>
    </xf>
    <xf numFmtId="176" fontId="48" fillId="0" borderId="0" xfId="3" applyNumberFormat="1" applyFont="1" applyFill="1" applyBorder="1" applyAlignment="1">
      <alignment vertical="center"/>
    </xf>
    <xf numFmtId="38" fontId="33" fillId="0" borderId="33" xfId="3" applyNumberFormat="1" applyFont="1" applyFill="1" applyBorder="1" applyAlignment="1">
      <alignment horizontal="center" vertical="center"/>
    </xf>
    <xf numFmtId="38" fontId="33" fillId="0" borderId="27" xfId="3" applyNumberFormat="1" applyFont="1" applyFill="1" applyBorder="1" applyAlignment="1">
      <alignment vertical="center"/>
    </xf>
    <xf numFmtId="38" fontId="49" fillId="0" borderId="33" xfId="3" applyNumberFormat="1" applyFont="1" applyFill="1" applyBorder="1" applyAlignment="1">
      <alignment horizontal="center" vertical="center"/>
    </xf>
    <xf numFmtId="38" fontId="49" fillId="0" borderId="27" xfId="3" applyNumberFormat="1" applyFont="1" applyFill="1" applyBorder="1" applyAlignment="1">
      <alignment vertical="center"/>
    </xf>
    <xf numFmtId="181" fontId="26" fillId="0" borderId="0" xfId="1" applyNumberFormat="1" applyFont="1" applyFill="1" applyBorder="1" applyAlignment="1">
      <alignment vertical="center"/>
    </xf>
    <xf numFmtId="38" fontId="26" fillId="0" borderId="20" xfId="3" applyNumberFormat="1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176" fontId="13" fillId="0" borderId="27" xfId="0" applyNumberFormat="1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horizontal="right" vertical="center"/>
    </xf>
    <xf numFmtId="178" fontId="26" fillId="2" borderId="0" xfId="0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2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3" fontId="13" fillId="0" borderId="34" xfId="0" applyNumberFormat="1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center" vertical="center"/>
    </xf>
    <xf numFmtId="180" fontId="24" fillId="0" borderId="14" xfId="2" applyNumberFormat="1" applyFont="1" applyFill="1" applyBorder="1" applyAlignment="1">
      <alignment horizontal="center" vertical="center"/>
    </xf>
    <xf numFmtId="178" fontId="40" fillId="0" borderId="14" xfId="0" applyNumberFormat="1" applyFont="1" applyBorder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vertical="center"/>
    </xf>
    <xf numFmtId="197" fontId="47" fillId="0" borderId="0" xfId="3" applyNumberFormat="1" applyFont="1" applyFill="1" applyBorder="1" applyAlignment="1">
      <alignment vertical="center"/>
    </xf>
    <xf numFmtId="195" fontId="47" fillId="0" borderId="0" xfId="3" applyNumberFormat="1" applyFont="1" applyFill="1" applyBorder="1" applyAlignment="1">
      <alignment vertical="center"/>
    </xf>
    <xf numFmtId="41" fontId="47" fillId="0" borderId="0" xfId="2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3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vertical="center" wrapText="1"/>
    </xf>
    <xf numFmtId="0" fontId="50" fillId="0" borderId="0" xfId="3" applyNumberFormat="1" applyFont="1" applyFill="1" applyBorder="1" applyAlignment="1">
      <alignment vertical="center"/>
    </xf>
    <xf numFmtId="0" fontId="47" fillId="0" borderId="33" xfId="3" applyNumberFormat="1" applyFont="1" applyFill="1" applyBorder="1" applyAlignment="1">
      <alignment vertical="center"/>
    </xf>
    <xf numFmtId="0" fontId="48" fillId="0" borderId="0" xfId="3" applyNumberFormat="1" applyFont="1" applyFill="1" applyBorder="1" applyAlignment="1">
      <alignment vertical="center"/>
    </xf>
    <xf numFmtId="0" fontId="47" fillId="0" borderId="5" xfId="0" applyNumberFormat="1" applyFont="1" applyFill="1" applyBorder="1">
      <alignment vertical="center"/>
    </xf>
    <xf numFmtId="0" fontId="47" fillId="0" borderId="0" xfId="0" applyNumberFormat="1" applyFont="1" applyFill="1" applyBorder="1">
      <alignment vertical="center"/>
    </xf>
    <xf numFmtId="0" fontId="47" fillId="2" borderId="57" xfId="0" applyNumberFormat="1" applyFont="1" applyFill="1" applyBorder="1">
      <alignment vertical="center"/>
    </xf>
    <xf numFmtId="42" fontId="47" fillId="2" borderId="58" xfId="3" applyNumberFormat="1" applyFont="1" applyFill="1" applyBorder="1" applyAlignment="1">
      <alignment vertical="center"/>
    </xf>
    <xf numFmtId="178" fontId="47" fillId="0" borderId="0" xfId="0" applyNumberFormat="1" applyFont="1" applyFill="1" applyBorder="1" applyAlignment="1">
      <alignment horizontal="right" vertical="center"/>
    </xf>
    <xf numFmtId="178" fontId="47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1" fillId="0" borderId="20" xfId="8" applyNumberFormat="1" applyFont="1" applyBorder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53" xfId="3" applyNumberFormat="1" applyFont="1" applyFill="1" applyBorder="1" applyAlignment="1">
      <alignment vertical="center"/>
    </xf>
    <xf numFmtId="0" fontId="6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0" fontId="13" fillId="0" borderId="37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26" fillId="2" borderId="53" xfId="3" applyNumberFormat="1" applyFont="1" applyFill="1" applyBorder="1" applyAlignment="1">
      <alignment vertical="center"/>
    </xf>
    <xf numFmtId="0" fontId="48" fillId="0" borderId="0" xfId="0" applyNumberFormat="1" applyFont="1" applyFill="1" applyBorder="1">
      <alignment vertical="center"/>
    </xf>
    <xf numFmtId="176" fontId="10" fillId="0" borderId="14" xfId="3" applyNumberFormat="1" applyFont="1" applyFill="1" applyBorder="1" applyAlignment="1">
      <alignment vertical="center"/>
    </xf>
    <xf numFmtId="198" fontId="0" fillId="0" borderId="18" xfId="8" applyNumberFormat="1" applyFont="1" applyBorder="1">
      <alignment vertical="center"/>
    </xf>
    <xf numFmtId="176" fontId="24" fillId="0" borderId="13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98" fontId="43" fillId="0" borderId="12" xfId="8" applyNumberFormat="1" applyFont="1" applyBorder="1" applyAlignment="1">
      <alignment vertical="center"/>
    </xf>
    <xf numFmtId="198" fontId="45" fillId="0" borderId="18" xfId="8" applyNumberFormat="1" applyFont="1" applyBorder="1">
      <alignment vertical="center"/>
    </xf>
    <xf numFmtId="198" fontId="0" fillId="0" borderId="56" xfId="8" applyNumberFormat="1" applyFont="1" applyBorder="1">
      <alignment vertical="center"/>
    </xf>
    <xf numFmtId="198" fontId="43" fillId="0" borderId="36" xfId="8" applyNumberFormat="1" applyFont="1" applyBorder="1" applyAlignment="1">
      <alignment vertical="center"/>
    </xf>
    <xf numFmtId="198" fontId="45" fillId="0" borderId="41" xfId="8" applyNumberFormat="1" applyFont="1" applyBorder="1">
      <alignment vertical="center"/>
    </xf>
    <xf numFmtId="198" fontId="0" fillId="0" borderId="41" xfId="8" applyNumberFormat="1" applyFont="1" applyBorder="1">
      <alignment vertical="center"/>
    </xf>
    <xf numFmtId="0" fontId="47" fillId="0" borderId="33" xfId="22" applyNumberFormat="1" applyFont="1" applyFill="1" applyBorder="1" applyAlignment="1">
      <alignment vertical="center"/>
    </xf>
    <xf numFmtId="176" fontId="47" fillId="0" borderId="0" xfId="22" applyNumberFormat="1" applyFont="1" applyFill="1" applyBorder="1" applyAlignment="1">
      <alignment vertical="center"/>
    </xf>
    <xf numFmtId="176" fontId="47" fillId="0" borderId="5" xfId="22" applyNumberFormat="1" applyFont="1" applyFill="1" applyBorder="1" applyAlignment="1">
      <alignment vertical="center"/>
    </xf>
    <xf numFmtId="0" fontId="47" fillId="0" borderId="0" xfId="22" applyNumberFormat="1" applyFont="1" applyFill="1" applyBorder="1" applyAlignment="1">
      <alignment vertical="center"/>
    </xf>
    <xf numFmtId="176" fontId="47" fillId="0" borderId="0" xfId="22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52" fillId="0" borderId="0" xfId="3" applyNumberFormat="1" applyFont="1" applyFill="1" applyBorder="1" applyAlignment="1">
      <alignment vertical="center"/>
    </xf>
    <xf numFmtId="178" fontId="52" fillId="0" borderId="0" xfId="0" applyNumberFormat="1" applyFont="1" applyFill="1" applyBorder="1" applyAlignment="1">
      <alignment horizontal="right" vertical="center"/>
    </xf>
    <xf numFmtId="0" fontId="2" fillId="0" borderId="20" xfId="7" applyFont="1" applyBorder="1" applyAlignment="1">
      <alignment horizontal="center" vertical="center"/>
    </xf>
    <xf numFmtId="176" fontId="52" fillId="0" borderId="0" xfId="3" applyNumberFormat="1" applyFont="1" applyFill="1" applyBorder="1" applyAlignment="1">
      <alignment horizontal="right" vertical="center"/>
    </xf>
    <xf numFmtId="176" fontId="53" fillId="0" borderId="14" xfId="3" applyNumberFormat="1" applyFont="1" applyFill="1" applyBorder="1" applyAlignment="1">
      <alignment horizontal="right" vertical="center"/>
    </xf>
    <xf numFmtId="178" fontId="52" fillId="0" borderId="0" xfId="0" applyNumberFormat="1" applyFont="1" applyFill="1" applyAlignment="1">
      <alignment horizontal="right" vertical="center"/>
    </xf>
    <xf numFmtId="198" fontId="45" fillId="0" borderId="36" xfId="8" applyNumberFormat="1" applyFont="1" applyBorder="1" applyAlignment="1">
      <alignment vertical="center"/>
    </xf>
    <xf numFmtId="198" fontId="45" fillId="0" borderId="12" xfId="8" applyNumberFormat="1" applyFont="1" applyBorder="1" applyAlignment="1">
      <alignment vertical="center"/>
    </xf>
    <xf numFmtId="0" fontId="1" fillId="0" borderId="0" xfId="7" applyFo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5" fillId="0" borderId="54" xfId="3" applyNumberFormat="1" applyFont="1" applyFill="1" applyBorder="1" applyAlignment="1">
      <alignment vertical="center"/>
    </xf>
    <xf numFmtId="0" fontId="54" fillId="0" borderId="0" xfId="3" applyNumberFormat="1" applyFont="1" applyFill="1" applyBorder="1" applyAlignment="1">
      <alignment horizontal="center" vertical="center"/>
    </xf>
    <xf numFmtId="176" fontId="54" fillId="0" borderId="0" xfId="3" applyNumberFormat="1" applyFont="1" applyFill="1" applyBorder="1" applyAlignment="1">
      <alignment vertical="center"/>
    </xf>
    <xf numFmtId="0" fontId="54" fillId="0" borderId="0" xfId="3" applyNumberFormat="1" applyFont="1" applyFill="1" applyBorder="1" applyAlignment="1">
      <alignment vertical="center"/>
    </xf>
    <xf numFmtId="176" fontId="52" fillId="0" borderId="5" xfId="3" applyNumberFormat="1" applyFont="1" applyFill="1" applyBorder="1" applyAlignment="1">
      <alignment vertical="center"/>
    </xf>
    <xf numFmtId="0" fontId="52" fillId="0" borderId="0" xfId="3" applyNumberFormat="1" applyFont="1" applyFill="1" applyBorder="1" applyAlignment="1">
      <alignment horizontal="center" vertical="center"/>
    </xf>
    <xf numFmtId="0" fontId="52" fillId="0" borderId="0" xfId="3" applyNumberFormat="1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176" fontId="52" fillId="0" borderId="0" xfId="3" applyNumberFormat="1" applyFont="1" applyFill="1" applyBorder="1" applyAlignment="1">
      <alignment horizontal="center" vertical="center"/>
    </xf>
    <xf numFmtId="41" fontId="52" fillId="0" borderId="0" xfId="21" applyNumberFormat="1" applyFont="1" applyFill="1" applyBorder="1" applyAlignment="1">
      <alignment horizontal="center" vertical="center"/>
    </xf>
    <xf numFmtId="0" fontId="52" fillId="0" borderId="0" xfId="0" applyNumberFormat="1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0" fontId="53" fillId="0" borderId="0" xfId="3" applyNumberFormat="1" applyFont="1" applyFill="1" applyBorder="1" applyAlignment="1">
      <alignment vertical="center"/>
    </xf>
    <xf numFmtId="176" fontId="53" fillId="0" borderId="0" xfId="3" applyNumberFormat="1" applyFont="1" applyFill="1" applyBorder="1" applyAlignment="1">
      <alignment vertical="center"/>
    </xf>
    <xf numFmtId="176" fontId="53" fillId="0" borderId="53" xfId="3" applyNumberFormat="1" applyFont="1" applyFill="1" applyBorder="1" applyAlignment="1">
      <alignment vertical="center"/>
    </xf>
    <xf numFmtId="176" fontId="53" fillId="0" borderId="53" xfId="3" applyNumberFormat="1" applyFont="1" applyFill="1" applyBorder="1" applyAlignment="1">
      <alignment horizontal="right" vertical="center"/>
    </xf>
    <xf numFmtId="176" fontId="53" fillId="0" borderId="54" xfId="3" applyNumberFormat="1" applyFont="1" applyFill="1" applyBorder="1" applyAlignment="1">
      <alignment vertical="center"/>
    </xf>
    <xf numFmtId="42" fontId="52" fillId="0" borderId="0" xfId="3" applyNumberFormat="1" applyFont="1" applyFill="1" applyBorder="1" applyAlignment="1">
      <alignment horizontal="center" vertical="center"/>
    </xf>
    <xf numFmtId="176" fontId="53" fillId="0" borderId="14" xfId="3" applyNumberFormat="1" applyFont="1" applyFill="1" applyBorder="1" applyAlignment="1">
      <alignment vertical="center"/>
    </xf>
    <xf numFmtId="176" fontId="52" fillId="0" borderId="3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86" fontId="26" fillId="0" borderId="0" xfId="3" applyNumberFormat="1" applyFont="1" applyFill="1" applyBorder="1" applyAlignment="1">
      <alignment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left" vertical="center"/>
    </xf>
    <xf numFmtId="176" fontId="35" fillId="0" borderId="31" xfId="3" applyNumberFormat="1" applyFont="1" applyFill="1" applyBorder="1" applyAlignment="1">
      <alignment vertical="center"/>
    </xf>
    <xf numFmtId="176" fontId="53" fillId="0" borderId="0" xfId="3" applyNumberFormat="1" applyFont="1" applyFill="1" applyBorder="1" applyAlignment="1">
      <alignment horizontal="right" vertical="center"/>
    </xf>
    <xf numFmtId="41" fontId="52" fillId="0" borderId="0" xfId="21" applyNumberFormat="1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52" fillId="0" borderId="0" xfId="4" applyNumberFormat="1" applyFont="1" applyFill="1" applyBorder="1" applyAlignment="1">
      <alignment vertical="center"/>
    </xf>
    <xf numFmtId="0" fontId="52" fillId="0" borderId="0" xfId="0" applyNumberFormat="1" applyFont="1" applyFill="1" applyBorder="1" applyAlignment="1">
      <alignment vertical="center"/>
    </xf>
    <xf numFmtId="176" fontId="52" fillId="0" borderId="0" xfId="4" applyNumberFormat="1" applyFont="1" applyFill="1" applyBorder="1" applyAlignment="1">
      <alignment horizontal="left" vertical="center"/>
    </xf>
    <xf numFmtId="0" fontId="35" fillId="0" borderId="53" xfId="3" applyFont="1" applyFill="1" applyBorder="1" applyAlignment="1">
      <alignment vertical="center"/>
    </xf>
    <xf numFmtId="0" fontId="52" fillId="0" borderId="0" xfId="0" applyNumberFormat="1" applyFont="1" applyFill="1">
      <alignment vertical="center"/>
    </xf>
    <xf numFmtId="0" fontId="52" fillId="0" borderId="5" xfId="0" applyNumberFormat="1" applyFont="1" applyFill="1" applyBorder="1">
      <alignment vertical="center"/>
    </xf>
    <xf numFmtId="176" fontId="52" fillId="2" borderId="58" xfId="3" applyNumberFormat="1" applyFont="1" applyFill="1" applyBorder="1" applyAlignment="1">
      <alignment vertical="center"/>
    </xf>
    <xf numFmtId="42" fontId="52" fillId="2" borderId="58" xfId="3" applyNumberFormat="1" applyFont="1" applyFill="1" applyBorder="1" applyAlignment="1">
      <alignment vertical="center"/>
    </xf>
    <xf numFmtId="41" fontId="52" fillId="2" borderId="58" xfId="21" applyNumberFormat="1" applyFont="1" applyFill="1" applyBorder="1" applyAlignment="1">
      <alignment vertical="center"/>
    </xf>
    <xf numFmtId="176" fontId="52" fillId="2" borderId="58" xfId="3" applyNumberFormat="1" applyFont="1" applyFill="1" applyBorder="1" applyAlignment="1">
      <alignment horizontal="center" vertical="center"/>
    </xf>
    <xf numFmtId="176" fontId="52" fillId="2" borderId="58" xfId="3" applyNumberFormat="1" applyFont="1" applyFill="1" applyBorder="1" applyAlignment="1">
      <alignment horizontal="right" vertical="center"/>
    </xf>
    <xf numFmtId="176" fontId="52" fillId="2" borderId="59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41" fontId="13" fillId="0" borderId="0" xfId="2" applyFont="1" applyFill="1" applyAlignment="1">
      <alignment horizontal="right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0" fontId="6" fillId="0" borderId="25" xfId="7" applyBorder="1" applyAlignment="1">
      <alignment horizontal="center" vertical="center"/>
    </xf>
    <xf numFmtId="0" fontId="6" fillId="0" borderId="0" xfId="7" applyBorder="1" applyAlignment="1">
      <alignment horizontal="center" vertical="center"/>
    </xf>
    <xf numFmtId="0" fontId="6" fillId="0" borderId="46" xfId="7" applyBorder="1" applyAlignment="1">
      <alignment horizontal="center" vertical="center"/>
    </xf>
    <xf numFmtId="0" fontId="6" fillId="0" borderId="13" xfId="7" applyBorder="1" applyAlignment="1">
      <alignment horizontal="center" vertical="center"/>
    </xf>
    <xf numFmtId="0" fontId="42" fillId="0" borderId="17" xfId="7" applyFont="1" applyBorder="1" applyAlignment="1">
      <alignment horizontal="center" vertical="center"/>
    </xf>
    <xf numFmtId="0" fontId="42" fillId="0" borderId="11" xfId="7" applyFont="1" applyBorder="1" applyAlignment="1">
      <alignment horizontal="center" vertical="center"/>
    </xf>
    <xf numFmtId="0" fontId="6" fillId="0" borderId="2" xfId="7" applyBorder="1" applyAlignment="1">
      <alignment horizontal="center" vertical="center"/>
    </xf>
    <xf numFmtId="0" fontId="6" fillId="0" borderId="17" xfId="7" applyBorder="1" applyAlignment="1">
      <alignment horizontal="center" vertical="center"/>
    </xf>
    <xf numFmtId="0" fontId="6" fillId="0" borderId="32" xfId="7" applyBorder="1" applyAlignment="1">
      <alignment horizontal="center" vertical="center"/>
    </xf>
    <xf numFmtId="0" fontId="6" fillId="0" borderId="6" xfId="7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horizontal="center" vertical="center" wrapText="1"/>
    </xf>
    <xf numFmtId="0" fontId="13" fillId="0" borderId="42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47" fillId="0" borderId="33" xfId="3" applyNumberFormat="1" applyFont="1" applyFill="1" applyBorder="1" applyAlignment="1">
      <alignment horizontal="left" vertical="center" wrapText="1"/>
    </xf>
    <xf numFmtId="0" fontId="47" fillId="0" borderId="0" xfId="3" applyNumberFormat="1" applyFont="1" applyFill="1" applyBorder="1" applyAlignment="1">
      <alignment horizontal="left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2" xfId="3" applyNumberFormat="1" applyFont="1" applyFill="1" applyBorder="1" applyAlignment="1">
      <alignment horizontal="center" vertical="center" wrapText="1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176" fontId="15" fillId="0" borderId="53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3&#45380;&#48148;&#47476;&#45208;&#48148;\2024&#45380;%20&#50696;&#49328;\&#47788;&#46944;\SaniTOX%20LINK%20de66235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3&#45380;&#48148;&#47476;&#45208;&#48148;\2024&#45380;%20&#50696;&#49328;\&#47788;&#46944;\SaniTOX%20LINK%2022fe21b7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3&#45380;&#48148;&#47476;&#45208;&#48148;\2024&#45380;%20&#50696;&#49328;\&#47788;&#46944;\SaniTOX%20LINK%206661a77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3&#45380;&#48148;&#47476;&#45208;&#48148;\2024&#45380;%20&#50696;&#49328;\&#47788;&#46944;\SaniTOX%20LINK%20a0d28a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opLeftCell="F1" workbookViewId="0">
      <selection activeCell="K23" sqref="K23"/>
    </sheetView>
  </sheetViews>
  <sheetFormatPr defaultRowHeight="16.5"/>
  <cols>
    <col min="1" max="1" width="1.44140625" style="161" customWidth="1"/>
    <col min="2" max="2" width="11.5546875" style="161" bestFit="1" customWidth="1"/>
    <col min="3" max="3" width="13.33203125" style="161" bestFit="1" customWidth="1"/>
    <col min="4" max="5" width="18" style="161" bestFit="1" customWidth="1"/>
    <col min="6" max="6" width="16" style="161" bestFit="1" customWidth="1"/>
    <col min="7" max="7" width="9.6640625" style="161" bestFit="1" customWidth="1"/>
    <col min="8" max="8" width="13.33203125" style="161" bestFit="1" customWidth="1"/>
    <col min="9" max="10" width="18" style="161" bestFit="1" customWidth="1"/>
    <col min="11" max="11" width="16" style="161" bestFit="1" customWidth="1"/>
    <col min="12" max="16384" width="8.88671875" style="161"/>
  </cols>
  <sheetData>
    <row r="1" spans="2:11" ht="9.9499999999999993" customHeight="1"/>
    <row r="2" spans="2:11" ht="26.25">
      <c r="B2" s="162" t="s">
        <v>530</v>
      </c>
      <c r="K2" s="163" t="s">
        <v>307</v>
      </c>
    </row>
    <row r="3" spans="2:11" ht="9.9499999999999993" customHeight="1" thickBot="1"/>
    <row r="4" spans="2:11" ht="30" customHeight="1">
      <c r="B4" s="545" t="s">
        <v>114</v>
      </c>
      <c r="C4" s="546"/>
      <c r="D4" s="546"/>
      <c r="E4" s="546"/>
      <c r="F4" s="547"/>
      <c r="G4" s="545" t="s">
        <v>115</v>
      </c>
      <c r="H4" s="546"/>
      <c r="I4" s="546"/>
      <c r="J4" s="546"/>
      <c r="K4" s="548"/>
    </row>
    <row r="5" spans="2:11" ht="16.5" customHeight="1">
      <c r="B5" s="549" t="s">
        <v>116</v>
      </c>
      <c r="C5" s="550"/>
      <c r="D5" s="553" t="s">
        <v>520</v>
      </c>
      <c r="E5" s="553" t="s">
        <v>533</v>
      </c>
      <c r="F5" s="555" t="s">
        <v>117</v>
      </c>
      <c r="G5" s="549" t="s">
        <v>116</v>
      </c>
      <c r="H5" s="550"/>
      <c r="I5" s="553" t="s">
        <v>520</v>
      </c>
      <c r="J5" s="553" t="s">
        <v>533</v>
      </c>
      <c r="K5" s="557" t="s">
        <v>117</v>
      </c>
    </row>
    <row r="6" spans="2:11" ht="22.5" customHeight="1" thickBot="1">
      <c r="B6" s="551"/>
      <c r="C6" s="552"/>
      <c r="D6" s="554"/>
      <c r="E6" s="554"/>
      <c r="F6" s="556"/>
      <c r="G6" s="551"/>
      <c r="H6" s="552"/>
      <c r="I6" s="554"/>
      <c r="J6" s="554"/>
      <c r="K6" s="558"/>
    </row>
    <row r="7" spans="2:11" ht="24.95" customHeight="1" thickTop="1">
      <c r="B7" s="563" t="s">
        <v>118</v>
      </c>
      <c r="C7" s="564"/>
      <c r="D7" s="393">
        <f>SUM(D8:D23)/2</f>
        <v>148962000</v>
      </c>
      <c r="E7" s="393">
        <f>SUM(E8:E23)/2</f>
        <v>147667000</v>
      </c>
      <c r="F7" s="480">
        <f>SUM(F8:F23)/2</f>
        <v>-1295000</v>
      </c>
      <c r="G7" s="563" t="s">
        <v>118</v>
      </c>
      <c r="H7" s="564"/>
      <c r="I7" s="393">
        <f>SUM(I8:I27)/2</f>
        <v>148962000</v>
      </c>
      <c r="J7" s="393">
        <f>SUM(J8:J27)/2</f>
        <v>147667000</v>
      </c>
      <c r="K7" s="477">
        <f>SUM(K8:K27)/2</f>
        <v>-1295000</v>
      </c>
    </row>
    <row r="8" spans="2:11" ht="24.95" customHeight="1">
      <c r="B8" s="565" t="s">
        <v>119</v>
      </c>
      <c r="C8" s="394" t="s">
        <v>305</v>
      </c>
      <c r="D8" s="395">
        <f>D9</f>
        <v>20640000</v>
      </c>
      <c r="E8" s="395">
        <f>E9</f>
        <v>16770000</v>
      </c>
      <c r="F8" s="495">
        <f>F9</f>
        <v>-3870000</v>
      </c>
      <c r="G8" s="565" t="s">
        <v>121</v>
      </c>
      <c r="H8" s="394" t="s">
        <v>305</v>
      </c>
      <c r="I8" s="395">
        <f>SUM(I9:I11)</f>
        <v>120849000</v>
      </c>
      <c r="J8" s="395">
        <f>SUM(J9:J11)</f>
        <v>123705000</v>
      </c>
      <c r="K8" s="496">
        <f>SUM(K9:K11)</f>
        <v>2856000</v>
      </c>
    </row>
    <row r="9" spans="2:11" ht="24.95" customHeight="1">
      <c r="B9" s="566"/>
      <c r="C9" s="164" t="s">
        <v>120</v>
      </c>
      <c r="D9" s="165">
        <v>20640000</v>
      </c>
      <c r="E9" s="165">
        <v>16770000</v>
      </c>
      <c r="F9" s="482">
        <f>E9-D9</f>
        <v>-3870000</v>
      </c>
      <c r="G9" s="567"/>
      <c r="H9" s="164" t="s">
        <v>122</v>
      </c>
      <c r="I9" s="165">
        <v>108065000</v>
      </c>
      <c r="J9" s="165">
        <v>111212000</v>
      </c>
      <c r="K9" s="167">
        <f>J9-I9</f>
        <v>3147000</v>
      </c>
    </row>
    <row r="10" spans="2:11" ht="24.95" customHeight="1">
      <c r="B10" s="565" t="s">
        <v>123</v>
      </c>
      <c r="C10" s="396" t="s">
        <v>305</v>
      </c>
      <c r="D10" s="397">
        <f>SUM(D11:D14)</f>
        <v>122921000</v>
      </c>
      <c r="E10" s="397">
        <f>SUM(E11:E14)</f>
        <v>123816000</v>
      </c>
      <c r="F10" s="481">
        <f>SUM(F11:F14)</f>
        <v>895000</v>
      </c>
      <c r="G10" s="567"/>
      <c r="H10" s="164" t="s">
        <v>124</v>
      </c>
      <c r="I10" s="165">
        <v>70000</v>
      </c>
      <c r="J10" s="165">
        <v>70000</v>
      </c>
      <c r="K10" s="474">
        <f>J10-I10</f>
        <v>0</v>
      </c>
    </row>
    <row r="11" spans="2:11" ht="24.95" customHeight="1">
      <c r="B11" s="567"/>
      <c r="C11" s="268" t="s">
        <v>266</v>
      </c>
      <c r="D11" s="165">
        <v>0</v>
      </c>
      <c r="E11" s="165">
        <v>0</v>
      </c>
      <c r="F11" s="166">
        <f t="shared" ref="F11:F23" si="0">E11-D11</f>
        <v>0</v>
      </c>
      <c r="G11" s="566"/>
      <c r="H11" s="164" t="s">
        <v>77</v>
      </c>
      <c r="I11" s="165">
        <v>12714000</v>
      </c>
      <c r="J11" s="165">
        <v>12423000</v>
      </c>
      <c r="K11" s="474">
        <f t="shared" ref="K11" si="1">J11-I11</f>
        <v>-291000</v>
      </c>
    </row>
    <row r="12" spans="2:11" ht="24.95" customHeight="1">
      <c r="B12" s="567"/>
      <c r="C12" s="268" t="s">
        <v>267</v>
      </c>
      <c r="D12" s="165">
        <v>122621000</v>
      </c>
      <c r="E12" s="165">
        <v>123516000</v>
      </c>
      <c r="F12" s="482">
        <f t="shared" si="0"/>
        <v>895000</v>
      </c>
      <c r="G12" s="565" t="s">
        <v>78</v>
      </c>
      <c r="H12" s="396" t="s">
        <v>305</v>
      </c>
      <c r="I12" s="397">
        <f>SUM(I14:I15)</f>
        <v>5412000</v>
      </c>
      <c r="J12" s="397">
        <f>SUM(J14:J15)</f>
        <v>6030000</v>
      </c>
      <c r="K12" s="478">
        <f>SUM(K14:K15)</f>
        <v>618000</v>
      </c>
    </row>
    <row r="13" spans="2:11" ht="24.95" customHeight="1">
      <c r="B13" s="567"/>
      <c r="C13" s="268" t="s">
        <v>268</v>
      </c>
      <c r="D13" s="165">
        <v>300000</v>
      </c>
      <c r="E13" s="165">
        <v>300000</v>
      </c>
      <c r="F13" s="482">
        <f t="shared" ref="F13" si="2">E13-D13</f>
        <v>0</v>
      </c>
      <c r="G13" s="567"/>
      <c r="H13" s="164" t="s">
        <v>79</v>
      </c>
      <c r="I13" s="165">
        <v>0</v>
      </c>
      <c r="J13" s="165">
        <v>0</v>
      </c>
      <c r="K13" s="167">
        <f t="shared" ref="K13" si="3">J13-I13</f>
        <v>0</v>
      </c>
    </row>
    <row r="14" spans="2:11" ht="24.95" customHeight="1">
      <c r="B14" s="566"/>
      <c r="C14" s="476" t="s">
        <v>511</v>
      </c>
      <c r="D14" s="165">
        <v>0</v>
      </c>
      <c r="E14" s="165">
        <v>0</v>
      </c>
      <c r="F14" s="482">
        <f t="shared" si="0"/>
        <v>0</v>
      </c>
      <c r="G14" s="567"/>
      <c r="H14" s="476" t="s">
        <v>512</v>
      </c>
      <c r="I14" s="165">
        <v>5000000</v>
      </c>
      <c r="J14" s="165">
        <v>5000000</v>
      </c>
      <c r="K14" s="167">
        <f t="shared" ref="K14" si="4">J14-I14</f>
        <v>0</v>
      </c>
    </row>
    <row r="15" spans="2:11" ht="24.95" customHeight="1">
      <c r="B15" s="565" t="s">
        <v>80</v>
      </c>
      <c r="C15" s="396" t="s">
        <v>305</v>
      </c>
      <c r="D15" s="397">
        <f>SUM(D16:D17)</f>
        <v>510000</v>
      </c>
      <c r="E15" s="397">
        <f>SUM(E16:E17)</f>
        <v>550000</v>
      </c>
      <c r="F15" s="481">
        <f>SUM(F16:F17)</f>
        <v>40000</v>
      </c>
      <c r="G15" s="567"/>
      <c r="H15" s="491" t="s">
        <v>519</v>
      </c>
      <c r="I15" s="165">
        <v>412000</v>
      </c>
      <c r="J15" s="165">
        <v>1030000</v>
      </c>
      <c r="K15" s="474">
        <f t="shared" ref="K15" si="5">J15-I15</f>
        <v>618000</v>
      </c>
    </row>
    <row r="16" spans="2:11" ht="24.95" customHeight="1">
      <c r="B16" s="567"/>
      <c r="C16" s="491" t="s">
        <v>518</v>
      </c>
      <c r="D16" s="165">
        <v>0</v>
      </c>
      <c r="E16" s="165">
        <v>0</v>
      </c>
      <c r="F16" s="482">
        <f t="shared" si="0"/>
        <v>0</v>
      </c>
      <c r="G16" s="569"/>
      <c r="H16" s="164"/>
      <c r="I16" s="165"/>
      <c r="J16" s="165"/>
      <c r="K16" s="474"/>
    </row>
    <row r="17" spans="2:11" ht="24.95" customHeight="1">
      <c r="B17" s="566"/>
      <c r="C17" s="164" t="s">
        <v>81</v>
      </c>
      <c r="D17" s="165">
        <v>510000</v>
      </c>
      <c r="E17" s="165">
        <v>550000</v>
      </c>
      <c r="F17" s="482">
        <f t="shared" si="0"/>
        <v>40000</v>
      </c>
      <c r="G17" s="565" t="s">
        <v>84</v>
      </c>
      <c r="H17" s="396" t="s">
        <v>305</v>
      </c>
      <c r="I17" s="397">
        <f>SUM(I18:I23)</f>
        <v>22679000</v>
      </c>
      <c r="J17" s="397">
        <f>SUM(J18:J23)</f>
        <v>17910000</v>
      </c>
      <c r="K17" s="478">
        <f>SUM(K18:K23)</f>
        <v>-4769000</v>
      </c>
    </row>
    <row r="18" spans="2:11" ht="24.95" customHeight="1">
      <c r="B18" s="565" t="s">
        <v>82</v>
      </c>
      <c r="C18" s="396" t="s">
        <v>305</v>
      </c>
      <c r="D18" s="397">
        <v>0</v>
      </c>
      <c r="E18" s="397">
        <v>0</v>
      </c>
      <c r="F18" s="481">
        <f>F19</f>
        <v>0</v>
      </c>
      <c r="G18" s="567"/>
      <c r="H18" s="164" t="s">
        <v>85</v>
      </c>
      <c r="I18" s="165">
        <v>14131000</v>
      </c>
      <c r="J18" s="165">
        <v>11682000</v>
      </c>
      <c r="K18" s="474">
        <f t="shared" ref="K18:K23" si="6">J18-I18</f>
        <v>-2449000</v>
      </c>
    </row>
    <row r="19" spans="2:11" ht="24.95" customHeight="1">
      <c r="B19" s="566"/>
      <c r="C19" s="164" t="s">
        <v>83</v>
      </c>
      <c r="D19" s="165">
        <v>0</v>
      </c>
      <c r="E19" s="165">
        <v>0</v>
      </c>
      <c r="F19" s="482">
        <f t="shared" si="0"/>
        <v>0</v>
      </c>
      <c r="G19" s="567"/>
      <c r="H19" s="164" t="s">
        <v>88</v>
      </c>
      <c r="I19" s="165">
        <v>738000</v>
      </c>
      <c r="J19" s="165">
        <v>908000</v>
      </c>
      <c r="K19" s="474">
        <f t="shared" si="6"/>
        <v>170000</v>
      </c>
    </row>
    <row r="20" spans="2:11" ht="24.95" customHeight="1">
      <c r="B20" s="565" t="s">
        <v>86</v>
      </c>
      <c r="C20" s="396" t="s">
        <v>305</v>
      </c>
      <c r="D20" s="464">
        <f>D21</f>
        <v>2972000</v>
      </c>
      <c r="E20" s="464">
        <f>E21</f>
        <v>4806000</v>
      </c>
      <c r="F20" s="481">
        <f>F21</f>
        <v>1834000</v>
      </c>
      <c r="G20" s="567"/>
      <c r="H20" s="164" t="s">
        <v>91</v>
      </c>
      <c r="I20" s="165">
        <v>1120000</v>
      </c>
      <c r="J20" s="165">
        <v>860000</v>
      </c>
      <c r="K20" s="474">
        <f t="shared" si="6"/>
        <v>-260000</v>
      </c>
    </row>
    <row r="21" spans="2:11" ht="24.95" customHeight="1">
      <c r="B21" s="566"/>
      <c r="C21" s="164" t="s">
        <v>87</v>
      </c>
      <c r="D21" s="463">
        <v>2972000</v>
      </c>
      <c r="E21" s="463">
        <v>4806000</v>
      </c>
      <c r="F21" s="482">
        <f t="shared" si="0"/>
        <v>1834000</v>
      </c>
      <c r="G21" s="567"/>
      <c r="H21" s="164" t="s">
        <v>92</v>
      </c>
      <c r="I21" s="165">
        <v>620000</v>
      </c>
      <c r="J21" s="165">
        <v>460000</v>
      </c>
      <c r="K21" s="474">
        <f t="shared" si="6"/>
        <v>-160000</v>
      </c>
    </row>
    <row r="22" spans="2:11" ht="24.95" customHeight="1">
      <c r="B22" s="565" t="s">
        <v>89</v>
      </c>
      <c r="C22" s="396" t="s">
        <v>305</v>
      </c>
      <c r="D22" s="464">
        <f>D23</f>
        <v>1919000</v>
      </c>
      <c r="E22" s="464">
        <f>E23</f>
        <v>1725000</v>
      </c>
      <c r="F22" s="481">
        <f>F23</f>
        <v>-194000</v>
      </c>
      <c r="G22" s="567"/>
      <c r="H22" s="164" t="s">
        <v>93</v>
      </c>
      <c r="I22" s="165">
        <v>0</v>
      </c>
      <c r="J22" s="165">
        <v>0</v>
      </c>
      <c r="K22" s="474">
        <f t="shared" si="6"/>
        <v>0</v>
      </c>
    </row>
    <row r="23" spans="2:11" ht="24.95" customHeight="1">
      <c r="B23" s="566"/>
      <c r="C23" s="164" t="s">
        <v>90</v>
      </c>
      <c r="D23" s="463">
        <v>1919000</v>
      </c>
      <c r="E23" s="463">
        <v>1725000</v>
      </c>
      <c r="F23" s="482">
        <f t="shared" si="0"/>
        <v>-194000</v>
      </c>
      <c r="G23" s="566"/>
      <c r="H23" s="164" t="s">
        <v>94</v>
      </c>
      <c r="I23" s="165">
        <v>6070000</v>
      </c>
      <c r="J23" s="165">
        <v>4000000</v>
      </c>
      <c r="K23" s="474">
        <f t="shared" si="6"/>
        <v>-2070000</v>
      </c>
    </row>
    <row r="24" spans="2:11" ht="24.95" customHeight="1">
      <c r="B24" s="559"/>
      <c r="C24" s="560"/>
      <c r="D24" s="560"/>
      <c r="E24" s="560"/>
      <c r="F24" s="560"/>
      <c r="G24" s="565" t="s">
        <v>96</v>
      </c>
      <c r="H24" s="396" t="s">
        <v>305</v>
      </c>
      <c r="I24" s="397">
        <f>I25</f>
        <v>0</v>
      </c>
      <c r="J24" s="397">
        <f>J25</f>
        <v>0</v>
      </c>
      <c r="K24" s="398">
        <f>K25</f>
        <v>0</v>
      </c>
    </row>
    <row r="25" spans="2:11" ht="24.95" customHeight="1">
      <c r="B25" s="559"/>
      <c r="C25" s="560"/>
      <c r="D25" s="560"/>
      <c r="E25" s="560"/>
      <c r="F25" s="560"/>
      <c r="G25" s="566"/>
      <c r="H25" s="164" t="s">
        <v>97</v>
      </c>
      <c r="I25" s="165">
        <v>0</v>
      </c>
      <c r="J25" s="165">
        <v>0</v>
      </c>
      <c r="K25" s="167">
        <f t="shared" ref="K25" si="7">J25-I25</f>
        <v>0</v>
      </c>
    </row>
    <row r="26" spans="2:11" ht="24.95" customHeight="1">
      <c r="B26" s="559"/>
      <c r="C26" s="560"/>
      <c r="D26" s="560"/>
      <c r="E26" s="560"/>
      <c r="F26" s="560"/>
      <c r="G26" s="565" t="s">
        <v>98</v>
      </c>
      <c r="H26" s="396" t="s">
        <v>305</v>
      </c>
      <c r="I26" s="464">
        <f>SUM(I27:I27)</f>
        <v>22000</v>
      </c>
      <c r="J26" s="464">
        <f>SUM(J27:J27)</f>
        <v>22000</v>
      </c>
      <c r="K26" s="478">
        <f>SUM(K27:K31)</f>
        <v>0</v>
      </c>
    </row>
    <row r="27" spans="2:11" ht="24.95" customHeight="1" thickBot="1">
      <c r="B27" s="561"/>
      <c r="C27" s="562"/>
      <c r="D27" s="562"/>
      <c r="E27" s="562"/>
      <c r="F27" s="562"/>
      <c r="G27" s="568"/>
      <c r="H27" s="467" t="s">
        <v>95</v>
      </c>
      <c r="I27" s="468">
        <v>22000</v>
      </c>
      <c r="J27" s="468">
        <v>22000</v>
      </c>
      <c r="K27" s="479">
        <f t="shared" ref="K27" si="8">J27-I27</f>
        <v>0</v>
      </c>
    </row>
    <row r="28" spans="2:11">
      <c r="J28" s="497"/>
    </row>
  </sheetData>
  <mergeCells count="24">
    <mergeCell ref="B24:F27"/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6:G27"/>
    <mergeCell ref="G17:G23"/>
    <mergeCell ref="G24:G25"/>
    <mergeCell ref="G12:G16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35"/>
  <sheetViews>
    <sheetView workbookViewId="0">
      <selection activeCell="D35" sqref="D3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70" t="s">
        <v>531</v>
      </c>
      <c r="B1" s="570"/>
      <c r="C1" s="570"/>
      <c r="D1" s="570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71" t="s">
        <v>62</v>
      </c>
      <c r="B2" s="572"/>
      <c r="C2" s="572"/>
      <c r="D2" s="572"/>
      <c r="E2" s="573" t="s">
        <v>521</v>
      </c>
      <c r="F2" s="573" t="s">
        <v>534</v>
      </c>
      <c r="G2" s="581" t="s">
        <v>23</v>
      </c>
      <c r="H2" s="581"/>
      <c r="I2" s="581" t="s">
        <v>54</v>
      </c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2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125</v>
      </c>
      <c r="D3" s="20" t="s">
        <v>126</v>
      </c>
      <c r="E3" s="574"/>
      <c r="F3" s="574"/>
      <c r="G3" s="131" t="s">
        <v>102</v>
      </c>
      <c r="H3" s="21" t="s">
        <v>4</v>
      </c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4"/>
      <c r="Z3" s="8"/>
    </row>
    <row r="4" spans="1:26" s="3" customFormat="1" ht="19.5" customHeight="1">
      <c r="A4" s="575" t="s">
        <v>24</v>
      </c>
      <c r="B4" s="576"/>
      <c r="C4" s="576"/>
      <c r="D4" s="577"/>
      <c r="E4" s="191">
        <f>SUM(E5,E8,E10,E12,E147,E160,E167,E176,E206)</f>
        <v>148962</v>
      </c>
      <c r="F4" s="191">
        <f>SUM(F5,F8,F10,F12,F147,F160,F167,F176,F206)</f>
        <v>147667</v>
      </c>
      <c r="G4" s="283">
        <f>SUM(G5,G8,G10,G12,G147,G160,G167,G176,G206)</f>
        <v>-1295</v>
      </c>
      <c r="H4" s="192">
        <f t="shared" ref="H4" si="0">IF(E4=0,0,G4/E4)</f>
        <v>-8.6934923000496767E-3</v>
      </c>
      <c r="I4" s="22" t="s">
        <v>111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7">
        <f>SUM(X5,X8,X10,X12,X147,X160,X167,X176,X206)</f>
        <v>147667000</v>
      </c>
      <c r="Y4" s="24" t="s">
        <v>112</v>
      </c>
      <c r="Z4" s="8"/>
    </row>
    <row r="5" spans="1:26" ht="21" customHeight="1" thickBot="1">
      <c r="A5" s="27" t="s">
        <v>58</v>
      </c>
      <c r="B5" s="28" t="s">
        <v>58</v>
      </c>
      <c r="C5" s="169" t="s">
        <v>101</v>
      </c>
      <c r="D5" s="169" t="s">
        <v>101</v>
      </c>
      <c r="E5" s="185">
        <v>20640</v>
      </c>
      <c r="F5" s="185">
        <f>ROUND(X5/1000,0)</f>
        <v>16770</v>
      </c>
      <c r="G5" s="186">
        <f>F5-E5</f>
        <v>-3870</v>
      </c>
      <c r="H5" s="187">
        <f>IF(E5=0,0,G5/E5)</f>
        <v>-0.1875</v>
      </c>
      <c r="I5" s="32" t="s">
        <v>110</v>
      </c>
      <c r="J5" s="125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16770000</v>
      </c>
      <c r="Y5" s="36" t="s">
        <v>25</v>
      </c>
    </row>
    <row r="6" spans="1:26" ht="21" customHeight="1">
      <c r="A6" s="37" t="s">
        <v>59</v>
      </c>
      <c r="B6" s="38" t="s">
        <v>100</v>
      </c>
      <c r="C6" s="39" t="s">
        <v>100</v>
      </c>
      <c r="D6" s="39" t="s">
        <v>100</v>
      </c>
      <c r="E6" s="411"/>
      <c r="F6" s="411"/>
      <c r="G6" s="412"/>
      <c r="H6" s="413"/>
      <c r="I6" s="278" t="s">
        <v>270</v>
      </c>
      <c r="J6" s="44"/>
      <c r="K6" s="45"/>
      <c r="L6" s="45"/>
      <c r="M6" s="287">
        <v>430000</v>
      </c>
      <c r="N6" s="287" t="s">
        <v>56</v>
      </c>
      <c r="O6" s="288" t="s">
        <v>57</v>
      </c>
      <c r="P6" s="409">
        <v>3</v>
      </c>
      <c r="Q6" s="287" t="s">
        <v>55</v>
      </c>
      <c r="R6" s="288" t="s">
        <v>57</v>
      </c>
      <c r="S6" s="46">
        <v>12</v>
      </c>
      <c r="T6" s="403" t="s">
        <v>0</v>
      </c>
      <c r="U6" s="403" t="s">
        <v>53</v>
      </c>
      <c r="V6" s="403"/>
      <c r="W6" s="287"/>
      <c r="X6" s="449">
        <f>M6*P6*S6</f>
        <v>15480000</v>
      </c>
      <c r="Y6" s="47" t="s">
        <v>56</v>
      </c>
    </row>
    <row r="7" spans="1:26" ht="21" customHeight="1">
      <c r="A7" s="37"/>
      <c r="B7" s="38"/>
      <c r="C7" s="39"/>
      <c r="D7" s="39"/>
      <c r="E7" s="411"/>
      <c r="F7" s="411"/>
      <c r="G7" s="412"/>
      <c r="H7" s="413"/>
      <c r="I7" s="278"/>
      <c r="J7" s="44"/>
      <c r="K7" s="45"/>
      <c r="L7" s="45"/>
      <c r="M7" s="287">
        <v>430000</v>
      </c>
      <c r="N7" s="287" t="s">
        <v>56</v>
      </c>
      <c r="O7" s="288" t="s">
        <v>57</v>
      </c>
      <c r="P7" s="449">
        <v>1</v>
      </c>
      <c r="Q7" s="287" t="s">
        <v>55</v>
      </c>
      <c r="R7" s="288" t="s">
        <v>57</v>
      </c>
      <c r="S7" s="46">
        <v>3</v>
      </c>
      <c r="T7" s="542" t="s">
        <v>0</v>
      </c>
      <c r="U7" s="542" t="s">
        <v>53</v>
      </c>
      <c r="V7" s="542"/>
      <c r="W7" s="287"/>
      <c r="X7" s="449">
        <f>M7*P7*S7</f>
        <v>1290000</v>
      </c>
      <c r="Y7" s="47" t="s">
        <v>56</v>
      </c>
    </row>
    <row r="8" spans="1:26" s="11" customFormat="1" ht="19.5" customHeight="1" thickBot="1">
      <c r="A8" s="27" t="s">
        <v>127</v>
      </c>
      <c r="B8" s="28" t="s">
        <v>129</v>
      </c>
      <c r="C8" s="28" t="s">
        <v>127</v>
      </c>
      <c r="D8" s="28" t="s">
        <v>127</v>
      </c>
      <c r="E8" s="185">
        <v>0</v>
      </c>
      <c r="F8" s="185">
        <f>ROUND(X8/1000,0)</f>
        <v>0</v>
      </c>
      <c r="G8" s="186">
        <f>F8-E8</f>
        <v>0</v>
      </c>
      <c r="H8" s="187">
        <f>IF(E8=0,0,G8/E8)</f>
        <v>0</v>
      </c>
      <c r="I8" s="32" t="s">
        <v>131</v>
      </c>
      <c r="J8" s="125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128</v>
      </c>
      <c r="B9" s="49" t="s">
        <v>130</v>
      </c>
      <c r="C9" s="49" t="s">
        <v>128</v>
      </c>
      <c r="D9" s="49" t="s">
        <v>128</v>
      </c>
      <c r="E9" s="40"/>
      <c r="F9" s="40"/>
      <c r="G9" s="41"/>
      <c r="H9" s="25"/>
      <c r="I9" s="43" t="s">
        <v>269</v>
      </c>
      <c r="J9" s="44"/>
      <c r="K9" s="45"/>
      <c r="L9" s="45"/>
      <c r="M9" s="195"/>
      <c r="N9" s="195"/>
      <c r="O9" s="196"/>
      <c r="P9" s="195"/>
      <c r="Q9" s="195"/>
      <c r="R9" s="196"/>
      <c r="S9" s="46"/>
      <c r="T9" s="228"/>
      <c r="U9" s="228"/>
      <c r="V9" s="228"/>
      <c r="W9" s="195"/>
      <c r="X9" s="195">
        <v>0</v>
      </c>
      <c r="Y9" s="47" t="s">
        <v>56</v>
      </c>
    </row>
    <row r="10" spans="1:26" ht="21" customHeight="1" thickBot="1">
      <c r="A10" s="27" t="s">
        <v>133</v>
      </c>
      <c r="B10" s="28" t="s">
        <v>135</v>
      </c>
      <c r="C10" s="28" t="s">
        <v>133</v>
      </c>
      <c r="D10" s="28" t="s">
        <v>133</v>
      </c>
      <c r="E10" s="185">
        <v>0</v>
      </c>
      <c r="F10" s="185">
        <f>ROUND(X10/1000,0)</f>
        <v>0</v>
      </c>
      <c r="G10" s="186">
        <f>F10-E10</f>
        <v>0</v>
      </c>
      <c r="H10" s="187">
        <f>IF(E10=0,0,G10/E10)</f>
        <v>0</v>
      </c>
      <c r="I10" s="32" t="s">
        <v>198</v>
      </c>
      <c r="J10" s="125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195</v>
      </c>
      <c r="B11" s="49" t="s">
        <v>196</v>
      </c>
      <c r="C11" s="49" t="s">
        <v>196</v>
      </c>
      <c r="D11" s="99" t="s">
        <v>196</v>
      </c>
      <c r="E11" s="200"/>
      <c r="F11" s="201">
        <v>0</v>
      </c>
      <c r="G11" s="202"/>
      <c r="H11" s="203"/>
      <c r="I11" s="204"/>
      <c r="J11" s="205"/>
      <c r="K11" s="206"/>
      <c r="L11" s="206"/>
      <c r="M11" s="206"/>
      <c r="N11" s="206"/>
      <c r="O11" s="206"/>
      <c r="P11" s="207"/>
      <c r="Q11" s="207"/>
      <c r="R11" s="207"/>
      <c r="S11" s="207"/>
      <c r="T11" s="207"/>
      <c r="U11" s="207"/>
      <c r="V11" s="207"/>
      <c r="W11" s="208"/>
      <c r="X11" s="208">
        <v>0</v>
      </c>
      <c r="Y11" s="256" t="s">
        <v>197</v>
      </c>
    </row>
    <row r="12" spans="1:26" s="11" customFormat="1" ht="19.5" customHeight="1">
      <c r="A12" s="27" t="s">
        <v>132</v>
      </c>
      <c r="B12" s="28" t="s">
        <v>132</v>
      </c>
      <c r="C12" s="578" t="s">
        <v>253</v>
      </c>
      <c r="D12" s="579"/>
      <c r="E12" s="238">
        <f>SUM(E13,E22,E86,E144)</f>
        <v>122921</v>
      </c>
      <c r="F12" s="238">
        <f>SUM(F13,F22,F86,F144)</f>
        <v>123816</v>
      </c>
      <c r="G12" s="239">
        <f t="shared" ref="G12:G14" si="1">F12-E12</f>
        <v>895</v>
      </c>
      <c r="H12" s="240">
        <f t="shared" ref="H12:H14" si="2">IF(E12=0,0,G12/E12)</f>
        <v>7.2810992426029725E-3</v>
      </c>
      <c r="I12" s="241" t="s">
        <v>254</v>
      </c>
      <c r="J12" s="242"/>
      <c r="K12" s="243"/>
      <c r="L12" s="243"/>
      <c r="M12" s="242"/>
      <c r="N12" s="242"/>
      <c r="O12" s="242"/>
      <c r="P12" s="242"/>
      <c r="Q12" s="242"/>
      <c r="R12" s="244"/>
      <c r="S12" s="244"/>
      <c r="T12" s="244"/>
      <c r="U12" s="244"/>
      <c r="V12" s="244"/>
      <c r="W12" s="244"/>
      <c r="X12" s="245">
        <f>SUM(X13,X22,X86,X144)</f>
        <v>123816000</v>
      </c>
      <c r="Y12" s="257" t="s">
        <v>25</v>
      </c>
      <c r="Z12" s="6"/>
    </row>
    <row r="13" spans="1:26" s="11" customFormat="1" ht="19.5" customHeight="1">
      <c r="A13" s="37" t="s">
        <v>134</v>
      </c>
      <c r="B13" s="38" t="s">
        <v>130</v>
      </c>
      <c r="C13" s="28" t="s">
        <v>136</v>
      </c>
      <c r="D13" s="255" t="s">
        <v>137</v>
      </c>
      <c r="E13" s="188">
        <f>SUM(E14:E20)</f>
        <v>0</v>
      </c>
      <c r="F13" s="188">
        <f>SUM(F14:F20)</f>
        <v>0</v>
      </c>
      <c r="G13" s="189">
        <f t="shared" si="1"/>
        <v>0</v>
      </c>
      <c r="H13" s="190">
        <f t="shared" si="2"/>
        <v>0</v>
      </c>
      <c r="I13" s="172" t="s">
        <v>138</v>
      </c>
      <c r="J13" s="173"/>
      <c r="K13" s="174"/>
      <c r="L13" s="174"/>
      <c r="M13" s="174"/>
      <c r="N13" s="174"/>
      <c r="O13" s="174"/>
      <c r="P13" s="175"/>
      <c r="Q13" s="175"/>
      <c r="R13" s="175"/>
      <c r="S13" s="175"/>
      <c r="T13" s="175"/>
      <c r="U13" s="175"/>
      <c r="V13" s="209" t="s">
        <v>199</v>
      </c>
      <c r="W13" s="210"/>
      <c r="X13" s="211">
        <f>SUM(X14,X17,X20)</f>
        <v>0</v>
      </c>
      <c r="Y13" s="258" t="s">
        <v>200</v>
      </c>
      <c r="Z13" s="6"/>
    </row>
    <row r="14" spans="1:26" s="11" customFormat="1" ht="19.5" customHeight="1">
      <c r="A14" s="37"/>
      <c r="B14" s="38"/>
      <c r="C14" s="38" t="s">
        <v>194</v>
      </c>
      <c r="D14" s="38" t="s">
        <v>193</v>
      </c>
      <c r="E14" s="199">
        <v>0</v>
      </c>
      <c r="F14" s="199">
        <f>ROUND(X14/1000,0)</f>
        <v>0</v>
      </c>
      <c r="G14" s="263">
        <f t="shared" si="1"/>
        <v>0</v>
      </c>
      <c r="H14" s="264">
        <f t="shared" si="2"/>
        <v>0</v>
      </c>
      <c r="I14" s="126" t="s">
        <v>191</v>
      </c>
      <c r="J14" s="196"/>
      <c r="K14" s="195"/>
      <c r="L14" s="195"/>
      <c r="M14" s="195"/>
      <c r="N14" s="228"/>
      <c r="O14" s="176"/>
      <c r="P14" s="195"/>
      <c r="Q14" s="44"/>
      <c r="R14" s="177"/>
      <c r="S14" s="180"/>
      <c r="T14" s="180"/>
      <c r="U14" s="228"/>
      <c r="V14" s="194" t="s">
        <v>192</v>
      </c>
      <c r="W14" s="128"/>
      <c r="X14" s="128">
        <f>SUM(X15:X15)</f>
        <v>0</v>
      </c>
      <c r="Y14" s="129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3"/>
      <c r="G15" s="41"/>
      <c r="H15" s="60"/>
      <c r="I15" s="279" t="s">
        <v>271</v>
      </c>
      <c r="J15" s="196"/>
      <c r="K15" s="195"/>
      <c r="L15" s="195"/>
      <c r="M15" s="195">
        <v>0</v>
      </c>
      <c r="N15" s="228" t="s">
        <v>25</v>
      </c>
      <c r="O15" s="176" t="s">
        <v>26</v>
      </c>
      <c r="P15" s="119">
        <v>0</v>
      </c>
      <c r="Q15" s="44" t="s">
        <v>108</v>
      </c>
      <c r="R15" s="177" t="s">
        <v>26</v>
      </c>
      <c r="S15" s="180">
        <v>0</v>
      </c>
      <c r="T15" s="180" t="s">
        <v>29</v>
      </c>
      <c r="U15" s="228" t="s">
        <v>26</v>
      </c>
      <c r="V15" s="232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79"/>
      <c r="J16" s="58"/>
      <c r="K16" s="179"/>
      <c r="L16" s="179"/>
      <c r="M16" s="287"/>
      <c r="N16" s="287"/>
      <c r="O16" s="176"/>
      <c r="P16" s="336"/>
      <c r="Q16" s="44"/>
      <c r="R16" s="178"/>
      <c r="S16" s="46"/>
      <c r="T16" s="335"/>
      <c r="U16" s="335"/>
      <c r="V16" s="232"/>
      <c r="W16" s="288"/>
      <c r="X16" s="58"/>
      <c r="Y16" s="47"/>
      <c r="Z16" s="6"/>
    </row>
    <row r="17" spans="1:26" s="11" customFormat="1" ht="19.5" hidden="1" customHeight="1" thickBot="1">
      <c r="A17" s="50"/>
      <c r="B17" s="38"/>
      <c r="C17" s="38"/>
      <c r="D17" s="28" t="s">
        <v>107</v>
      </c>
      <c r="E17" s="29">
        <v>0</v>
      </c>
      <c r="F17" s="212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4" t="s">
        <v>438</v>
      </c>
      <c r="J17" s="223"/>
      <c r="K17" s="231"/>
      <c r="L17" s="231"/>
      <c r="M17" s="79"/>
      <c r="N17" s="79"/>
      <c r="O17" s="213"/>
      <c r="P17" s="79"/>
      <c r="Q17" s="214"/>
      <c r="R17" s="221"/>
      <c r="S17" s="222"/>
      <c r="T17" s="334"/>
      <c r="U17" s="334"/>
      <c r="V17" s="225" t="s">
        <v>192</v>
      </c>
      <c r="W17" s="226"/>
      <c r="X17" s="226">
        <v>0</v>
      </c>
      <c r="Y17" s="259" t="s">
        <v>56</v>
      </c>
      <c r="Z17" s="6"/>
    </row>
    <row r="18" spans="1:26" s="11" customFormat="1" ht="19.5" hidden="1" customHeight="1">
      <c r="A18" s="50"/>
      <c r="B18" s="38"/>
      <c r="C18" s="38"/>
      <c r="D18" s="38"/>
      <c r="E18" s="40"/>
      <c r="F18" s="40"/>
      <c r="G18" s="41"/>
      <c r="H18" s="60"/>
      <c r="I18" s="280" t="s">
        <v>272</v>
      </c>
      <c r="J18" s="288"/>
      <c r="K18" s="287"/>
      <c r="L18" s="287"/>
      <c r="M18" s="287">
        <v>0</v>
      </c>
      <c r="N18" s="287" t="s">
        <v>56</v>
      </c>
      <c r="O18" s="64" t="s">
        <v>57</v>
      </c>
      <c r="P18" s="270">
        <v>0.7</v>
      </c>
      <c r="Q18" s="287"/>
      <c r="R18" s="287"/>
      <c r="S18" s="287"/>
      <c r="T18" s="287"/>
      <c r="U18" s="287" t="s">
        <v>53</v>
      </c>
      <c r="V18" s="337" t="s">
        <v>69</v>
      </c>
      <c r="W18" s="62"/>
      <c r="X18" s="337">
        <f>ROUND(M18*P18,-3)</f>
        <v>0</v>
      </c>
      <c r="Y18" s="63" t="s">
        <v>25</v>
      </c>
      <c r="Z18" s="6"/>
    </row>
    <row r="19" spans="1:26" s="11" customFormat="1" ht="19.5" hidden="1" customHeight="1">
      <c r="A19" s="50"/>
      <c r="B19" s="38"/>
      <c r="C19" s="38"/>
      <c r="D19" s="49"/>
      <c r="E19" s="51"/>
      <c r="F19" s="51"/>
      <c r="G19" s="52"/>
      <c r="H19" s="75"/>
      <c r="I19" s="338"/>
      <c r="J19" s="62"/>
      <c r="K19" s="217"/>
      <c r="L19" s="217"/>
      <c r="M19" s="337"/>
      <c r="N19" s="337"/>
      <c r="O19" s="218"/>
      <c r="P19" s="337"/>
      <c r="Q19" s="116"/>
      <c r="R19" s="219"/>
      <c r="S19" s="72"/>
      <c r="T19" s="168"/>
      <c r="U19" s="168"/>
      <c r="V19" s="220"/>
      <c r="W19" s="338"/>
      <c r="X19" s="62"/>
      <c r="Y19" s="63"/>
      <c r="Z19" s="6"/>
    </row>
    <row r="20" spans="1:26" s="11" customFormat="1" ht="19.5" hidden="1" customHeight="1">
      <c r="A20" s="50"/>
      <c r="B20" s="38"/>
      <c r="C20" s="38"/>
      <c r="D20" s="28" t="s">
        <v>294</v>
      </c>
      <c r="E20" s="212">
        <v>0</v>
      </c>
      <c r="F20" s="212">
        <f>ROUND(X20/1000,0)</f>
        <v>0</v>
      </c>
      <c r="G20" s="265">
        <f t="shared" ref="G20" si="5">F20-E20</f>
        <v>0</v>
      </c>
      <c r="H20" s="109">
        <f t="shared" ref="H20" si="6">IF(E20=0,0,G20/E20)</f>
        <v>0</v>
      </c>
      <c r="I20" s="339" t="s">
        <v>297</v>
      </c>
      <c r="J20" s="340"/>
      <c r="K20" s="341"/>
      <c r="L20" s="341"/>
      <c r="M20" s="342"/>
      <c r="N20" s="342"/>
      <c r="O20" s="343"/>
      <c r="P20" s="342"/>
      <c r="Q20" s="344"/>
      <c r="R20" s="345"/>
      <c r="S20" s="346"/>
      <c r="T20" s="347"/>
      <c r="U20" s="347"/>
      <c r="V20" s="348" t="s">
        <v>298</v>
      </c>
      <c r="W20" s="349"/>
      <c r="X20" s="349">
        <v>0</v>
      </c>
      <c r="Y20" s="350" t="s">
        <v>299</v>
      </c>
      <c r="Z20" s="6"/>
    </row>
    <row r="21" spans="1:26" s="11" customFormat="1" ht="19.5" hidden="1" customHeight="1">
      <c r="A21" s="50"/>
      <c r="B21" s="38"/>
      <c r="C21" s="38"/>
      <c r="D21" s="49"/>
      <c r="E21" s="51"/>
      <c r="F21" s="51"/>
      <c r="G21" s="52"/>
      <c r="H21" s="75"/>
      <c r="I21" s="330"/>
      <c r="J21" s="332"/>
      <c r="K21" s="359"/>
      <c r="L21" s="359"/>
      <c r="M21" s="331"/>
      <c r="N21" s="331"/>
      <c r="O21" s="360"/>
      <c r="P21" s="331"/>
      <c r="Q21" s="361"/>
      <c r="R21" s="362"/>
      <c r="S21" s="363"/>
      <c r="T21" s="364"/>
      <c r="U21" s="364"/>
      <c r="V21" s="365"/>
      <c r="W21" s="366"/>
      <c r="X21" s="332"/>
      <c r="Y21" s="333"/>
      <c r="Z21" s="6"/>
    </row>
    <row r="22" spans="1:26" s="11" customFormat="1" ht="19.5" customHeight="1">
      <c r="A22" s="50"/>
      <c r="B22" s="38"/>
      <c r="C22" s="28" t="s">
        <v>140</v>
      </c>
      <c r="D22" s="255" t="s">
        <v>109</v>
      </c>
      <c r="E22" s="188">
        <f>SUM(E23:E85)</f>
        <v>122621</v>
      </c>
      <c r="F22" s="188">
        <f>SUM(F23:F85)</f>
        <v>123516</v>
      </c>
      <c r="G22" s="189">
        <f t="shared" ref="G22:G23" si="7">F22-E22</f>
        <v>895</v>
      </c>
      <c r="H22" s="190">
        <f t="shared" ref="H22:H23" si="8">IF(E22=0,0,G22/E22)</f>
        <v>7.2989129105128815E-3</v>
      </c>
      <c r="I22" s="172" t="s">
        <v>201</v>
      </c>
      <c r="J22" s="173"/>
      <c r="K22" s="174"/>
      <c r="L22" s="174"/>
      <c r="M22" s="174"/>
      <c r="N22" s="174"/>
      <c r="O22" s="174"/>
      <c r="P22" s="175"/>
      <c r="Q22" s="175"/>
      <c r="R22" s="175"/>
      <c r="S22" s="175"/>
      <c r="T22" s="175"/>
      <c r="U22" s="175"/>
      <c r="V22" s="209" t="s">
        <v>69</v>
      </c>
      <c r="W22" s="210"/>
      <c r="X22" s="210">
        <f>SUM(X23,X26,X63,X69,X80,X83)</f>
        <v>123516000</v>
      </c>
      <c r="Y22" s="258" t="s">
        <v>56</v>
      </c>
      <c r="Z22" s="6"/>
    </row>
    <row r="23" spans="1:26" s="11" customFormat="1" ht="19.5" customHeight="1">
      <c r="A23" s="50"/>
      <c r="B23" s="38"/>
      <c r="C23" s="38" t="s">
        <v>141</v>
      </c>
      <c r="D23" s="28" t="s">
        <v>193</v>
      </c>
      <c r="E23" s="29">
        <v>0</v>
      </c>
      <c r="F23" s="212">
        <f>ROUND(X23/1000,0)</f>
        <v>0</v>
      </c>
      <c r="G23" s="30">
        <f t="shared" si="7"/>
        <v>0</v>
      </c>
      <c r="H23" s="109">
        <f t="shared" si="8"/>
        <v>0</v>
      </c>
      <c r="I23" s="126" t="s">
        <v>191</v>
      </c>
      <c r="J23" s="138"/>
      <c r="K23" s="79"/>
      <c r="L23" s="79"/>
      <c r="M23" s="79"/>
      <c r="N23" s="227"/>
      <c r="O23" s="213"/>
      <c r="P23" s="79"/>
      <c r="Q23" s="214"/>
      <c r="R23" s="215"/>
      <c r="S23" s="216"/>
      <c r="T23" s="216"/>
      <c r="U23" s="227"/>
      <c r="V23" s="194" t="s">
        <v>192</v>
      </c>
      <c r="W23" s="128"/>
      <c r="X23" s="128">
        <f>SUM(X24:X24)</f>
        <v>0</v>
      </c>
      <c r="Y23" s="129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79" t="s">
        <v>271</v>
      </c>
      <c r="J24" s="288"/>
      <c r="K24" s="287"/>
      <c r="L24" s="287"/>
      <c r="M24" s="287">
        <v>0</v>
      </c>
      <c r="N24" s="400" t="s">
        <v>25</v>
      </c>
      <c r="O24" s="176" t="s">
        <v>26</v>
      </c>
      <c r="P24" s="401">
        <v>0</v>
      </c>
      <c r="Q24" s="44" t="s">
        <v>108</v>
      </c>
      <c r="R24" s="177" t="s">
        <v>26</v>
      </c>
      <c r="S24" s="180">
        <v>0</v>
      </c>
      <c r="T24" s="180" t="s">
        <v>29</v>
      </c>
      <c r="U24" s="400" t="s">
        <v>26</v>
      </c>
      <c r="V24" s="232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8"/>
      <c r="J25" s="62"/>
      <c r="K25" s="217"/>
      <c r="L25" s="217"/>
      <c r="M25" s="197"/>
      <c r="N25" s="197"/>
      <c r="O25" s="218"/>
      <c r="P25" s="197"/>
      <c r="Q25" s="116"/>
      <c r="R25" s="219"/>
      <c r="S25" s="72"/>
      <c r="T25" s="168"/>
      <c r="U25" s="168"/>
      <c r="V25" s="220"/>
      <c r="W25" s="198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202</v>
      </c>
      <c r="E26" s="462">
        <v>107415</v>
      </c>
      <c r="F26" s="212">
        <f>ROUND(X26/1000,0)</f>
        <v>110562</v>
      </c>
      <c r="G26" s="30">
        <f t="shared" ref="G26" si="9">F26-E26</f>
        <v>3147</v>
      </c>
      <c r="H26" s="109">
        <f t="shared" ref="H26" si="10">IF(E26=0,0,G26/E26)</f>
        <v>2.9297584136293815E-2</v>
      </c>
      <c r="I26" s="224" t="s">
        <v>313</v>
      </c>
      <c r="J26" s="223"/>
      <c r="K26" s="231"/>
      <c r="L26" s="231"/>
      <c r="M26" s="79"/>
      <c r="N26" s="79"/>
      <c r="O26" s="213"/>
      <c r="P26" s="79"/>
      <c r="Q26" s="214"/>
      <c r="R26" s="221"/>
      <c r="S26" s="222"/>
      <c r="T26" s="227"/>
      <c r="U26" s="227"/>
      <c r="V26" s="225" t="s">
        <v>192</v>
      </c>
      <c r="W26" s="226"/>
      <c r="X26" s="226">
        <f>SUM(X27,X30,X43,X46,)</f>
        <v>110562000</v>
      </c>
      <c r="Y26" s="259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199"/>
      <c r="G27" s="41"/>
      <c r="H27" s="60"/>
      <c r="I27" s="280" t="s">
        <v>272</v>
      </c>
      <c r="J27" s="288"/>
      <c r="K27" s="287"/>
      <c r="L27" s="287"/>
      <c r="M27" s="287"/>
      <c r="N27" s="287"/>
      <c r="O27" s="64"/>
      <c r="P27" s="270"/>
      <c r="Q27" s="287"/>
      <c r="R27" s="287"/>
      <c r="S27" s="287"/>
      <c r="T27" s="287"/>
      <c r="U27" s="287"/>
      <c r="V27" s="337" t="s">
        <v>69</v>
      </c>
      <c r="W27" s="62"/>
      <c r="X27" s="414">
        <f>SUM(X28:X29)</f>
        <v>65584000</v>
      </c>
      <c r="Y27" s="415" t="s">
        <v>310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199"/>
      <c r="G28" s="41"/>
      <c r="H28" s="60"/>
      <c r="I28" s="279" t="s">
        <v>490</v>
      </c>
      <c r="J28" s="288"/>
      <c r="K28" s="287"/>
      <c r="L28" s="287"/>
      <c r="M28" s="269">
        <v>65584000</v>
      </c>
      <c r="N28" s="287" t="s">
        <v>56</v>
      </c>
      <c r="O28" s="64" t="s">
        <v>57</v>
      </c>
      <c r="P28" s="270">
        <v>1</v>
      </c>
      <c r="Q28" s="287"/>
      <c r="R28" s="287"/>
      <c r="S28" s="287"/>
      <c r="T28" s="287"/>
      <c r="U28" s="287" t="s">
        <v>311</v>
      </c>
      <c r="V28" s="287"/>
      <c r="W28" s="58"/>
      <c r="X28" s="287">
        <f>ROUND(M28*P28,-3)</f>
        <v>65584000</v>
      </c>
      <c r="Y28" s="47" t="s">
        <v>310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79"/>
      <c r="J29" s="196"/>
      <c r="K29" s="195"/>
      <c r="L29" s="195"/>
      <c r="M29" s="269"/>
      <c r="N29" s="195"/>
      <c r="O29" s="64"/>
      <c r="P29" s="270"/>
      <c r="Q29" s="195"/>
      <c r="R29" s="195"/>
      <c r="S29" s="195"/>
      <c r="T29" s="195"/>
      <c r="U29" s="195"/>
      <c r="V29" s="287"/>
      <c r="W29" s="58"/>
      <c r="X29" s="287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0" t="s">
        <v>273</v>
      </c>
      <c r="J30" s="196"/>
      <c r="K30" s="195"/>
      <c r="L30" s="195"/>
      <c r="M30" s="269"/>
      <c r="N30" s="195"/>
      <c r="O30" s="195"/>
      <c r="P30" s="195"/>
      <c r="Q30" s="195"/>
      <c r="R30" s="195"/>
      <c r="S30" s="195"/>
      <c r="T30" s="195"/>
      <c r="U30" s="195"/>
      <c r="V30" s="55"/>
      <c r="W30" s="416"/>
      <c r="X30" s="55">
        <f>SUM(X31,X34,X37,X40)</f>
        <v>27521000</v>
      </c>
      <c r="Y30" s="259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79" t="s">
        <v>274</v>
      </c>
      <c r="J31" s="196"/>
      <c r="K31" s="195"/>
      <c r="L31" s="195"/>
      <c r="M31" s="269"/>
      <c r="N31" s="195"/>
      <c r="O31" s="64"/>
      <c r="P31" s="270"/>
      <c r="Q31" s="195"/>
      <c r="R31" s="195"/>
      <c r="S31" s="195"/>
      <c r="T31" s="195"/>
      <c r="U31" s="195"/>
      <c r="V31" s="337" t="s">
        <v>69</v>
      </c>
      <c r="W31" s="62"/>
      <c r="X31" s="337">
        <f>SUM(X32:X33)</f>
        <v>6529000</v>
      </c>
      <c r="Y31" s="63" t="s">
        <v>310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79" t="s">
        <v>490</v>
      </c>
      <c r="J32" s="288"/>
      <c r="K32" s="287"/>
      <c r="L32" s="287"/>
      <c r="M32" s="269">
        <v>6529000</v>
      </c>
      <c r="N32" s="287" t="s">
        <v>56</v>
      </c>
      <c r="O32" s="64" t="s">
        <v>57</v>
      </c>
      <c r="P32" s="270">
        <v>1</v>
      </c>
      <c r="Q32" s="287"/>
      <c r="R32" s="287"/>
      <c r="S32" s="287"/>
      <c r="T32" s="287"/>
      <c r="U32" s="287" t="s">
        <v>208</v>
      </c>
      <c r="V32" s="403"/>
      <c r="W32" s="403"/>
      <c r="X32" s="287">
        <f>ROUND(M32*P32,-3)</f>
        <v>6529000</v>
      </c>
      <c r="Y32" s="47" t="s">
        <v>312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79"/>
      <c r="J33" s="288"/>
      <c r="K33" s="287"/>
      <c r="L33" s="287"/>
      <c r="M33" s="269"/>
      <c r="N33" s="287"/>
      <c r="O33" s="64"/>
      <c r="P33" s="270"/>
      <c r="Q33" s="287"/>
      <c r="R33" s="287"/>
      <c r="S33" s="287"/>
      <c r="T33" s="287"/>
      <c r="U33" s="287"/>
      <c r="V33" s="403"/>
      <c r="W33" s="403"/>
      <c r="X33" s="287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79" t="s">
        <v>275</v>
      </c>
      <c r="J34" s="196"/>
      <c r="K34" s="195"/>
      <c r="L34" s="195"/>
      <c r="M34" s="269"/>
      <c r="N34" s="195"/>
      <c r="O34" s="64"/>
      <c r="P34" s="270"/>
      <c r="Q34" s="195"/>
      <c r="R34" s="195"/>
      <c r="S34" s="195"/>
      <c r="T34" s="195"/>
      <c r="U34" s="195"/>
      <c r="V34" s="337" t="s">
        <v>69</v>
      </c>
      <c r="W34" s="62"/>
      <c r="X34" s="337">
        <f>SUM(X35:X36)</f>
        <v>2160000</v>
      </c>
      <c r="Y34" s="63" t="s">
        <v>310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79" t="s">
        <v>505</v>
      </c>
      <c r="J35" s="288"/>
      <c r="K35" s="287"/>
      <c r="L35" s="287"/>
      <c r="M35" s="269">
        <v>2160000</v>
      </c>
      <c r="N35" s="287" t="s">
        <v>56</v>
      </c>
      <c r="O35" s="64" t="s">
        <v>57</v>
      </c>
      <c r="P35" s="270">
        <v>1</v>
      </c>
      <c r="Q35" s="287"/>
      <c r="R35" s="287"/>
      <c r="S35" s="287"/>
      <c r="T35" s="287"/>
      <c r="U35" s="287" t="s">
        <v>208</v>
      </c>
      <c r="V35" s="403"/>
      <c r="W35" s="403"/>
      <c r="X35" s="287">
        <f t="shared" ref="X35" si="11">ROUND(M35*P35,-3)</f>
        <v>2160000</v>
      </c>
      <c r="Y35" s="47" t="s">
        <v>312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79"/>
      <c r="J36" s="288"/>
      <c r="K36" s="287"/>
      <c r="L36" s="287"/>
      <c r="M36" s="269"/>
      <c r="N36" s="287"/>
      <c r="O36" s="64"/>
      <c r="P36" s="270"/>
      <c r="Q36" s="287"/>
      <c r="R36" s="287"/>
      <c r="S36" s="287"/>
      <c r="T36" s="287"/>
      <c r="U36" s="287"/>
      <c r="V36" s="403"/>
      <c r="W36" s="403"/>
      <c r="X36" s="287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79" t="s">
        <v>276</v>
      </c>
      <c r="J37" s="196"/>
      <c r="K37" s="195"/>
      <c r="L37" s="195"/>
      <c r="M37" s="269"/>
      <c r="N37" s="195"/>
      <c r="O37" s="64"/>
      <c r="P37" s="270"/>
      <c r="Q37" s="195"/>
      <c r="R37" s="195"/>
      <c r="S37" s="195"/>
      <c r="T37" s="195"/>
      <c r="U37" s="195"/>
      <c r="V37" s="337" t="s">
        <v>69</v>
      </c>
      <c r="W37" s="62"/>
      <c r="X37" s="337">
        <f>SUM(X38:X39)</f>
        <v>14124000</v>
      </c>
      <c r="Y37" s="63" t="s">
        <v>310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79" t="s">
        <v>490</v>
      </c>
      <c r="J38" s="288"/>
      <c r="K38" s="287"/>
      <c r="L38" s="287"/>
      <c r="M38" s="269">
        <v>14124000</v>
      </c>
      <c r="N38" s="287" t="s">
        <v>56</v>
      </c>
      <c r="O38" s="64" t="s">
        <v>57</v>
      </c>
      <c r="P38" s="270">
        <v>1</v>
      </c>
      <c r="Q38" s="287"/>
      <c r="R38" s="287"/>
      <c r="S38" s="287"/>
      <c r="T38" s="287"/>
      <c r="U38" s="287" t="s">
        <v>208</v>
      </c>
      <c r="V38" s="403"/>
      <c r="W38" s="403"/>
      <c r="X38" s="287">
        <f>ROUNDDOWN(M38*P38,-3)</f>
        <v>14124000</v>
      </c>
      <c r="Y38" s="47" t="s">
        <v>312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79"/>
      <c r="J39" s="288"/>
      <c r="K39" s="287"/>
      <c r="L39" s="287"/>
      <c r="M39" s="269"/>
      <c r="N39" s="287"/>
      <c r="O39" s="64"/>
      <c r="P39" s="270"/>
      <c r="Q39" s="287"/>
      <c r="R39" s="287"/>
      <c r="S39" s="287"/>
      <c r="T39" s="287"/>
      <c r="U39" s="287"/>
      <c r="V39" s="403"/>
      <c r="W39" s="403"/>
      <c r="X39" s="287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79" t="s">
        <v>494</v>
      </c>
      <c r="J40" s="288"/>
      <c r="K40" s="287"/>
      <c r="L40" s="287"/>
      <c r="M40" s="269"/>
      <c r="N40" s="287"/>
      <c r="O40" s="64"/>
      <c r="P40" s="270"/>
      <c r="Q40" s="287"/>
      <c r="R40" s="287"/>
      <c r="S40" s="287"/>
      <c r="T40" s="287"/>
      <c r="U40" s="287"/>
      <c r="V40" s="337" t="s">
        <v>69</v>
      </c>
      <c r="W40" s="62"/>
      <c r="X40" s="337">
        <f>SUM(X41:X42)</f>
        <v>4708000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79" t="s">
        <v>490</v>
      </c>
      <c r="J41" s="288"/>
      <c r="K41" s="287"/>
      <c r="L41" s="287"/>
      <c r="M41" s="269">
        <v>4708000</v>
      </c>
      <c r="N41" s="287" t="s">
        <v>56</v>
      </c>
      <c r="O41" s="64" t="s">
        <v>57</v>
      </c>
      <c r="P41" s="270">
        <v>1</v>
      </c>
      <c r="Q41" s="287"/>
      <c r="R41" s="287"/>
      <c r="S41" s="287"/>
      <c r="T41" s="287"/>
      <c r="U41" s="287" t="s">
        <v>53</v>
      </c>
      <c r="V41" s="465"/>
      <c r="W41" s="465"/>
      <c r="X41" s="287">
        <f>ROUNDDOWN(M41*P41,-3)</f>
        <v>4708000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79"/>
      <c r="J42" s="288"/>
      <c r="K42" s="287"/>
      <c r="L42" s="287"/>
      <c r="M42" s="287"/>
      <c r="N42" s="287"/>
      <c r="O42" s="64"/>
      <c r="P42" s="270"/>
      <c r="Q42" s="287"/>
      <c r="R42" s="287"/>
      <c r="S42" s="287"/>
      <c r="T42" s="287"/>
      <c r="U42" s="287"/>
      <c r="V42" s="465"/>
      <c r="W42" s="465"/>
      <c r="X42" s="287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0" t="s">
        <v>277</v>
      </c>
      <c r="J43" s="196"/>
      <c r="K43" s="195"/>
      <c r="L43" s="195"/>
      <c r="M43" s="287"/>
      <c r="N43" s="195"/>
      <c r="O43" s="195"/>
      <c r="P43" s="195"/>
      <c r="Q43" s="195"/>
      <c r="R43" s="195"/>
      <c r="S43" s="195"/>
      <c r="T43" s="195"/>
      <c r="U43" s="195"/>
      <c r="V43" s="197" t="s">
        <v>209</v>
      </c>
      <c r="W43" s="62"/>
      <c r="X43" s="197">
        <f>SUM(X44:X45)</f>
        <v>7759000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79" t="s">
        <v>490</v>
      </c>
      <c r="J44" s="196"/>
      <c r="K44" s="195"/>
      <c r="L44" s="195"/>
      <c r="M44" s="287">
        <f>SUM(M28,M32,M35,M38,M41)</f>
        <v>93105000</v>
      </c>
      <c r="N44" s="44" t="s">
        <v>203</v>
      </c>
      <c r="O44" s="228" t="s">
        <v>204</v>
      </c>
      <c r="P44" s="66">
        <v>12</v>
      </c>
      <c r="Q44" s="176" t="s">
        <v>205</v>
      </c>
      <c r="R44" s="64" t="s">
        <v>207</v>
      </c>
      <c r="S44" s="270">
        <v>1</v>
      </c>
      <c r="T44" s="195"/>
      <c r="U44" s="195" t="s">
        <v>206</v>
      </c>
      <c r="V44" s="79"/>
      <c r="W44" s="79"/>
      <c r="X44" s="223">
        <f>ROUNDUP(M44/P44*S44,-3)</f>
        <v>7759000</v>
      </c>
      <c r="Y44" s="260" t="s">
        <v>197</v>
      </c>
      <c r="Z44" s="170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79"/>
      <c r="J45" s="288"/>
      <c r="K45" s="287"/>
      <c r="L45" s="287"/>
      <c r="M45" s="287"/>
      <c r="N45" s="44"/>
      <c r="O45" s="403"/>
      <c r="P45" s="66"/>
      <c r="Q45" s="176"/>
      <c r="R45" s="64"/>
      <c r="S45" s="270"/>
      <c r="T45" s="287"/>
      <c r="U45" s="287"/>
      <c r="V45" s="287"/>
      <c r="W45" s="287"/>
      <c r="X45" s="58"/>
      <c r="Y45" s="260"/>
      <c r="Z45" s="287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0" t="s">
        <v>278</v>
      </c>
      <c r="J46" s="196"/>
      <c r="K46" s="195"/>
      <c r="L46" s="195"/>
      <c r="M46" s="287"/>
      <c r="N46" s="44"/>
      <c r="O46" s="195"/>
      <c r="P46" s="195"/>
      <c r="Q46" s="195"/>
      <c r="R46" s="195"/>
      <c r="S46" s="195"/>
      <c r="T46" s="195"/>
      <c r="U46" s="195"/>
      <c r="V46" s="197" t="s">
        <v>209</v>
      </c>
      <c r="W46" s="62"/>
      <c r="X46" s="197">
        <f>SUM(X47,X50,X53,X56,X59)</f>
        <v>9698000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79" t="s">
        <v>279</v>
      </c>
      <c r="J47" s="196"/>
      <c r="K47" s="195"/>
      <c r="L47" s="195"/>
      <c r="M47" s="287"/>
      <c r="N47" s="44"/>
      <c r="O47" s="64"/>
      <c r="P47" s="229"/>
      <c r="Q47" s="228"/>
      <c r="R47" s="64"/>
      <c r="S47" s="270"/>
      <c r="T47" s="65"/>
      <c r="U47" s="228"/>
      <c r="V47" s="127"/>
      <c r="W47" s="128"/>
      <c r="X47" s="128">
        <f>SUM(X48:X49)</f>
        <v>4190000</v>
      </c>
      <c r="Y47" s="129" t="s">
        <v>203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79" t="s">
        <v>490</v>
      </c>
      <c r="J48" s="288"/>
      <c r="K48" s="287"/>
      <c r="L48" s="287"/>
      <c r="M48" s="287">
        <f>M44</f>
        <v>93105000</v>
      </c>
      <c r="N48" s="44" t="s">
        <v>56</v>
      </c>
      <c r="O48" s="64" t="s">
        <v>57</v>
      </c>
      <c r="P48" s="229">
        <v>0.09</v>
      </c>
      <c r="Q48" s="403">
        <v>2</v>
      </c>
      <c r="R48" s="64" t="s">
        <v>57</v>
      </c>
      <c r="S48" s="270">
        <v>1</v>
      </c>
      <c r="T48" s="65"/>
      <c r="U48" s="403" t="s">
        <v>206</v>
      </c>
      <c r="V48" s="287"/>
      <c r="W48" s="58"/>
      <c r="X48" s="58">
        <f>ROUNDUP(M48*P48/Q48*S48,-3)</f>
        <v>4190000</v>
      </c>
      <c r="Y48" s="47" t="s">
        <v>312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79"/>
      <c r="J49" s="288"/>
      <c r="K49" s="287"/>
      <c r="L49" s="287"/>
      <c r="M49" s="287"/>
      <c r="N49" s="44"/>
      <c r="O49" s="64"/>
      <c r="P49" s="229"/>
      <c r="Q49" s="403"/>
      <c r="R49" s="64"/>
      <c r="S49" s="270"/>
      <c r="T49" s="65"/>
      <c r="U49" s="403"/>
      <c r="V49" s="287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79" t="s">
        <v>280</v>
      </c>
      <c r="J50" s="196"/>
      <c r="K50" s="195"/>
      <c r="L50" s="195"/>
      <c r="M50" s="287"/>
      <c r="N50" s="44"/>
      <c r="O50" s="64"/>
      <c r="P50" s="230"/>
      <c r="Q50" s="228"/>
      <c r="R50" s="64"/>
      <c r="S50" s="270"/>
      <c r="T50" s="65"/>
      <c r="U50" s="228"/>
      <c r="V50" s="337"/>
      <c r="W50" s="62"/>
      <c r="X50" s="62">
        <f>SUM(X51:X52)</f>
        <v>3301000</v>
      </c>
      <c r="Y50" s="63" t="s">
        <v>203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79" t="s">
        <v>490</v>
      </c>
      <c r="J51" s="288"/>
      <c r="K51" s="287"/>
      <c r="L51" s="287"/>
      <c r="M51" s="287">
        <f>M44</f>
        <v>93105000</v>
      </c>
      <c r="N51" s="44" t="s">
        <v>56</v>
      </c>
      <c r="O51" s="64" t="s">
        <v>57</v>
      </c>
      <c r="P51" s="230">
        <v>7.0900000000000005E-2</v>
      </c>
      <c r="Q51" s="403">
        <v>2</v>
      </c>
      <c r="R51" s="64" t="s">
        <v>57</v>
      </c>
      <c r="S51" s="270">
        <v>1</v>
      </c>
      <c r="T51" s="65"/>
      <c r="U51" s="403"/>
      <c r="V51" s="287"/>
      <c r="W51" s="58"/>
      <c r="X51" s="58">
        <f>ROUNDUP(M51*P51/Q51*S51,-3)</f>
        <v>3301000</v>
      </c>
      <c r="Y51" s="47" t="s">
        <v>312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79"/>
      <c r="J52" s="288"/>
      <c r="K52" s="287"/>
      <c r="L52" s="287"/>
      <c r="M52" s="287"/>
      <c r="N52" s="44"/>
      <c r="O52" s="64"/>
      <c r="P52" s="230"/>
      <c r="Q52" s="403"/>
      <c r="R52" s="64"/>
      <c r="S52" s="270"/>
      <c r="T52" s="65"/>
      <c r="U52" s="403"/>
      <c r="V52" s="287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79" t="s">
        <v>281</v>
      </c>
      <c r="J53" s="196"/>
      <c r="K53" s="195"/>
      <c r="L53" s="195"/>
      <c r="M53" s="287"/>
      <c r="N53" s="44"/>
      <c r="O53" s="64"/>
      <c r="P53" s="68"/>
      <c r="Q53" s="69"/>
      <c r="R53" s="64"/>
      <c r="S53" s="67"/>
      <c r="T53" s="70"/>
      <c r="U53" s="228"/>
      <c r="V53" s="337"/>
      <c r="W53" s="62"/>
      <c r="X53" s="62">
        <f>SUM(X54:X55)</f>
        <v>428000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79" t="s">
        <v>490</v>
      </c>
      <c r="J54" s="288"/>
      <c r="K54" s="287"/>
      <c r="L54" s="287"/>
      <c r="M54" s="287">
        <f t="shared" ref="M54" si="12">X51</f>
        <v>3301000</v>
      </c>
      <c r="N54" s="44" t="s">
        <v>56</v>
      </c>
      <c r="O54" s="64" t="s">
        <v>57</v>
      </c>
      <c r="P54" s="68">
        <v>0.1295</v>
      </c>
      <c r="Q54" s="69"/>
      <c r="R54" s="64"/>
      <c r="S54" s="67"/>
      <c r="T54" s="70"/>
      <c r="U54" s="403"/>
      <c r="V54" s="287"/>
      <c r="W54" s="58"/>
      <c r="X54" s="58">
        <f>ROUNDUP(M54*P54,-3)</f>
        <v>428000</v>
      </c>
      <c r="Y54" s="47" t="s">
        <v>312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79"/>
      <c r="J55" s="288"/>
      <c r="K55" s="287"/>
      <c r="L55" s="287"/>
      <c r="M55" s="287"/>
      <c r="N55" s="44"/>
      <c r="O55" s="64"/>
      <c r="P55" s="68"/>
      <c r="Q55" s="69"/>
      <c r="R55" s="64"/>
      <c r="S55" s="67"/>
      <c r="T55" s="70"/>
      <c r="U55" s="403"/>
      <c r="V55" s="287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79" t="s">
        <v>282</v>
      </c>
      <c r="J56" s="196"/>
      <c r="K56" s="195"/>
      <c r="L56" s="195"/>
      <c r="M56" s="287"/>
      <c r="N56" s="44"/>
      <c r="O56" s="64"/>
      <c r="P56" s="68"/>
      <c r="Q56" s="64"/>
      <c r="R56" s="64"/>
      <c r="S56" s="270"/>
      <c r="T56" s="65"/>
      <c r="U56" s="228"/>
      <c r="V56" s="337"/>
      <c r="W56" s="62"/>
      <c r="X56" s="62">
        <f>SUM(X57:X58)</f>
        <v>1071000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79" t="s">
        <v>490</v>
      </c>
      <c r="J57" s="288"/>
      <c r="K57" s="287"/>
      <c r="L57" s="287"/>
      <c r="M57" s="287">
        <f>M44</f>
        <v>93105000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0">
        <v>1</v>
      </c>
      <c r="T57" s="65"/>
      <c r="U57" s="403" t="s">
        <v>206</v>
      </c>
      <c r="V57" s="287"/>
      <c r="W57" s="58"/>
      <c r="X57" s="58">
        <f>ROUNDUP(M57*P57*S57,-3)</f>
        <v>1071000</v>
      </c>
      <c r="Y57" s="47" t="s">
        <v>312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79"/>
      <c r="J58" s="288"/>
      <c r="K58" s="287"/>
      <c r="L58" s="287"/>
      <c r="M58" s="287"/>
      <c r="N58" s="44"/>
      <c r="O58" s="64"/>
      <c r="P58" s="68"/>
      <c r="Q58" s="64"/>
      <c r="R58" s="64"/>
      <c r="S58" s="270"/>
      <c r="T58" s="65"/>
      <c r="U58" s="403"/>
      <c r="V58" s="287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79" t="s">
        <v>283</v>
      </c>
      <c r="J59" s="196"/>
      <c r="K59" s="195"/>
      <c r="L59" s="195"/>
      <c r="M59" s="287"/>
      <c r="N59" s="44"/>
      <c r="O59" s="64"/>
      <c r="P59" s="266"/>
      <c r="Q59" s="64"/>
      <c r="R59" s="64"/>
      <c r="S59" s="270"/>
      <c r="T59" s="65"/>
      <c r="U59" s="228"/>
      <c r="V59" s="337"/>
      <c r="W59" s="62"/>
      <c r="X59" s="62">
        <f>SUM(X60:X61)</f>
        <v>708000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79" t="s">
        <v>490</v>
      </c>
      <c r="J60" s="288"/>
      <c r="K60" s="287"/>
      <c r="L60" s="287"/>
      <c r="M60" s="287">
        <f>M44</f>
        <v>93105000</v>
      </c>
      <c r="N60" s="44" t="s">
        <v>56</v>
      </c>
      <c r="O60" s="64" t="s">
        <v>57</v>
      </c>
      <c r="P60" s="266">
        <v>7.6E-3</v>
      </c>
      <c r="Q60" s="64"/>
      <c r="R60" s="64" t="s">
        <v>57</v>
      </c>
      <c r="S60" s="270">
        <v>1</v>
      </c>
      <c r="T60" s="65"/>
      <c r="U60" s="403" t="s">
        <v>206</v>
      </c>
      <c r="V60" s="287"/>
      <c r="W60" s="58"/>
      <c r="X60" s="58">
        <f>ROUNDUP(M60*P60*S60,-3)</f>
        <v>708000</v>
      </c>
      <c r="Y60" s="47" t="s">
        <v>312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79"/>
      <c r="J61" s="288"/>
      <c r="K61" s="287"/>
      <c r="L61" s="287"/>
      <c r="M61" s="287"/>
      <c r="N61" s="44"/>
      <c r="O61" s="64"/>
      <c r="P61" s="266"/>
      <c r="Q61" s="64"/>
      <c r="R61" s="64"/>
      <c r="S61" s="270"/>
      <c r="T61" s="65"/>
      <c r="U61" s="403"/>
      <c r="V61" s="287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8"/>
      <c r="J62" s="62"/>
      <c r="K62" s="217"/>
      <c r="L62" s="217"/>
      <c r="M62" s="197"/>
      <c r="N62" s="197"/>
      <c r="O62" s="218"/>
      <c r="P62" s="197"/>
      <c r="Q62" s="116"/>
      <c r="R62" s="219"/>
      <c r="S62" s="72"/>
      <c r="T62" s="168"/>
      <c r="U62" s="168"/>
      <c r="V62" s="220"/>
      <c r="W62" s="198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210</v>
      </c>
      <c r="E63" s="29">
        <v>10564</v>
      </c>
      <c r="F63" s="212">
        <f>ROUND(X63/1000,0)</f>
        <v>8589</v>
      </c>
      <c r="G63" s="30">
        <f t="shared" ref="G63" si="13">F63-E63</f>
        <v>-1975</v>
      </c>
      <c r="H63" s="109">
        <f t="shared" ref="H63" si="14">IF(E63=0,0,G63/E63)</f>
        <v>-0.18695569859901554</v>
      </c>
      <c r="I63" s="224" t="s">
        <v>211</v>
      </c>
      <c r="J63" s="223"/>
      <c r="K63" s="231"/>
      <c r="L63" s="231"/>
      <c r="M63" s="79"/>
      <c r="N63" s="79"/>
      <c r="O63" s="213"/>
      <c r="P63" s="79"/>
      <c r="Q63" s="214"/>
      <c r="R63" s="221"/>
      <c r="S63" s="222"/>
      <c r="T63" s="227"/>
      <c r="U63" s="227"/>
      <c r="V63" s="225" t="s">
        <v>192</v>
      </c>
      <c r="W63" s="226"/>
      <c r="X63" s="226">
        <f>SUM(X64:X67)</f>
        <v>8589000</v>
      </c>
      <c r="Y63" s="259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6" t="s">
        <v>212</v>
      </c>
      <c r="J64" s="58"/>
      <c r="K64" s="179"/>
      <c r="L64" s="179"/>
      <c r="M64" s="269">
        <v>2641000</v>
      </c>
      <c r="N64" s="269" t="s">
        <v>25</v>
      </c>
      <c r="O64" s="352" t="s">
        <v>26</v>
      </c>
      <c r="P64" s="353">
        <v>3</v>
      </c>
      <c r="Q64" s="354" t="s">
        <v>55</v>
      </c>
      <c r="R64" s="321" t="s">
        <v>300</v>
      </c>
      <c r="S64" s="270">
        <v>1</v>
      </c>
      <c r="T64" s="324"/>
      <c r="U64" s="322" t="s">
        <v>301</v>
      </c>
      <c r="V64" s="585"/>
      <c r="W64" s="585"/>
      <c r="X64" s="58">
        <f>ROUND(M64*P64*S64,-3)</f>
        <v>7923000</v>
      </c>
      <c r="Y64" s="47" t="s">
        <v>203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77"/>
      <c r="J65" s="58"/>
      <c r="K65" s="179"/>
      <c r="L65" s="179"/>
      <c r="M65" s="269">
        <v>666000</v>
      </c>
      <c r="N65" s="269" t="s">
        <v>25</v>
      </c>
      <c r="O65" s="352" t="s">
        <v>26</v>
      </c>
      <c r="P65" s="353">
        <v>1</v>
      </c>
      <c r="Q65" s="354" t="s">
        <v>55</v>
      </c>
      <c r="R65" s="321" t="s">
        <v>57</v>
      </c>
      <c r="S65" s="270">
        <v>1</v>
      </c>
      <c r="T65" s="324"/>
      <c r="U65" s="322" t="s">
        <v>53</v>
      </c>
      <c r="V65" s="585"/>
      <c r="W65" s="585"/>
      <c r="X65" s="58">
        <f>ROUND(M65*P65*S65,-3)</f>
        <v>666000</v>
      </c>
      <c r="Y65" s="47" t="s">
        <v>56</v>
      </c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30" t="s">
        <v>302</v>
      </c>
      <c r="J66" s="273"/>
      <c r="K66" s="351"/>
      <c r="L66" s="351"/>
      <c r="M66" s="269"/>
      <c r="N66" s="269"/>
      <c r="O66" s="352"/>
      <c r="P66" s="269"/>
      <c r="Q66" s="354"/>
      <c r="R66" s="357"/>
      <c r="S66" s="358"/>
      <c r="T66" s="322"/>
      <c r="U66" s="322"/>
      <c r="V66" s="355"/>
      <c r="W66" s="272"/>
      <c r="X66" s="273"/>
      <c r="Y66" s="291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5" t="s">
        <v>304</v>
      </c>
      <c r="J67" s="273"/>
      <c r="K67" s="351"/>
      <c r="L67" s="351"/>
      <c r="M67" s="269">
        <v>0</v>
      </c>
      <c r="N67" s="269" t="s">
        <v>25</v>
      </c>
      <c r="O67" s="352" t="s">
        <v>26</v>
      </c>
      <c r="P67" s="356">
        <v>0.5</v>
      </c>
      <c r="Q67" s="354"/>
      <c r="R67" s="357"/>
      <c r="S67" s="358"/>
      <c r="T67" s="322"/>
      <c r="U67" s="322"/>
      <c r="V67" s="355"/>
      <c r="W67" s="272" t="s">
        <v>27</v>
      </c>
      <c r="X67" s="273">
        <f>M67*P67</f>
        <v>0</v>
      </c>
      <c r="Y67" s="291" t="s">
        <v>299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8"/>
      <c r="J68" s="62"/>
      <c r="K68" s="217"/>
      <c r="L68" s="217"/>
      <c r="M68" s="197"/>
      <c r="N68" s="197"/>
      <c r="O68" s="218"/>
      <c r="P68" s="197"/>
      <c r="Q68" s="116"/>
      <c r="R68" s="219"/>
      <c r="S68" s="72"/>
      <c r="T68" s="168"/>
      <c r="U68" s="168"/>
      <c r="V68" s="220"/>
      <c r="W68" s="198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213</v>
      </c>
      <c r="E69" s="29">
        <v>1642</v>
      </c>
      <c r="F69" s="212">
        <f>ROUND(X69/1000,0)</f>
        <v>1365</v>
      </c>
      <c r="G69" s="30">
        <f t="shared" ref="G69" si="15">F69-E69</f>
        <v>-277</v>
      </c>
      <c r="H69" s="109">
        <f t="shared" ref="H69" si="16">IF(E69=0,0,G69/E69)</f>
        <v>-0.16869671132764921</v>
      </c>
      <c r="I69" s="224" t="s">
        <v>215</v>
      </c>
      <c r="J69" s="223"/>
      <c r="K69" s="231"/>
      <c r="L69" s="231"/>
      <c r="M69" s="79"/>
      <c r="N69" s="79"/>
      <c r="O69" s="213"/>
      <c r="P69" s="79"/>
      <c r="Q69" s="214"/>
      <c r="R69" s="221"/>
      <c r="S69" s="222"/>
      <c r="T69" s="227"/>
      <c r="U69" s="227"/>
      <c r="V69" s="225" t="s">
        <v>192</v>
      </c>
      <c r="W69" s="226"/>
      <c r="X69" s="226">
        <f>SUM(X70:X78)</f>
        <v>1365000</v>
      </c>
      <c r="Y69" s="259" t="s">
        <v>56</v>
      </c>
      <c r="Z69" s="6"/>
    </row>
    <row r="70" spans="1:26" s="11" customFormat="1" ht="19.5" customHeight="1">
      <c r="A70" s="50"/>
      <c r="B70" s="38"/>
      <c r="C70" s="38"/>
      <c r="D70" s="38" t="s">
        <v>214</v>
      </c>
      <c r="E70" s="40"/>
      <c r="F70" s="40"/>
      <c r="G70" s="41"/>
      <c r="H70" s="60"/>
      <c r="I70" s="57" t="s">
        <v>216</v>
      </c>
      <c r="J70" s="196"/>
      <c r="K70" s="195"/>
      <c r="L70" s="195"/>
      <c r="M70" s="195">
        <v>500</v>
      </c>
      <c r="N70" s="195" t="s">
        <v>203</v>
      </c>
      <c r="O70" s="196" t="s">
        <v>207</v>
      </c>
      <c r="P70" s="233">
        <v>3</v>
      </c>
      <c r="Q70" s="234">
        <v>365</v>
      </c>
      <c r="R70" s="195" t="s">
        <v>217</v>
      </c>
      <c r="S70" s="270">
        <v>1</v>
      </c>
      <c r="T70" s="195"/>
      <c r="U70" s="195" t="s">
        <v>206</v>
      </c>
      <c r="V70" s="195"/>
      <c r="W70" s="58"/>
      <c r="X70" s="58">
        <f t="shared" ref="X70:X78" si="17">ROUNDUP(M70*P70*Q70*S70,-3)</f>
        <v>548000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/>
      <c r="J71" s="288"/>
      <c r="K71" s="287"/>
      <c r="L71" s="287"/>
      <c r="M71" s="287">
        <v>500</v>
      </c>
      <c r="N71" s="287" t="s">
        <v>56</v>
      </c>
      <c r="O71" s="288" t="s">
        <v>57</v>
      </c>
      <c r="P71" s="233">
        <v>1</v>
      </c>
      <c r="Q71" s="234">
        <v>92</v>
      </c>
      <c r="R71" s="287" t="s">
        <v>76</v>
      </c>
      <c r="S71" s="270">
        <v>1</v>
      </c>
      <c r="T71" s="287"/>
      <c r="U71" s="287" t="s">
        <v>53</v>
      </c>
      <c r="V71" s="287"/>
      <c r="W71" s="58"/>
      <c r="X71" s="58">
        <f t="shared" si="17"/>
        <v>46000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218</v>
      </c>
      <c r="J72" s="288"/>
      <c r="K72" s="287"/>
      <c r="L72" s="287"/>
      <c r="M72" s="287">
        <v>5000</v>
      </c>
      <c r="N72" s="287" t="s">
        <v>56</v>
      </c>
      <c r="O72" s="288" t="s">
        <v>57</v>
      </c>
      <c r="P72" s="233">
        <v>3</v>
      </c>
      <c r="Q72" s="234">
        <v>12</v>
      </c>
      <c r="R72" s="287" t="s">
        <v>0</v>
      </c>
      <c r="S72" s="270">
        <v>1</v>
      </c>
      <c r="T72" s="287"/>
      <c r="U72" s="287" t="s">
        <v>53</v>
      </c>
      <c r="V72" s="287"/>
      <c r="W72" s="58"/>
      <c r="X72" s="58">
        <f t="shared" si="17"/>
        <v>180000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/>
      <c r="J73" s="288"/>
      <c r="K73" s="287"/>
      <c r="L73" s="287"/>
      <c r="M73" s="287">
        <v>5000</v>
      </c>
      <c r="N73" s="287" t="s">
        <v>56</v>
      </c>
      <c r="O73" s="288" t="s">
        <v>57</v>
      </c>
      <c r="P73" s="233">
        <v>1</v>
      </c>
      <c r="Q73" s="234">
        <v>3</v>
      </c>
      <c r="R73" s="287" t="s">
        <v>0</v>
      </c>
      <c r="S73" s="270">
        <v>1</v>
      </c>
      <c r="T73" s="287"/>
      <c r="U73" s="287" t="s">
        <v>53</v>
      </c>
      <c r="V73" s="287"/>
      <c r="W73" s="58"/>
      <c r="X73" s="58">
        <f t="shared" si="17"/>
        <v>15000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219</v>
      </c>
      <c r="J74" s="288"/>
      <c r="K74" s="287"/>
      <c r="L74" s="287"/>
      <c r="M74" s="287">
        <v>20000</v>
      </c>
      <c r="N74" s="287" t="s">
        <v>56</v>
      </c>
      <c r="O74" s="288" t="s">
        <v>57</v>
      </c>
      <c r="P74" s="233">
        <v>3</v>
      </c>
      <c r="Q74" s="234">
        <v>4</v>
      </c>
      <c r="R74" s="287" t="s">
        <v>71</v>
      </c>
      <c r="S74" s="270">
        <v>1</v>
      </c>
      <c r="T74" s="287"/>
      <c r="U74" s="287" t="s">
        <v>53</v>
      </c>
      <c r="V74" s="287"/>
      <c r="W74" s="58"/>
      <c r="X74" s="58">
        <f t="shared" si="17"/>
        <v>240000</v>
      </c>
      <c r="Y74" s="47" t="s">
        <v>25</v>
      </c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/>
      <c r="J75" s="196"/>
      <c r="K75" s="195"/>
      <c r="L75" s="195"/>
      <c r="M75" s="287">
        <v>20000</v>
      </c>
      <c r="N75" s="287" t="s">
        <v>56</v>
      </c>
      <c r="O75" s="288" t="s">
        <v>57</v>
      </c>
      <c r="P75" s="233">
        <v>1</v>
      </c>
      <c r="Q75" s="234">
        <v>1</v>
      </c>
      <c r="R75" s="287" t="s">
        <v>71</v>
      </c>
      <c r="S75" s="270">
        <v>1</v>
      </c>
      <c r="T75" s="287"/>
      <c r="U75" s="287" t="s">
        <v>53</v>
      </c>
      <c r="V75" s="287"/>
      <c r="W75" s="58"/>
      <c r="X75" s="58">
        <f t="shared" si="17"/>
        <v>20000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38"/>
      <c r="E76" s="40"/>
      <c r="F76" s="40"/>
      <c r="G76" s="41"/>
      <c r="H76" s="60"/>
      <c r="I76" s="57" t="s">
        <v>544</v>
      </c>
      <c r="J76" s="288"/>
      <c r="K76" s="287"/>
      <c r="L76" s="287"/>
      <c r="M76" s="287">
        <v>12000</v>
      </c>
      <c r="N76" s="287" t="s">
        <v>56</v>
      </c>
      <c r="O76" s="288" t="s">
        <v>57</v>
      </c>
      <c r="P76" s="233">
        <v>3</v>
      </c>
      <c r="Q76" s="234">
        <v>4</v>
      </c>
      <c r="R76" s="287" t="s">
        <v>71</v>
      </c>
      <c r="S76" s="270">
        <v>1</v>
      </c>
      <c r="T76" s="287"/>
      <c r="U76" s="287" t="s">
        <v>53</v>
      </c>
      <c r="V76" s="287"/>
      <c r="W76" s="58"/>
      <c r="X76" s="58">
        <f t="shared" si="17"/>
        <v>144000</v>
      </c>
      <c r="Y76" s="47" t="s">
        <v>25</v>
      </c>
      <c r="Z76" s="6"/>
    </row>
    <row r="77" spans="1:26" s="11" customFormat="1" ht="19.5" customHeight="1">
      <c r="A77" s="50"/>
      <c r="B77" s="38"/>
      <c r="C77" s="38"/>
      <c r="D77" s="38"/>
      <c r="E77" s="40"/>
      <c r="F77" s="40"/>
      <c r="G77" s="41"/>
      <c r="H77" s="60"/>
      <c r="I77" s="57"/>
      <c r="J77" s="196"/>
      <c r="K77" s="195"/>
      <c r="L77" s="195"/>
      <c r="M77" s="287">
        <v>12000</v>
      </c>
      <c r="N77" s="287" t="s">
        <v>56</v>
      </c>
      <c r="O77" s="288" t="s">
        <v>57</v>
      </c>
      <c r="P77" s="233">
        <v>1</v>
      </c>
      <c r="Q77" s="234">
        <v>1</v>
      </c>
      <c r="R77" s="287" t="s">
        <v>71</v>
      </c>
      <c r="S77" s="270">
        <v>1</v>
      </c>
      <c r="T77" s="287"/>
      <c r="U77" s="287" t="s">
        <v>53</v>
      </c>
      <c r="V77" s="287"/>
      <c r="W77" s="58"/>
      <c r="X77" s="58">
        <f t="shared" si="17"/>
        <v>12000</v>
      </c>
      <c r="Y77" s="47" t="s">
        <v>25</v>
      </c>
      <c r="Z77" s="6"/>
    </row>
    <row r="78" spans="1:26" s="11" customFormat="1" ht="19.5" customHeight="1">
      <c r="A78" s="50"/>
      <c r="B78" s="38"/>
      <c r="C78" s="38"/>
      <c r="D78" s="38"/>
      <c r="E78" s="40"/>
      <c r="F78" s="40"/>
      <c r="G78" s="41"/>
      <c r="H78" s="60"/>
      <c r="I78" s="57" t="s">
        <v>222</v>
      </c>
      <c r="J78" s="196"/>
      <c r="K78" s="195"/>
      <c r="L78" s="195"/>
      <c r="M78" s="195">
        <v>40000</v>
      </c>
      <c r="N78" s="195" t="s">
        <v>203</v>
      </c>
      <c r="O78" s="196" t="s">
        <v>207</v>
      </c>
      <c r="P78" s="233">
        <v>4</v>
      </c>
      <c r="Q78" s="234">
        <v>1</v>
      </c>
      <c r="R78" s="195" t="s">
        <v>220</v>
      </c>
      <c r="S78" s="270">
        <v>1</v>
      </c>
      <c r="T78" s="195"/>
      <c r="U78" s="195" t="s">
        <v>206</v>
      </c>
      <c r="V78" s="195"/>
      <c r="W78" s="58"/>
      <c r="X78" s="58">
        <f t="shared" si="17"/>
        <v>160000</v>
      </c>
      <c r="Y78" s="47" t="s">
        <v>25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8"/>
      <c r="J79" s="62"/>
      <c r="K79" s="217"/>
      <c r="L79" s="217"/>
      <c r="M79" s="197"/>
      <c r="N79" s="197"/>
      <c r="O79" s="218"/>
      <c r="P79" s="197"/>
      <c r="Q79" s="116"/>
      <c r="R79" s="219"/>
      <c r="S79" s="72"/>
      <c r="T79" s="168"/>
      <c r="U79" s="168"/>
      <c r="V79" s="220"/>
      <c r="W79" s="198"/>
      <c r="X79" s="62"/>
      <c r="Y79" s="63"/>
      <c r="Z79" s="6"/>
    </row>
    <row r="80" spans="1:26" s="11" customFormat="1" ht="19.5" customHeight="1" thickBot="1">
      <c r="A80" s="50"/>
      <c r="B80" s="38"/>
      <c r="C80" s="38"/>
      <c r="D80" s="28" t="s">
        <v>223</v>
      </c>
      <c r="E80" s="29">
        <v>3000</v>
      </c>
      <c r="F80" s="212">
        <f>ROUND(X80/1000,0)</f>
        <v>3000</v>
      </c>
      <c r="G80" s="30">
        <f t="shared" ref="G80" si="18">F80-E80</f>
        <v>0</v>
      </c>
      <c r="H80" s="109">
        <f t="shared" ref="H80" si="19">IF(E80=0,0,G80/E80)</f>
        <v>0</v>
      </c>
      <c r="I80" s="224" t="s">
        <v>314</v>
      </c>
      <c r="J80" s="223"/>
      <c r="K80" s="231"/>
      <c r="L80" s="231"/>
      <c r="M80" s="79"/>
      <c r="N80" s="79"/>
      <c r="O80" s="213"/>
      <c r="P80" s="79"/>
      <c r="Q80" s="214"/>
      <c r="R80" s="221"/>
      <c r="S80" s="222"/>
      <c r="T80" s="227"/>
      <c r="U80" s="227"/>
      <c r="V80" s="225" t="s">
        <v>192</v>
      </c>
      <c r="W80" s="226"/>
      <c r="X80" s="226">
        <f>X81</f>
        <v>3000000</v>
      </c>
      <c r="Y80" s="259" t="s">
        <v>56</v>
      </c>
      <c r="Z80" s="6"/>
    </row>
    <row r="81" spans="1:26" s="11" customFormat="1" ht="19.5" customHeight="1">
      <c r="A81" s="50"/>
      <c r="B81" s="38"/>
      <c r="C81" s="38"/>
      <c r="D81" s="38" t="s">
        <v>315</v>
      </c>
      <c r="E81" s="40"/>
      <c r="F81" s="40"/>
      <c r="G81" s="41"/>
      <c r="H81" s="60"/>
      <c r="I81" s="279" t="s">
        <v>284</v>
      </c>
      <c r="J81" s="196"/>
      <c r="K81" s="195"/>
      <c r="L81" s="195"/>
      <c r="M81" s="236">
        <v>3000000</v>
      </c>
      <c r="N81" s="59" t="s">
        <v>203</v>
      </c>
      <c r="O81" s="59" t="s">
        <v>207</v>
      </c>
      <c r="P81" s="270">
        <v>1</v>
      </c>
      <c r="Q81" s="234"/>
      <c r="R81" s="59"/>
      <c r="S81" s="235"/>
      <c r="T81" s="59"/>
      <c r="U81" s="59" t="s">
        <v>208</v>
      </c>
      <c r="V81" s="195"/>
      <c r="W81" s="58"/>
      <c r="X81" s="195">
        <f>M81*P81</f>
        <v>3000000</v>
      </c>
      <c r="Y81" s="47" t="s">
        <v>203</v>
      </c>
      <c r="Z81" s="6"/>
    </row>
    <row r="82" spans="1:26" s="11" customFormat="1" ht="19.5" customHeight="1">
      <c r="A82" s="50"/>
      <c r="B82" s="38"/>
      <c r="C82" s="38"/>
      <c r="D82" s="49"/>
      <c r="E82" s="51"/>
      <c r="F82" s="51"/>
      <c r="G82" s="52"/>
      <c r="H82" s="75"/>
      <c r="I82" s="198"/>
      <c r="J82" s="62"/>
      <c r="K82" s="217"/>
      <c r="L82" s="217"/>
      <c r="M82" s="197"/>
      <c r="N82" s="197"/>
      <c r="O82" s="218"/>
      <c r="P82" s="197"/>
      <c r="Q82" s="116"/>
      <c r="R82" s="219"/>
      <c r="S82" s="197"/>
      <c r="T82" s="168"/>
      <c r="U82" s="168"/>
      <c r="V82" s="220"/>
      <c r="W82" s="198"/>
      <c r="X82" s="62"/>
      <c r="Y82" s="63"/>
      <c r="Z82" s="6"/>
    </row>
    <row r="83" spans="1:26" s="11" customFormat="1" ht="19.5" customHeight="1">
      <c r="A83" s="50"/>
      <c r="B83" s="38"/>
      <c r="C83" s="38"/>
      <c r="D83" s="38" t="s">
        <v>224</v>
      </c>
      <c r="E83" s="40">
        <v>0</v>
      </c>
      <c r="F83" s="212">
        <f>ROUND(X83/1000,0)</f>
        <v>0</v>
      </c>
      <c r="G83" s="41">
        <f t="shared" ref="G83" si="20">F83-E83</f>
        <v>0</v>
      </c>
      <c r="H83" s="60">
        <f t="shared" ref="H83" si="21">IF(E83=0,0,G83/E83)</f>
        <v>0</v>
      </c>
      <c r="I83" s="61" t="s">
        <v>227</v>
      </c>
      <c r="J83" s="58"/>
      <c r="K83" s="179"/>
      <c r="L83" s="179"/>
      <c r="M83" s="195"/>
      <c r="N83" s="195"/>
      <c r="O83" s="176"/>
      <c r="P83" s="195"/>
      <c r="Q83" s="44"/>
      <c r="R83" s="178"/>
      <c r="S83" s="46"/>
      <c r="T83" s="228"/>
      <c r="U83" s="228"/>
      <c r="V83" s="197" t="s">
        <v>226</v>
      </c>
      <c r="W83" s="62"/>
      <c r="X83" s="197">
        <f>SUM(X84:X84)</f>
        <v>0</v>
      </c>
      <c r="Y83" s="63" t="s">
        <v>25</v>
      </c>
      <c r="Z83" s="6"/>
    </row>
    <row r="84" spans="1:26" s="11" customFormat="1" ht="19.5" customHeight="1">
      <c r="A84" s="50"/>
      <c r="B84" s="38"/>
      <c r="C84" s="38"/>
      <c r="D84" s="38" t="s">
        <v>225</v>
      </c>
      <c r="E84" s="40"/>
      <c r="F84" s="40"/>
      <c r="G84" s="41"/>
      <c r="H84" s="60"/>
      <c r="I84" s="272" t="s">
        <v>303</v>
      </c>
      <c r="J84" s="58"/>
      <c r="K84" s="179"/>
      <c r="L84" s="179"/>
      <c r="M84" s="236">
        <v>0</v>
      </c>
      <c r="N84" s="59" t="s">
        <v>203</v>
      </c>
      <c r="O84" s="59" t="s">
        <v>207</v>
      </c>
      <c r="P84" s="67">
        <v>0.2</v>
      </c>
      <c r="Q84" s="234"/>
      <c r="R84" s="59"/>
      <c r="S84" s="235"/>
      <c r="T84" s="59"/>
      <c r="U84" s="59" t="s">
        <v>208</v>
      </c>
      <c r="V84" s="195"/>
      <c r="W84" s="58"/>
      <c r="X84" s="195">
        <f>ROUND(M84*P84,-3)</f>
        <v>0</v>
      </c>
      <c r="Y84" s="47" t="s">
        <v>203</v>
      </c>
      <c r="Z84" s="6"/>
    </row>
    <row r="85" spans="1:26" s="11" customFormat="1" ht="19.5" customHeight="1">
      <c r="A85" s="50"/>
      <c r="B85" s="73"/>
      <c r="C85" s="74"/>
      <c r="D85" s="49"/>
      <c r="E85" s="51"/>
      <c r="F85" s="51"/>
      <c r="G85" s="52"/>
      <c r="H85" s="75"/>
      <c r="I85" s="198"/>
      <c r="J85" s="197"/>
      <c r="K85" s="76"/>
      <c r="L85" s="76"/>
      <c r="M85" s="197"/>
      <c r="N85" s="197"/>
      <c r="O85" s="198"/>
      <c r="P85" s="197"/>
      <c r="Q85" s="197"/>
      <c r="R85" s="198"/>
      <c r="S85" s="198"/>
      <c r="T85" s="198"/>
      <c r="U85" s="198"/>
      <c r="V85" s="198"/>
      <c r="W85" s="198"/>
      <c r="X85" s="197"/>
      <c r="Y85" s="63"/>
      <c r="Z85" s="6"/>
    </row>
    <row r="86" spans="1:26" ht="21" customHeight="1">
      <c r="A86" s="37"/>
      <c r="B86" s="38"/>
      <c r="C86" s="38" t="s">
        <v>143</v>
      </c>
      <c r="D86" s="255" t="s">
        <v>109</v>
      </c>
      <c r="E86" s="188">
        <f>SUM(E87:E143)</f>
        <v>300</v>
      </c>
      <c r="F86" s="188">
        <f>SUM(F87:F143)</f>
        <v>300</v>
      </c>
      <c r="G86" s="189">
        <f t="shared" ref="G86:G87" si="22">F86-E86</f>
        <v>0</v>
      </c>
      <c r="H86" s="190">
        <f t="shared" ref="H86:H87" si="23">IF(E86=0,0,G86/E86)</f>
        <v>0</v>
      </c>
      <c r="I86" s="172" t="s">
        <v>144</v>
      </c>
      <c r="J86" s="173"/>
      <c r="K86" s="174"/>
      <c r="L86" s="174"/>
      <c r="M86" s="174"/>
      <c r="N86" s="174"/>
      <c r="O86" s="174"/>
      <c r="P86" s="175"/>
      <c r="Q86" s="175"/>
      <c r="R86" s="175"/>
      <c r="S86" s="175"/>
      <c r="T86" s="175"/>
      <c r="U86" s="175"/>
      <c r="V86" s="209" t="s">
        <v>69</v>
      </c>
      <c r="W86" s="210"/>
      <c r="X86" s="211">
        <f>SUM(X87,X90,X127,X130,X138,X141)</f>
        <v>300000</v>
      </c>
      <c r="Y86" s="258" t="s">
        <v>56</v>
      </c>
    </row>
    <row r="87" spans="1:26" ht="21" customHeight="1">
      <c r="A87" s="37"/>
      <c r="B87" s="38"/>
      <c r="C87" s="38" t="s">
        <v>194</v>
      </c>
      <c r="D87" s="28" t="s">
        <v>193</v>
      </c>
      <c r="E87" s="212">
        <v>0</v>
      </c>
      <c r="F87" s="212">
        <f>ROUND(X87/1000,0)</f>
        <v>0</v>
      </c>
      <c r="G87" s="265">
        <f t="shared" si="22"/>
        <v>0</v>
      </c>
      <c r="H87" s="155">
        <f t="shared" si="23"/>
        <v>0</v>
      </c>
      <c r="I87" s="126" t="s">
        <v>191</v>
      </c>
      <c r="J87" s="138"/>
      <c r="K87" s="79"/>
      <c r="L87" s="79"/>
      <c r="M87" s="79"/>
      <c r="N87" s="227"/>
      <c r="O87" s="213"/>
      <c r="P87" s="79"/>
      <c r="Q87" s="214"/>
      <c r="R87" s="215"/>
      <c r="S87" s="216"/>
      <c r="T87" s="216"/>
      <c r="U87" s="227"/>
      <c r="V87" s="194" t="s">
        <v>192</v>
      </c>
      <c r="W87" s="128"/>
      <c r="X87" s="128">
        <f>SUM(X88:X88)</f>
        <v>0</v>
      </c>
      <c r="Y87" s="129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79" t="s">
        <v>271</v>
      </c>
      <c r="J88" s="288"/>
      <c r="K88" s="287"/>
      <c r="L88" s="287"/>
      <c r="M88" s="287">
        <v>0</v>
      </c>
      <c r="N88" s="400" t="s">
        <v>25</v>
      </c>
      <c r="O88" s="176" t="s">
        <v>26</v>
      </c>
      <c r="P88" s="401">
        <v>0</v>
      </c>
      <c r="Q88" s="44" t="s">
        <v>108</v>
      </c>
      <c r="R88" s="177" t="s">
        <v>26</v>
      </c>
      <c r="S88" s="180">
        <v>0</v>
      </c>
      <c r="T88" s="180" t="s">
        <v>29</v>
      </c>
      <c r="U88" s="400" t="s">
        <v>26</v>
      </c>
      <c r="V88" s="232">
        <v>0.03</v>
      </c>
      <c r="W88" s="58" t="s">
        <v>27</v>
      </c>
      <c r="X88" s="58">
        <f>ROUND(M88*P88*S88*V88,-3)</f>
        <v>0</v>
      </c>
      <c r="Y88" s="47" t="s">
        <v>139</v>
      </c>
    </row>
    <row r="89" spans="1:26" ht="21" hidden="1" customHeight="1">
      <c r="A89" s="37"/>
      <c r="B89" s="38"/>
      <c r="C89" s="38"/>
      <c r="D89" s="49"/>
      <c r="E89" s="51"/>
      <c r="F89" s="51"/>
      <c r="G89" s="52"/>
      <c r="H89" s="75"/>
      <c r="I89" s="61"/>
      <c r="J89" s="62"/>
      <c r="K89" s="217"/>
      <c r="L89" s="217"/>
      <c r="M89" s="197"/>
      <c r="N89" s="197"/>
      <c r="O89" s="218"/>
      <c r="P89" s="197"/>
      <c r="Q89" s="116"/>
      <c r="R89" s="219"/>
      <c r="S89" s="72"/>
      <c r="T89" s="168"/>
      <c r="U89" s="168"/>
      <c r="V89" s="220"/>
      <c r="W89" s="198"/>
      <c r="X89" s="62"/>
      <c r="Y89" s="63"/>
    </row>
    <row r="90" spans="1:26" ht="21" hidden="1" customHeight="1" thickBot="1">
      <c r="A90" s="37"/>
      <c r="B90" s="38"/>
      <c r="C90" s="38"/>
      <c r="D90" s="28" t="s">
        <v>202</v>
      </c>
      <c r="E90" s="29">
        <v>0</v>
      </c>
      <c r="F90" s="212">
        <f>ROUND(X90/1000,0)</f>
        <v>0</v>
      </c>
      <c r="G90" s="30">
        <f t="shared" ref="G90" si="24">F90-E90</f>
        <v>0</v>
      </c>
      <c r="H90" s="109">
        <f t="shared" ref="H90" si="25">IF(E90=0,0,G90/E90)</f>
        <v>0</v>
      </c>
      <c r="I90" s="224" t="s">
        <v>313</v>
      </c>
      <c r="J90" s="223"/>
      <c r="K90" s="231"/>
      <c r="L90" s="231"/>
      <c r="M90" s="79"/>
      <c r="N90" s="79"/>
      <c r="O90" s="213"/>
      <c r="P90" s="79"/>
      <c r="Q90" s="214"/>
      <c r="R90" s="221"/>
      <c r="S90" s="222"/>
      <c r="T90" s="404"/>
      <c r="U90" s="404"/>
      <c r="V90" s="225" t="s">
        <v>192</v>
      </c>
      <c r="W90" s="226"/>
      <c r="X90" s="226">
        <f>SUM(X91,X94,X110,X107)</f>
        <v>0</v>
      </c>
      <c r="Y90" s="259" t="s">
        <v>56</v>
      </c>
    </row>
    <row r="91" spans="1:26" ht="21" hidden="1" customHeight="1">
      <c r="A91" s="37"/>
      <c r="B91" s="38"/>
      <c r="C91" s="38"/>
      <c r="D91" s="38"/>
      <c r="E91" s="40"/>
      <c r="F91" s="40"/>
      <c r="G91" s="41"/>
      <c r="H91" s="60"/>
      <c r="I91" s="280" t="s">
        <v>272</v>
      </c>
      <c r="J91" s="288"/>
      <c r="K91" s="287"/>
      <c r="L91" s="287"/>
      <c r="M91" s="287"/>
      <c r="N91" s="287"/>
      <c r="O91" s="64"/>
      <c r="P91" s="270"/>
      <c r="Q91" s="287"/>
      <c r="R91" s="287"/>
      <c r="S91" s="287"/>
      <c r="T91" s="287"/>
      <c r="U91" s="287"/>
      <c r="V91" s="337" t="s">
        <v>69</v>
      </c>
      <c r="W91" s="62"/>
      <c r="X91" s="414">
        <f>SUM(X92:X93)</f>
        <v>0</v>
      </c>
      <c r="Y91" s="415" t="s">
        <v>310</v>
      </c>
    </row>
    <row r="92" spans="1:26" ht="21" hidden="1" customHeight="1">
      <c r="A92" s="37"/>
      <c r="B92" s="38"/>
      <c r="C92" s="38"/>
      <c r="D92" s="38"/>
      <c r="E92" s="40"/>
      <c r="F92" s="40"/>
      <c r="G92" s="41"/>
      <c r="H92" s="60"/>
      <c r="I92" s="279" t="s">
        <v>490</v>
      </c>
      <c r="J92" s="288"/>
      <c r="K92" s="287"/>
      <c r="L92" s="287"/>
      <c r="M92" s="287">
        <f>M28</f>
        <v>65584000</v>
      </c>
      <c r="N92" s="287" t="s">
        <v>56</v>
      </c>
      <c r="O92" s="64" t="s">
        <v>57</v>
      </c>
      <c r="P92" s="270">
        <v>0</v>
      </c>
      <c r="Q92" s="287"/>
      <c r="R92" s="287"/>
      <c r="S92" s="287"/>
      <c r="T92" s="287"/>
      <c r="U92" s="287" t="s">
        <v>311</v>
      </c>
      <c r="V92" s="287"/>
      <c r="W92" s="58"/>
      <c r="X92" s="287">
        <f>ROUND(M92*P92,-3)</f>
        <v>0</v>
      </c>
      <c r="Y92" s="47" t="s">
        <v>310</v>
      </c>
    </row>
    <row r="93" spans="1:26" ht="21" hidden="1" customHeight="1">
      <c r="A93" s="37"/>
      <c r="B93" s="38"/>
      <c r="C93" s="38"/>
      <c r="D93" s="38"/>
      <c r="E93" s="40"/>
      <c r="F93" s="40"/>
      <c r="G93" s="41"/>
      <c r="H93" s="60"/>
      <c r="I93" s="279"/>
      <c r="J93" s="288"/>
      <c r="K93" s="287"/>
      <c r="L93" s="287"/>
      <c r="M93" s="287"/>
      <c r="N93" s="287"/>
      <c r="O93" s="64"/>
      <c r="P93" s="270"/>
      <c r="Q93" s="287"/>
      <c r="R93" s="287"/>
      <c r="S93" s="287"/>
      <c r="T93" s="287"/>
      <c r="U93" s="287"/>
      <c r="V93" s="287"/>
      <c r="W93" s="58"/>
      <c r="X93" s="287"/>
      <c r="Y93" s="63"/>
    </row>
    <row r="94" spans="1:26" ht="21" hidden="1" customHeight="1" thickBot="1">
      <c r="A94" s="37"/>
      <c r="B94" s="38"/>
      <c r="C94" s="38"/>
      <c r="D94" s="38"/>
      <c r="E94" s="40"/>
      <c r="F94" s="40"/>
      <c r="G94" s="41"/>
      <c r="H94" s="60"/>
      <c r="I94" s="280" t="s">
        <v>273</v>
      </c>
      <c r="J94" s="288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55"/>
      <c r="W94" s="416"/>
      <c r="X94" s="55">
        <f>SUM(X95,X98,X101,X104)</f>
        <v>0</v>
      </c>
      <c r="Y94" s="259" t="s">
        <v>25</v>
      </c>
    </row>
    <row r="95" spans="1:26" ht="21" hidden="1" customHeight="1">
      <c r="A95" s="37"/>
      <c r="B95" s="38"/>
      <c r="C95" s="38"/>
      <c r="D95" s="38"/>
      <c r="E95" s="40"/>
      <c r="F95" s="40"/>
      <c r="G95" s="41"/>
      <c r="H95" s="60"/>
      <c r="I95" s="279" t="s">
        <v>274</v>
      </c>
      <c r="J95" s="288"/>
      <c r="K95" s="287"/>
      <c r="L95" s="287"/>
      <c r="M95" s="287"/>
      <c r="N95" s="287"/>
      <c r="O95" s="64"/>
      <c r="P95" s="270"/>
      <c r="Q95" s="287"/>
      <c r="R95" s="287"/>
      <c r="S95" s="287"/>
      <c r="T95" s="287"/>
      <c r="U95" s="287"/>
      <c r="V95" s="337" t="s">
        <v>69</v>
      </c>
      <c r="W95" s="62"/>
      <c r="X95" s="337">
        <f>SUM(X96:X97)</f>
        <v>0</v>
      </c>
      <c r="Y95" s="63" t="s">
        <v>310</v>
      </c>
    </row>
    <row r="96" spans="1:26" ht="21" hidden="1" customHeight="1">
      <c r="A96" s="37"/>
      <c r="B96" s="38"/>
      <c r="C96" s="38"/>
      <c r="D96" s="38"/>
      <c r="E96" s="40"/>
      <c r="F96" s="40"/>
      <c r="G96" s="41"/>
      <c r="H96" s="60"/>
      <c r="I96" s="279" t="s">
        <v>490</v>
      </c>
      <c r="J96" s="288"/>
      <c r="K96" s="287"/>
      <c r="L96" s="287"/>
      <c r="M96" s="287">
        <f>M32</f>
        <v>6529000</v>
      </c>
      <c r="N96" s="287" t="s">
        <v>56</v>
      </c>
      <c r="O96" s="64" t="s">
        <v>57</v>
      </c>
      <c r="P96" s="270">
        <v>0</v>
      </c>
      <c r="Q96" s="287"/>
      <c r="R96" s="287"/>
      <c r="S96" s="287"/>
      <c r="T96" s="287"/>
      <c r="U96" s="287" t="s">
        <v>208</v>
      </c>
      <c r="V96" s="403"/>
      <c r="W96" s="403"/>
      <c r="X96" s="287">
        <f>ROUND(M96*P96,-3)</f>
        <v>0</v>
      </c>
      <c r="Y96" s="47" t="s">
        <v>312</v>
      </c>
    </row>
    <row r="97" spans="1:27" ht="21" hidden="1" customHeight="1">
      <c r="A97" s="37"/>
      <c r="B97" s="38"/>
      <c r="C97" s="38"/>
      <c r="D97" s="38"/>
      <c r="E97" s="40"/>
      <c r="F97" s="40"/>
      <c r="G97" s="41"/>
      <c r="H97" s="60"/>
      <c r="I97" s="279"/>
      <c r="J97" s="288"/>
      <c r="K97" s="287"/>
      <c r="L97" s="287"/>
      <c r="M97" s="287"/>
      <c r="N97" s="287"/>
      <c r="O97" s="64"/>
      <c r="P97" s="270"/>
      <c r="Q97" s="287"/>
      <c r="R97" s="287"/>
      <c r="S97" s="287"/>
      <c r="T97" s="287"/>
      <c r="U97" s="287"/>
      <c r="V97" s="403"/>
      <c r="W97" s="403"/>
      <c r="X97" s="287"/>
      <c r="Y97" s="47"/>
    </row>
    <row r="98" spans="1:27" ht="21" hidden="1" customHeight="1">
      <c r="A98" s="37"/>
      <c r="B98" s="38"/>
      <c r="C98" s="38"/>
      <c r="D98" s="38"/>
      <c r="E98" s="40"/>
      <c r="F98" s="40"/>
      <c r="G98" s="41"/>
      <c r="H98" s="60"/>
      <c r="I98" s="279" t="s">
        <v>275</v>
      </c>
      <c r="J98" s="288"/>
      <c r="K98" s="287"/>
      <c r="L98" s="287"/>
      <c r="M98" s="287"/>
      <c r="N98" s="287"/>
      <c r="O98" s="64"/>
      <c r="P98" s="270"/>
      <c r="Q98" s="287"/>
      <c r="R98" s="287"/>
      <c r="S98" s="287"/>
      <c r="T98" s="287"/>
      <c r="U98" s="287"/>
      <c r="V98" s="337" t="s">
        <v>69</v>
      </c>
      <c r="W98" s="62"/>
      <c r="X98" s="337">
        <f>SUM(X99:X100)</f>
        <v>0</v>
      </c>
      <c r="Y98" s="63" t="s">
        <v>310</v>
      </c>
    </row>
    <row r="99" spans="1:27" ht="21" hidden="1" customHeight="1">
      <c r="A99" s="37"/>
      <c r="B99" s="38"/>
      <c r="C99" s="38"/>
      <c r="D99" s="38"/>
      <c r="E99" s="40"/>
      <c r="F99" s="40"/>
      <c r="G99" s="41"/>
      <c r="H99" s="60"/>
      <c r="I99" s="279" t="s">
        <v>505</v>
      </c>
      <c r="J99" s="288"/>
      <c r="K99" s="287"/>
      <c r="L99" s="287"/>
      <c r="M99" s="287">
        <f>M35</f>
        <v>2160000</v>
      </c>
      <c r="N99" s="287" t="s">
        <v>56</v>
      </c>
      <c r="O99" s="64" t="s">
        <v>57</v>
      </c>
      <c r="P99" s="270">
        <v>0</v>
      </c>
      <c r="Q99" s="287"/>
      <c r="R99" s="287"/>
      <c r="S99" s="287"/>
      <c r="T99" s="287"/>
      <c r="U99" s="287" t="s">
        <v>208</v>
      </c>
      <c r="V99" s="403"/>
      <c r="W99" s="403"/>
      <c r="X99" s="287">
        <f>ROUND(M99*P99,-3)</f>
        <v>0</v>
      </c>
      <c r="Y99" s="47" t="s">
        <v>312</v>
      </c>
    </row>
    <row r="100" spans="1:27" ht="21" hidden="1" customHeight="1">
      <c r="A100" s="37"/>
      <c r="B100" s="38"/>
      <c r="C100" s="38"/>
      <c r="D100" s="38"/>
      <c r="E100" s="40"/>
      <c r="F100" s="40"/>
      <c r="G100" s="41"/>
      <c r="H100" s="60"/>
      <c r="I100" s="279"/>
      <c r="J100" s="288"/>
      <c r="K100" s="287"/>
      <c r="L100" s="287"/>
      <c r="M100" s="287"/>
      <c r="N100" s="287"/>
      <c r="O100" s="64"/>
      <c r="P100" s="270"/>
      <c r="Q100" s="287"/>
      <c r="R100" s="287"/>
      <c r="S100" s="287"/>
      <c r="T100" s="287"/>
      <c r="U100" s="287"/>
      <c r="V100" s="403"/>
      <c r="W100" s="403"/>
      <c r="X100" s="287"/>
      <c r="Y100" s="47"/>
    </row>
    <row r="101" spans="1:27" ht="21" hidden="1" customHeight="1">
      <c r="A101" s="37"/>
      <c r="B101" s="38"/>
      <c r="C101" s="38"/>
      <c r="D101" s="38"/>
      <c r="E101" s="40"/>
      <c r="F101" s="40"/>
      <c r="G101" s="41"/>
      <c r="H101" s="60"/>
      <c r="I101" s="279" t="s">
        <v>276</v>
      </c>
      <c r="J101" s="288"/>
      <c r="K101" s="287"/>
      <c r="L101" s="287"/>
      <c r="M101" s="287"/>
      <c r="N101" s="287"/>
      <c r="O101" s="64"/>
      <c r="P101" s="270"/>
      <c r="Q101" s="287"/>
      <c r="R101" s="287"/>
      <c r="S101" s="287"/>
      <c r="T101" s="287"/>
      <c r="U101" s="287"/>
      <c r="V101" s="337" t="s">
        <v>69</v>
      </c>
      <c r="W101" s="62"/>
      <c r="X101" s="337">
        <f>SUM(X102:X103)</f>
        <v>0</v>
      </c>
      <c r="Y101" s="63" t="s">
        <v>310</v>
      </c>
    </row>
    <row r="102" spans="1:27" ht="21" hidden="1" customHeight="1">
      <c r="A102" s="37"/>
      <c r="B102" s="38"/>
      <c r="C102" s="38"/>
      <c r="D102" s="38"/>
      <c r="E102" s="40"/>
      <c r="F102" s="40"/>
      <c r="G102" s="41"/>
      <c r="H102" s="60"/>
      <c r="I102" s="279" t="s">
        <v>490</v>
      </c>
      <c r="J102" s="288"/>
      <c r="K102" s="287"/>
      <c r="L102" s="287"/>
      <c r="M102" s="287">
        <f>M38</f>
        <v>14124000</v>
      </c>
      <c r="N102" s="287" t="s">
        <v>56</v>
      </c>
      <c r="O102" s="64" t="s">
        <v>57</v>
      </c>
      <c r="P102" s="270">
        <v>0</v>
      </c>
      <c r="Q102" s="287"/>
      <c r="R102" s="287"/>
      <c r="S102" s="287"/>
      <c r="T102" s="287"/>
      <c r="U102" s="287" t="s">
        <v>208</v>
      </c>
      <c r="V102" s="403"/>
      <c r="W102" s="403"/>
      <c r="X102" s="409">
        <f>ROUND(M102*P102,-3)</f>
        <v>0</v>
      </c>
      <c r="Y102" s="47" t="s">
        <v>312</v>
      </c>
    </row>
    <row r="103" spans="1:27" ht="21" hidden="1" customHeight="1">
      <c r="A103" s="37"/>
      <c r="B103" s="38"/>
      <c r="C103" s="38"/>
      <c r="D103" s="38"/>
      <c r="E103" s="40"/>
      <c r="F103" s="40"/>
      <c r="G103" s="41"/>
      <c r="H103" s="60"/>
      <c r="I103" s="279"/>
      <c r="J103" s="288"/>
      <c r="K103" s="287"/>
      <c r="L103" s="287"/>
      <c r="M103" s="287"/>
      <c r="N103" s="287"/>
      <c r="O103" s="64"/>
      <c r="P103" s="270"/>
      <c r="Q103" s="287"/>
      <c r="R103" s="287"/>
      <c r="S103" s="287"/>
      <c r="T103" s="287"/>
      <c r="U103" s="287"/>
      <c r="V103" s="403"/>
      <c r="W103" s="403"/>
      <c r="X103" s="287"/>
      <c r="Y103" s="47"/>
    </row>
    <row r="104" spans="1:27" s="11" customFormat="1" ht="19.5" hidden="1" customHeight="1">
      <c r="A104" s="50"/>
      <c r="B104" s="38"/>
      <c r="C104" s="38"/>
      <c r="D104" s="38"/>
      <c r="E104" s="40"/>
      <c r="F104" s="40"/>
      <c r="G104" s="41"/>
      <c r="H104" s="60"/>
      <c r="I104" s="279" t="s">
        <v>494</v>
      </c>
      <c r="J104" s="288"/>
      <c r="K104" s="287"/>
      <c r="L104" s="287"/>
      <c r="M104" s="287"/>
      <c r="N104" s="287"/>
      <c r="O104" s="64"/>
      <c r="P104" s="270"/>
      <c r="Q104" s="287"/>
      <c r="R104" s="287"/>
      <c r="S104" s="287"/>
      <c r="T104" s="287"/>
      <c r="U104" s="287"/>
      <c r="V104" s="337" t="s">
        <v>69</v>
      </c>
      <c r="W104" s="62"/>
      <c r="X104" s="337">
        <f>SUM(X105:X106)</f>
        <v>0</v>
      </c>
      <c r="Y104" s="63" t="s">
        <v>56</v>
      </c>
      <c r="Z104" s="6"/>
    </row>
    <row r="105" spans="1:27" s="11" customFormat="1" ht="19.5" hidden="1" customHeight="1">
      <c r="A105" s="50"/>
      <c r="B105" s="38"/>
      <c r="C105" s="38"/>
      <c r="D105" s="38"/>
      <c r="E105" s="40"/>
      <c r="F105" s="40"/>
      <c r="G105" s="41"/>
      <c r="H105" s="60"/>
      <c r="I105" s="279" t="s">
        <v>490</v>
      </c>
      <c r="J105" s="288"/>
      <c r="K105" s="287"/>
      <c r="L105" s="287"/>
      <c r="M105" s="287">
        <f>M41</f>
        <v>4708000</v>
      </c>
      <c r="N105" s="287" t="s">
        <v>56</v>
      </c>
      <c r="O105" s="64" t="s">
        <v>57</v>
      </c>
      <c r="P105" s="270">
        <v>0</v>
      </c>
      <c r="Q105" s="287"/>
      <c r="R105" s="287"/>
      <c r="S105" s="287"/>
      <c r="T105" s="287"/>
      <c r="U105" s="287" t="s">
        <v>53</v>
      </c>
      <c r="V105" s="465"/>
      <c r="W105" s="465"/>
      <c r="X105" s="287">
        <f>ROUND(M105*P105,-3)</f>
        <v>0</v>
      </c>
      <c r="Y105" s="47" t="s">
        <v>56</v>
      </c>
      <c r="Z105" s="6"/>
    </row>
    <row r="106" spans="1:27" s="11" customFormat="1" ht="19.5" hidden="1" customHeight="1">
      <c r="A106" s="50"/>
      <c r="B106" s="38"/>
      <c r="C106" s="38"/>
      <c r="D106" s="38"/>
      <c r="E106" s="40"/>
      <c r="F106" s="40"/>
      <c r="G106" s="41"/>
      <c r="H106" s="60"/>
      <c r="I106" s="279"/>
      <c r="J106" s="288"/>
      <c r="K106" s="287"/>
      <c r="L106" s="287"/>
      <c r="M106" s="287"/>
      <c r="N106" s="287"/>
      <c r="O106" s="64"/>
      <c r="P106" s="270"/>
      <c r="Q106" s="287"/>
      <c r="R106" s="287"/>
      <c r="S106" s="287"/>
      <c r="T106" s="287"/>
      <c r="U106" s="287"/>
      <c r="V106" s="465"/>
      <c r="W106" s="465"/>
      <c r="X106" s="287"/>
      <c r="Y106" s="47"/>
      <c r="Z106" s="6"/>
    </row>
    <row r="107" spans="1:27" s="11" customFormat="1" ht="19.5" hidden="1" customHeight="1">
      <c r="A107" s="50"/>
      <c r="B107" s="38"/>
      <c r="C107" s="38"/>
      <c r="D107" s="38"/>
      <c r="E107" s="40"/>
      <c r="F107" s="40"/>
      <c r="G107" s="41"/>
      <c r="H107" s="60"/>
      <c r="I107" s="280" t="s">
        <v>277</v>
      </c>
      <c r="J107" s="288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337" t="s">
        <v>69</v>
      </c>
      <c r="W107" s="62"/>
      <c r="X107" s="337">
        <f>SUM(X108:X109)</f>
        <v>0</v>
      </c>
      <c r="Y107" s="63" t="s">
        <v>25</v>
      </c>
      <c r="Z107" s="6"/>
    </row>
    <row r="108" spans="1:27" s="11" customFormat="1" ht="19.5" hidden="1" customHeight="1">
      <c r="A108" s="50"/>
      <c r="B108" s="38"/>
      <c r="C108" s="38"/>
      <c r="D108" s="38"/>
      <c r="E108" s="40"/>
      <c r="F108" s="40"/>
      <c r="G108" s="41"/>
      <c r="H108" s="60"/>
      <c r="I108" s="279" t="s">
        <v>490</v>
      </c>
      <c r="J108" s="288"/>
      <c r="K108" s="287"/>
      <c r="L108" s="287"/>
      <c r="M108" s="287">
        <f>SUM(M92+M96+M99+M102+M105)</f>
        <v>93105000</v>
      </c>
      <c r="N108" s="44" t="s">
        <v>56</v>
      </c>
      <c r="O108" s="465" t="s">
        <v>70</v>
      </c>
      <c r="P108" s="66">
        <v>12</v>
      </c>
      <c r="Q108" s="176" t="s">
        <v>0</v>
      </c>
      <c r="R108" s="64" t="s">
        <v>57</v>
      </c>
      <c r="S108" s="270">
        <v>0</v>
      </c>
      <c r="T108" s="287"/>
      <c r="U108" s="287" t="s">
        <v>53</v>
      </c>
      <c r="V108" s="79"/>
      <c r="W108" s="79"/>
      <c r="X108" s="223">
        <f>ROUNDUP(M108/P108*S108,-3)</f>
        <v>0</v>
      </c>
      <c r="Y108" s="260" t="s">
        <v>56</v>
      </c>
      <c r="Z108" s="287"/>
      <c r="AA108" s="6"/>
    </row>
    <row r="109" spans="1:27" ht="21" hidden="1" customHeight="1">
      <c r="A109" s="37"/>
      <c r="B109" s="38"/>
      <c r="C109" s="38"/>
      <c r="D109" s="38"/>
      <c r="E109" s="40"/>
      <c r="F109" s="40"/>
      <c r="G109" s="41"/>
      <c r="H109" s="60"/>
      <c r="I109" s="279"/>
      <c r="J109" s="288"/>
      <c r="K109" s="287"/>
      <c r="L109" s="287"/>
      <c r="M109" s="287"/>
      <c r="N109" s="44"/>
      <c r="O109" s="403"/>
      <c r="P109" s="66"/>
      <c r="Q109" s="176"/>
      <c r="R109" s="64"/>
      <c r="S109" s="270"/>
      <c r="T109" s="287"/>
      <c r="U109" s="287"/>
      <c r="V109" s="287"/>
      <c r="W109" s="287"/>
      <c r="X109" s="58"/>
      <c r="Y109" s="260"/>
    </row>
    <row r="110" spans="1:27" ht="21" hidden="1" customHeight="1">
      <c r="A110" s="37"/>
      <c r="B110" s="38"/>
      <c r="C110" s="38"/>
      <c r="D110" s="38"/>
      <c r="E110" s="40"/>
      <c r="F110" s="40"/>
      <c r="G110" s="41"/>
      <c r="H110" s="60"/>
      <c r="I110" s="280" t="s">
        <v>278</v>
      </c>
      <c r="J110" s="288"/>
      <c r="K110" s="287"/>
      <c r="L110" s="287"/>
      <c r="M110" s="287"/>
      <c r="N110" s="44"/>
      <c r="O110" s="287"/>
      <c r="P110" s="287"/>
      <c r="Q110" s="287"/>
      <c r="R110" s="287"/>
      <c r="S110" s="287"/>
      <c r="T110" s="287"/>
      <c r="U110" s="287"/>
      <c r="V110" s="337" t="s">
        <v>69</v>
      </c>
      <c r="W110" s="62"/>
      <c r="X110" s="337">
        <f>SUM(X111,X114,X117,X120,X123)</f>
        <v>0</v>
      </c>
      <c r="Y110" s="63" t="s">
        <v>25</v>
      </c>
    </row>
    <row r="111" spans="1:27" ht="21" hidden="1" customHeight="1">
      <c r="A111" s="37"/>
      <c r="B111" s="38"/>
      <c r="C111" s="38"/>
      <c r="D111" s="38"/>
      <c r="E111" s="40"/>
      <c r="F111" s="40"/>
      <c r="G111" s="41"/>
      <c r="H111" s="60"/>
      <c r="I111" s="279" t="s">
        <v>279</v>
      </c>
      <c r="J111" s="288"/>
      <c r="K111" s="287"/>
      <c r="L111" s="287"/>
      <c r="M111" s="287"/>
      <c r="N111" s="44"/>
      <c r="O111" s="64"/>
      <c r="P111" s="229"/>
      <c r="Q111" s="403"/>
      <c r="R111" s="64"/>
      <c r="S111" s="270"/>
      <c r="T111" s="65"/>
      <c r="U111" s="403"/>
      <c r="V111" s="127"/>
      <c r="W111" s="128"/>
      <c r="X111" s="128">
        <f>SUM(X112:X113)</f>
        <v>0</v>
      </c>
      <c r="Y111" s="129" t="s">
        <v>56</v>
      </c>
    </row>
    <row r="112" spans="1:27" ht="21" hidden="1" customHeight="1">
      <c r="A112" s="37"/>
      <c r="B112" s="38"/>
      <c r="C112" s="38"/>
      <c r="D112" s="38"/>
      <c r="E112" s="40"/>
      <c r="F112" s="40"/>
      <c r="G112" s="41"/>
      <c r="H112" s="60"/>
      <c r="I112" s="279" t="s">
        <v>490</v>
      </c>
      <c r="J112" s="288"/>
      <c r="K112" s="287"/>
      <c r="L112" s="287"/>
      <c r="M112" s="287">
        <f>M108</f>
        <v>93105000</v>
      </c>
      <c r="N112" s="44" t="s">
        <v>56</v>
      </c>
      <c r="O112" s="64" t="s">
        <v>57</v>
      </c>
      <c r="P112" s="229">
        <v>0.09</v>
      </c>
      <c r="Q112" s="403">
        <v>2</v>
      </c>
      <c r="R112" s="64" t="s">
        <v>57</v>
      </c>
      <c r="S112" s="270">
        <v>0</v>
      </c>
      <c r="T112" s="65"/>
      <c r="U112" s="403" t="s">
        <v>206</v>
      </c>
      <c r="V112" s="287"/>
      <c r="W112" s="58"/>
      <c r="X112" s="58">
        <f>ROUNDUP(M112*P112/Q112*S112,-3)</f>
        <v>0</v>
      </c>
      <c r="Y112" s="47" t="s">
        <v>312</v>
      </c>
    </row>
    <row r="113" spans="1:25" ht="21" hidden="1" customHeight="1">
      <c r="A113" s="37"/>
      <c r="B113" s="38"/>
      <c r="C113" s="38"/>
      <c r="D113" s="38"/>
      <c r="E113" s="40"/>
      <c r="F113" s="40"/>
      <c r="G113" s="41"/>
      <c r="H113" s="60"/>
      <c r="I113" s="279"/>
      <c r="J113" s="288"/>
      <c r="K113" s="287"/>
      <c r="L113" s="287"/>
      <c r="M113" s="287"/>
      <c r="N113" s="44"/>
      <c r="O113" s="64"/>
      <c r="P113" s="229"/>
      <c r="Q113" s="403"/>
      <c r="R113" s="64"/>
      <c r="S113" s="270"/>
      <c r="T113" s="65"/>
      <c r="U113" s="403"/>
      <c r="V113" s="287"/>
      <c r="W113" s="58"/>
      <c r="X113" s="120"/>
      <c r="Y113" s="47"/>
    </row>
    <row r="114" spans="1:25" ht="21" hidden="1" customHeight="1">
      <c r="A114" s="37"/>
      <c r="B114" s="38"/>
      <c r="C114" s="38"/>
      <c r="D114" s="38"/>
      <c r="E114" s="40"/>
      <c r="F114" s="40"/>
      <c r="G114" s="41"/>
      <c r="H114" s="60"/>
      <c r="I114" s="279" t="s">
        <v>280</v>
      </c>
      <c r="J114" s="288"/>
      <c r="K114" s="287"/>
      <c r="L114" s="287"/>
      <c r="M114" s="287"/>
      <c r="N114" s="44"/>
      <c r="O114" s="64"/>
      <c r="P114" s="230"/>
      <c r="Q114" s="403"/>
      <c r="R114" s="64"/>
      <c r="S114" s="270"/>
      <c r="T114" s="65"/>
      <c r="U114" s="403"/>
      <c r="V114" s="337"/>
      <c r="W114" s="62"/>
      <c r="X114" s="62">
        <f>SUM(X115:X116)</f>
        <v>0</v>
      </c>
      <c r="Y114" s="63" t="s">
        <v>56</v>
      </c>
    </row>
    <row r="115" spans="1:25" ht="21" hidden="1" customHeight="1">
      <c r="A115" s="37"/>
      <c r="B115" s="38"/>
      <c r="C115" s="38"/>
      <c r="D115" s="38"/>
      <c r="E115" s="40"/>
      <c r="F115" s="40"/>
      <c r="G115" s="41"/>
      <c r="H115" s="60"/>
      <c r="I115" s="279" t="s">
        <v>490</v>
      </c>
      <c r="J115" s="288"/>
      <c r="K115" s="287"/>
      <c r="L115" s="287"/>
      <c r="M115" s="287">
        <f>M112</f>
        <v>93105000</v>
      </c>
      <c r="N115" s="44" t="s">
        <v>56</v>
      </c>
      <c r="O115" s="64" t="s">
        <v>57</v>
      </c>
      <c r="P115" s="230">
        <v>7.0900000000000005E-2</v>
      </c>
      <c r="Q115" s="403">
        <v>2</v>
      </c>
      <c r="R115" s="64" t="s">
        <v>57</v>
      </c>
      <c r="S115" s="270">
        <v>0</v>
      </c>
      <c r="T115" s="65"/>
      <c r="U115" s="403"/>
      <c r="V115" s="287"/>
      <c r="W115" s="58"/>
      <c r="X115" s="273">
        <f>ROUNDUP(M115*P115/Q115*S115,-3)</f>
        <v>0</v>
      </c>
      <c r="Y115" s="47" t="s">
        <v>312</v>
      </c>
    </row>
    <row r="116" spans="1:25" ht="21" hidden="1" customHeight="1">
      <c r="A116" s="37"/>
      <c r="B116" s="38"/>
      <c r="C116" s="38"/>
      <c r="D116" s="38"/>
      <c r="E116" s="40"/>
      <c r="F116" s="40"/>
      <c r="G116" s="41"/>
      <c r="H116" s="60"/>
      <c r="I116" s="279"/>
      <c r="J116" s="288"/>
      <c r="K116" s="287"/>
      <c r="L116" s="287"/>
      <c r="M116" s="287"/>
      <c r="N116" s="44"/>
      <c r="O116" s="64"/>
      <c r="P116" s="230"/>
      <c r="Q116" s="403"/>
      <c r="R116" s="64"/>
      <c r="S116" s="270"/>
      <c r="T116" s="65"/>
      <c r="U116" s="403"/>
      <c r="V116" s="287"/>
      <c r="W116" s="58"/>
      <c r="X116" s="120"/>
      <c r="Y116" s="47"/>
    </row>
    <row r="117" spans="1:25" ht="21" hidden="1" customHeight="1">
      <c r="A117" s="37"/>
      <c r="B117" s="38"/>
      <c r="C117" s="38"/>
      <c r="D117" s="38"/>
      <c r="E117" s="40"/>
      <c r="F117" s="40"/>
      <c r="G117" s="41"/>
      <c r="H117" s="60"/>
      <c r="I117" s="279" t="s">
        <v>281</v>
      </c>
      <c r="J117" s="288"/>
      <c r="K117" s="287"/>
      <c r="L117" s="287"/>
      <c r="M117" s="287"/>
      <c r="N117" s="44"/>
      <c r="O117" s="64"/>
      <c r="P117" s="68"/>
      <c r="Q117" s="69"/>
      <c r="R117" s="64"/>
      <c r="S117" s="67"/>
      <c r="T117" s="70"/>
      <c r="U117" s="403"/>
      <c r="V117" s="337"/>
      <c r="W117" s="62"/>
      <c r="X117" s="62">
        <f>SUM(X118:X119)</f>
        <v>0</v>
      </c>
      <c r="Y117" s="63" t="s">
        <v>56</v>
      </c>
    </row>
    <row r="118" spans="1:25" ht="21" hidden="1" customHeight="1">
      <c r="A118" s="37"/>
      <c r="B118" s="38"/>
      <c r="C118" s="38"/>
      <c r="D118" s="38"/>
      <c r="E118" s="40"/>
      <c r="F118" s="40"/>
      <c r="G118" s="41"/>
      <c r="H118" s="60"/>
      <c r="I118" s="279" t="s">
        <v>490</v>
      </c>
      <c r="J118" s="288"/>
      <c r="K118" s="287"/>
      <c r="L118" s="287"/>
      <c r="M118" s="287">
        <f t="shared" ref="M118" si="26">X115</f>
        <v>0</v>
      </c>
      <c r="N118" s="44" t="s">
        <v>56</v>
      </c>
      <c r="O118" s="64" t="s">
        <v>57</v>
      </c>
      <c r="P118" s="68">
        <v>0.12809999999999999</v>
      </c>
      <c r="Q118" s="69"/>
      <c r="R118" s="64"/>
      <c r="S118" s="67"/>
      <c r="T118" s="70"/>
      <c r="U118" s="403"/>
      <c r="V118" s="287"/>
      <c r="W118" s="58"/>
      <c r="X118" s="58">
        <f>ROUND(M118*P118,-3)</f>
        <v>0</v>
      </c>
      <c r="Y118" s="47" t="s">
        <v>312</v>
      </c>
    </row>
    <row r="119" spans="1:25" ht="21" hidden="1" customHeight="1">
      <c r="A119" s="37"/>
      <c r="B119" s="38"/>
      <c r="C119" s="38"/>
      <c r="D119" s="38"/>
      <c r="E119" s="40"/>
      <c r="F119" s="40"/>
      <c r="G119" s="41"/>
      <c r="H119" s="60"/>
      <c r="I119" s="279"/>
      <c r="J119" s="288"/>
      <c r="K119" s="287"/>
      <c r="L119" s="287"/>
      <c r="M119" s="287"/>
      <c r="N119" s="44"/>
      <c r="O119" s="64"/>
      <c r="P119" s="68"/>
      <c r="Q119" s="69"/>
      <c r="R119" s="64"/>
      <c r="S119" s="67"/>
      <c r="T119" s="70"/>
      <c r="U119" s="403"/>
      <c r="V119" s="287"/>
      <c r="W119" s="58"/>
      <c r="X119" s="58"/>
      <c r="Y119" s="47"/>
    </row>
    <row r="120" spans="1:25" ht="21" hidden="1" customHeight="1">
      <c r="A120" s="37"/>
      <c r="B120" s="38"/>
      <c r="C120" s="38"/>
      <c r="D120" s="38"/>
      <c r="E120" s="40"/>
      <c r="F120" s="40"/>
      <c r="G120" s="41"/>
      <c r="H120" s="60"/>
      <c r="I120" s="279" t="s">
        <v>282</v>
      </c>
      <c r="J120" s="288"/>
      <c r="K120" s="287"/>
      <c r="L120" s="287"/>
      <c r="M120" s="287"/>
      <c r="N120" s="44"/>
      <c r="O120" s="64"/>
      <c r="P120" s="68"/>
      <c r="Q120" s="64"/>
      <c r="R120" s="64"/>
      <c r="S120" s="270"/>
      <c r="T120" s="65"/>
      <c r="U120" s="403"/>
      <c r="V120" s="337"/>
      <c r="W120" s="62"/>
      <c r="X120" s="62">
        <f>SUM(X121:X122)</f>
        <v>0</v>
      </c>
      <c r="Y120" s="63" t="s">
        <v>56</v>
      </c>
    </row>
    <row r="121" spans="1:25" ht="21" hidden="1" customHeight="1">
      <c r="A121" s="37"/>
      <c r="B121" s="38"/>
      <c r="C121" s="38"/>
      <c r="D121" s="38"/>
      <c r="E121" s="40"/>
      <c r="F121" s="40"/>
      <c r="G121" s="41"/>
      <c r="H121" s="60"/>
      <c r="I121" s="279" t="s">
        <v>490</v>
      </c>
      <c r="J121" s="288"/>
      <c r="K121" s="287"/>
      <c r="L121" s="287"/>
      <c r="M121" s="287">
        <f>M112</f>
        <v>93105000</v>
      </c>
      <c r="N121" s="44" t="s">
        <v>56</v>
      </c>
      <c r="O121" s="64" t="s">
        <v>57</v>
      </c>
      <c r="P121" s="68">
        <v>1.15E-2</v>
      </c>
      <c r="Q121" s="64"/>
      <c r="R121" s="64" t="s">
        <v>57</v>
      </c>
      <c r="S121" s="270">
        <v>0</v>
      </c>
      <c r="T121" s="65"/>
      <c r="U121" s="403" t="s">
        <v>206</v>
      </c>
      <c r="V121" s="287"/>
      <c r="W121" s="58"/>
      <c r="X121" s="58">
        <f>ROUND(M121*P121*S121,-3)</f>
        <v>0</v>
      </c>
      <c r="Y121" s="47" t="s">
        <v>312</v>
      </c>
    </row>
    <row r="122" spans="1:25" ht="21" hidden="1" customHeight="1">
      <c r="A122" s="37"/>
      <c r="B122" s="38"/>
      <c r="C122" s="38"/>
      <c r="D122" s="38"/>
      <c r="E122" s="40"/>
      <c r="F122" s="40"/>
      <c r="G122" s="41"/>
      <c r="H122" s="60"/>
      <c r="I122" s="279"/>
      <c r="J122" s="288"/>
      <c r="K122" s="287"/>
      <c r="L122" s="287"/>
      <c r="M122" s="287"/>
      <c r="N122" s="44"/>
      <c r="O122" s="64"/>
      <c r="P122" s="68"/>
      <c r="Q122" s="64"/>
      <c r="R122" s="64"/>
      <c r="S122" s="270"/>
      <c r="T122" s="65"/>
      <c r="U122" s="403"/>
      <c r="V122" s="287"/>
      <c r="W122" s="58"/>
      <c r="X122" s="58"/>
      <c r="Y122" s="47"/>
    </row>
    <row r="123" spans="1:25" ht="21" hidden="1" customHeight="1">
      <c r="A123" s="37"/>
      <c r="B123" s="38"/>
      <c r="C123" s="38"/>
      <c r="D123" s="38"/>
      <c r="E123" s="40"/>
      <c r="F123" s="40"/>
      <c r="G123" s="41"/>
      <c r="H123" s="60"/>
      <c r="I123" s="279" t="s">
        <v>283</v>
      </c>
      <c r="J123" s="288"/>
      <c r="K123" s="287"/>
      <c r="L123" s="287"/>
      <c r="M123" s="287"/>
      <c r="N123" s="44"/>
      <c r="O123" s="64"/>
      <c r="P123" s="266"/>
      <c r="Q123" s="64"/>
      <c r="R123" s="64"/>
      <c r="S123" s="270"/>
      <c r="T123" s="65"/>
      <c r="U123" s="403"/>
      <c r="V123" s="337"/>
      <c r="W123" s="62"/>
      <c r="X123" s="62">
        <f>SUM(X124:X125)</f>
        <v>0</v>
      </c>
      <c r="Y123" s="63" t="s">
        <v>56</v>
      </c>
    </row>
    <row r="124" spans="1:25" ht="21" hidden="1" customHeight="1">
      <c r="A124" s="37"/>
      <c r="B124" s="38"/>
      <c r="C124" s="38"/>
      <c r="D124" s="38"/>
      <c r="E124" s="40"/>
      <c r="F124" s="40"/>
      <c r="G124" s="41"/>
      <c r="H124" s="60"/>
      <c r="I124" s="279" t="s">
        <v>490</v>
      </c>
      <c r="J124" s="288"/>
      <c r="K124" s="287"/>
      <c r="L124" s="287"/>
      <c r="M124" s="287">
        <f>M112</f>
        <v>93105000</v>
      </c>
      <c r="N124" s="44" t="s">
        <v>56</v>
      </c>
      <c r="O124" s="64" t="s">
        <v>57</v>
      </c>
      <c r="P124" s="266">
        <v>7.6E-3</v>
      </c>
      <c r="Q124" s="64"/>
      <c r="R124" s="64" t="s">
        <v>57</v>
      </c>
      <c r="S124" s="270">
        <v>0</v>
      </c>
      <c r="T124" s="65"/>
      <c r="U124" s="403" t="s">
        <v>206</v>
      </c>
      <c r="V124" s="287"/>
      <c r="W124" s="58"/>
      <c r="X124" s="58">
        <f>ROUNDUP(M124*P124*S124,-3)</f>
        <v>0</v>
      </c>
      <c r="Y124" s="47" t="s">
        <v>312</v>
      </c>
    </row>
    <row r="125" spans="1:25" ht="21" hidden="1" customHeight="1">
      <c r="A125" s="37"/>
      <c r="B125" s="38"/>
      <c r="C125" s="38"/>
      <c r="D125" s="38"/>
      <c r="E125" s="40"/>
      <c r="F125" s="40"/>
      <c r="G125" s="41"/>
      <c r="H125" s="60"/>
      <c r="I125" s="279"/>
      <c r="J125" s="288"/>
      <c r="K125" s="287"/>
      <c r="L125" s="287"/>
      <c r="M125" s="287"/>
      <c r="N125" s="44"/>
      <c r="O125" s="64"/>
      <c r="P125" s="266"/>
      <c r="Q125" s="64"/>
      <c r="R125" s="64"/>
      <c r="S125" s="270"/>
      <c r="T125" s="65"/>
      <c r="U125" s="403"/>
      <c r="V125" s="287"/>
      <c r="W125" s="58"/>
      <c r="X125" s="120"/>
      <c r="Y125" s="47"/>
    </row>
    <row r="126" spans="1:25" ht="21" hidden="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7"/>
      <c r="L126" s="217"/>
      <c r="M126" s="197"/>
      <c r="N126" s="197"/>
      <c r="O126" s="218"/>
      <c r="P126" s="197"/>
      <c r="Q126" s="116"/>
      <c r="R126" s="219"/>
      <c r="S126" s="72"/>
      <c r="T126" s="168"/>
      <c r="U126" s="168"/>
      <c r="V126" s="220"/>
      <c r="W126" s="198"/>
      <c r="X126" s="62"/>
      <c r="Y126" s="63"/>
    </row>
    <row r="127" spans="1:25" ht="21" hidden="1" customHeight="1" thickBot="1">
      <c r="A127" s="37"/>
      <c r="B127" s="38"/>
      <c r="C127" s="38"/>
      <c r="D127" s="28" t="s">
        <v>210</v>
      </c>
      <c r="E127" s="29">
        <v>0</v>
      </c>
      <c r="F127" s="212">
        <f>ROUND(X127/1000,0)</f>
        <v>0</v>
      </c>
      <c r="G127" s="30">
        <f t="shared" ref="G127" si="27">F127-E127</f>
        <v>0</v>
      </c>
      <c r="H127" s="109">
        <f t="shared" ref="H127" si="28">IF(E127=0,0,G127/E127)</f>
        <v>0</v>
      </c>
      <c r="I127" s="224" t="s">
        <v>211</v>
      </c>
      <c r="J127" s="223"/>
      <c r="K127" s="231"/>
      <c r="L127" s="231"/>
      <c r="M127" s="79"/>
      <c r="N127" s="79"/>
      <c r="O127" s="213"/>
      <c r="P127" s="79"/>
      <c r="Q127" s="214"/>
      <c r="R127" s="221"/>
      <c r="S127" s="222"/>
      <c r="T127" s="227"/>
      <c r="U127" s="227"/>
      <c r="V127" s="225" t="s">
        <v>192</v>
      </c>
      <c r="W127" s="226"/>
      <c r="X127" s="226">
        <f>SUM(X128:X128)</f>
        <v>0</v>
      </c>
      <c r="Y127" s="259" t="s">
        <v>56</v>
      </c>
    </row>
    <row r="128" spans="1:25" ht="21" hidden="1" customHeight="1">
      <c r="A128" s="37"/>
      <c r="B128" s="38"/>
      <c r="C128" s="38"/>
      <c r="D128" s="38"/>
      <c r="E128" s="40"/>
      <c r="F128" s="40"/>
      <c r="G128" s="41"/>
      <c r="H128" s="60"/>
      <c r="I128" s="288" t="s">
        <v>212</v>
      </c>
      <c r="J128" s="58"/>
      <c r="K128" s="179"/>
      <c r="L128" s="179"/>
      <c r="M128" s="287">
        <f>M64</f>
        <v>2641000</v>
      </c>
      <c r="N128" s="269" t="s">
        <v>25</v>
      </c>
      <c r="O128" s="352" t="s">
        <v>26</v>
      </c>
      <c r="P128" s="353">
        <v>4</v>
      </c>
      <c r="Q128" s="354" t="s">
        <v>55</v>
      </c>
      <c r="R128" s="321" t="s">
        <v>300</v>
      </c>
      <c r="S128" s="270">
        <v>0</v>
      </c>
      <c r="T128" s="324"/>
      <c r="U128" s="322" t="s">
        <v>301</v>
      </c>
      <c r="V128" s="585"/>
      <c r="W128" s="585"/>
      <c r="X128" s="58">
        <f>ROUND(M128*P128*S128,-3)</f>
        <v>0</v>
      </c>
      <c r="Y128" s="47" t="s">
        <v>56</v>
      </c>
    </row>
    <row r="129" spans="1:25" ht="21" hidden="1" customHeight="1">
      <c r="A129" s="37"/>
      <c r="B129" s="38"/>
      <c r="C129" s="38"/>
      <c r="D129" s="49"/>
      <c r="E129" s="51"/>
      <c r="F129" s="51"/>
      <c r="G129" s="52"/>
      <c r="H129" s="75"/>
      <c r="I129" s="61"/>
      <c r="J129" s="62"/>
      <c r="K129" s="217"/>
      <c r="L129" s="217"/>
      <c r="M129" s="197"/>
      <c r="N129" s="197"/>
      <c r="O129" s="218"/>
      <c r="P129" s="197"/>
      <c r="Q129" s="116"/>
      <c r="R129" s="219"/>
      <c r="S129" s="72"/>
      <c r="T129" s="168"/>
      <c r="U129" s="168"/>
      <c r="V129" s="220"/>
      <c r="W129" s="198"/>
      <c r="X129" s="62"/>
      <c r="Y129" s="63"/>
    </row>
    <row r="130" spans="1:25" ht="21" hidden="1" customHeight="1" thickBot="1">
      <c r="A130" s="37"/>
      <c r="B130" s="38"/>
      <c r="C130" s="38"/>
      <c r="D130" s="28" t="s">
        <v>213</v>
      </c>
      <c r="E130" s="29">
        <v>0</v>
      </c>
      <c r="F130" s="212">
        <f>ROUND(X130/1000,0)</f>
        <v>0</v>
      </c>
      <c r="G130" s="30">
        <f t="shared" ref="G130" si="29">F130-E130</f>
        <v>0</v>
      </c>
      <c r="H130" s="109">
        <f t="shared" ref="H130" si="30">IF(E130=0,0,G130/E130)</f>
        <v>0</v>
      </c>
      <c r="I130" s="224" t="s">
        <v>215</v>
      </c>
      <c r="J130" s="223"/>
      <c r="K130" s="231"/>
      <c r="L130" s="231"/>
      <c r="M130" s="79"/>
      <c r="N130" s="79"/>
      <c r="O130" s="213"/>
      <c r="P130" s="79"/>
      <c r="Q130" s="214"/>
      <c r="R130" s="221"/>
      <c r="S130" s="222"/>
      <c r="T130" s="227"/>
      <c r="U130" s="227"/>
      <c r="V130" s="225" t="s">
        <v>192</v>
      </c>
      <c r="W130" s="226"/>
      <c r="X130" s="226">
        <f>SUM(X131:X136)</f>
        <v>0</v>
      </c>
      <c r="Y130" s="259" t="s">
        <v>56</v>
      </c>
    </row>
    <row r="131" spans="1:25" ht="21" hidden="1" customHeight="1">
      <c r="A131" s="37"/>
      <c r="B131" s="38"/>
      <c r="C131" s="38"/>
      <c r="D131" s="38" t="s">
        <v>214</v>
      </c>
      <c r="E131" s="40"/>
      <c r="F131" s="40"/>
      <c r="G131" s="41"/>
      <c r="H131" s="60"/>
      <c r="I131" s="57" t="s">
        <v>216</v>
      </c>
      <c r="J131" s="196"/>
      <c r="K131" s="195"/>
      <c r="L131" s="195"/>
      <c r="M131" s="195">
        <v>500</v>
      </c>
      <c r="N131" s="195" t="s">
        <v>203</v>
      </c>
      <c r="O131" s="196" t="s">
        <v>207</v>
      </c>
      <c r="P131" s="233">
        <v>4</v>
      </c>
      <c r="Q131" s="234">
        <v>365</v>
      </c>
      <c r="R131" s="195" t="s">
        <v>217</v>
      </c>
      <c r="S131" s="270">
        <v>0</v>
      </c>
      <c r="T131" s="195"/>
      <c r="U131" s="195" t="s">
        <v>206</v>
      </c>
      <c r="V131" s="195"/>
      <c r="W131" s="58"/>
      <c r="X131" s="58">
        <f>ROUND(M131*P131*Q131*S131,-3)</f>
        <v>0</v>
      </c>
      <c r="Y131" s="47" t="s">
        <v>25</v>
      </c>
    </row>
    <row r="132" spans="1:25" ht="21" hidden="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218</v>
      </c>
      <c r="J132" s="196"/>
      <c r="K132" s="195"/>
      <c r="L132" s="195"/>
      <c r="M132" s="195">
        <v>5000</v>
      </c>
      <c r="N132" s="195" t="s">
        <v>203</v>
      </c>
      <c r="O132" s="196" t="s">
        <v>207</v>
      </c>
      <c r="P132" s="233">
        <v>4</v>
      </c>
      <c r="Q132" s="234">
        <v>12</v>
      </c>
      <c r="R132" s="195" t="s">
        <v>205</v>
      </c>
      <c r="S132" s="270">
        <v>0</v>
      </c>
      <c r="T132" s="195"/>
      <c r="U132" s="195" t="s">
        <v>206</v>
      </c>
      <c r="V132" s="195"/>
      <c r="W132" s="58"/>
      <c r="X132" s="58">
        <f>ROUND(M132*P132*Q132*S132,-3)</f>
        <v>0</v>
      </c>
      <c r="Y132" s="47" t="s">
        <v>25</v>
      </c>
    </row>
    <row r="133" spans="1:25" ht="21" hidden="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219</v>
      </c>
      <c r="J133" s="196"/>
      <c r="K133" s="195"/>
      <c r="L133" s="195"/>
      <c r="M133" s="195">
        <v>20000</v>
      </c>
      <c r="N133" s="195" t="s">
        <v>203</v>
      </c>
      <c r="O133" s="196" t="s">
        <v>207</v>
      </c>
      <c r="P133" s="233">
        <v>4</v>
      </c>
      <c r="Q133" s="234">
        <v>4</v>
      </c>
      <c r="R133" s="195" t="s">
        <v>220</v>
      </c>
      <c r="S133" s="270">
        <v>0</v>
      </c>
      <c r="T133" s="195"/>
      <c r="U133" s="195" t="s">
        <v>206</v>
      </c>
      <c r="V133" s="195"/>
      <c r="W133" s="58"/>
      <c r="X133" s="58">
        <f>ROUND(M133*P133*Q133*S133,-3)</f>
        <v>0</v>
      </c>
      <c r="Y133" s="47" t="s">
        <v>25</v>
      </c>
    </row>
    <row r="134" spans="1:25" ht="21" hidden="1" customHeight="1">
      <c r="A134" s="37"/>
      <c r="B134" s="38"/>
      <c r="C134" s="38"/>
      <c r="D134" s="38"/>
      <c r="E134" s="40"/>
      <c r="F134" s="40"/>
      <c r="G134" s="41"/>
      <c r="H134" s="60"/>
      <c r="I134" s="57" t="s">
        <v>439</v>
      </c>
      <c r="J134" s="196"/>
      <c r="K134" s="195"/>
      <c r="L134" s="195"/>
      <c r="M134" s="195">
        <v>12000</v>
      </c>
      <c r="N134" s="195" t="s">
        <v>203</v>
      </c>
      <c r="O134" s="196" t="s">
        <v>207</v>
      </c>
      <c r="P134" s="233">
        <v>4</v>
      </c>
      <c r="Q134" s="234">
        <v>4</v>
      </c>
      <c r="R134" s="195" t="s">
        <v>220</v>
      </c>
      <c r="S134" s="270">
        <v>0</v>
      </c>
      <c r="T134" s="195"/>
      <c r="U134" s="195" t="s">
        <v>206</v>
      </c>
      <c r="V134" s="195"/>
      <c r="W134" s="58"/>
      <c r="X134" s="58">
        <f>ROUND(M134*P134*Q134*S134,-3)</f>
        <v>0</v>
      </c>
      <c r="Y134" s="47" t="s">
        <v>25</v>
      </c>
    </row>
    <row r="135" spans="1:25" ht="21" hidden="1" customHeight="1">
      <c r="A135" s="37"/>
      <c r="B135" s="38"/>
      <c r="C135" s="38"/>
      <c r="D135" s="38"/>
      <c r="E135" s="40"/>
      <c r="F135" s="40"/>
      <c r="G135" s="41"/>
      <c r="H135" s="60"/>
      <c r="I135" s="57" t="s">
        <v>221</v>
      </c>
      <c r="J135" s="196"/>
      <c r="K135" s="195"/>
      <c r="L135" s="195"/>
      <c r="M135" s="195"/>
      <c r="N135" s="195"/>
      <c r="O135" s="196"/>
      <c r="P135" s="233"/>
      <c r="Q135" s="234"/>
      <c r="R135" s="195"/>
      <c r="S135" s="195"/>
      <c r="T135" s="195"/>
      <c r="U135" s="195"/>
      <c r="V135" s="195"/>
      <c r="W135" s="58"/>
      <c r="X135" s="58"/>
      <c r="Y135" s="47"/>
    </row>
    <row r="136" spans="1:25" ht="21" hidden="1" customHeight="1">
      <c r="A136" s="37"/>
      <c r="B136" s="38"/>
      <c r="C136" s="38"/>
      <c r="D136" s="38"/>
      <c r="E136" s="40"/>
      <c r="F136" s="40"/>
      <c r="G136" s="41"/>
      <c r="H136" s="60"/>
      <c r="I136" s="57" t="s">
        <v>222</v>
      </c>
      <c r="J136" s="196"/>
      <c r="K136" s="195"/>
      <c r="L136" s="195"/>
      <c r="M136" s="195">
        <v>40000</v>
      </c>
      <c r="N136" s="195" t="s">
        <v>203</v>
      </c>
      <c r="O136" s="196" t="s">
        <v>207</v>
      </c>
      <c r="P136" s="233">
        <v>4</v>
      </c>
      <c r="Q136" s="234">
        <v>1</v>
      </c>
      <c r="R136" s="195" t="s">
        <v>220</v>
      </c>
      <c r="S136" s="270">
        <v>0</v>
      </c>
      <c r="T136" s="195"/>
      <c r="U136" s="195" t="s">
        <v>206</v>
      </c>
      <c r="V136" s="195"/>
      <c r="W136" s="58"/>
      <c r="X136" s="58">
        <f>ROUNDUP(M136*P136*Q136*S136,-3)</f>
        <v>0</v>
      </c>
      <c r="Y136" s="47" t="s">
        <v>25</v>
      </c>
    </row>
    <row r="137" spans="1:25" ht="21" hidden="1" customHeight="1">
      <c r="A137" s="37"/>
      <c r="B137" s="38"/>
      <c r="C137" s="38"/>
      <c r="D137" s="49"/>
      <c r="E137" s="51"/>
      <c r="F137" s="51"/>
      <c r="G137" s="52"/>
      <c r="H137" s="75"/>
      <c r="I137" s="61"/>
      <c r="J137" s="62"/>
      <c r="K137" s="217"/>
      <c r="L137" s="217"/>
      <c r="M137" s="197"/>
      <c r="N137" s="197"/>
      <c r="O137" s="218"/>
      <c r="P137" s="197"/>
      <c r="Q137" s="116"/>
      <c r="R137" s="219"/>
      <c r="S137" s="72"/>
      <c r="T137" s="168"/>
      <c r="U137" s="168"/>
      <c r="V137" s="220"/>
      <c r="W137" s="198"/>
      <c r="X137" s="62"/>
      <c r="Y137" s="63"/>
    </row>
    <row r="138" spans="1:25" ht="21" hidden="1" customHeight="1" thickBot="1">
      <c r="A138" s="37"/>
      <c r="B138" s="38"/>
      <c r="C138" s="38"/>
      <c r="D138" s="28" t="s">
        <v>223</v>
      </c>
      <c r="E138" s="29">
        <v>0</v>
      </c>
      <c r="F138" s="212">
        <f>ROUND(X138/1000,0)</f>
        <v>0</v>
      </c>
      <c r="G138" s="30">
        <f t="shared" ref="G138" si="31">F138-E138</f>
        <v>0</v>
      </c>
      <c r="H138" s="109">
        <f t="shared" ref="H138" si="32">IF(E138=0,0,G138/E138)</f>
        <v>0</v>
      </c>
      <c r="I138" s="224" t="s">
        <v>314</v>
      </c>
      <c r="J138" s="223"/>
      <c r="K138" s="231"/>
      <c r="L138" s="231"/>
      <c r="M138" s="79"/>
      <c r="N138" s="79"/>
      <c r="O138" s="213"/>
      <c r="P138" s="79"/>
      <c r="Q138" s="214"/>
      <c r="R138" s="221"/>
      <c r="S138" s="222"/>
      <c r="T138" s="334"/>
      <c r="U138" s="334"/>
      <c r="V138" s="225" t="s">
        <v>192</v>
      </c>
      <c r="W138" s="226"/>
      <c r="X138" s="226">
        <f>X139</f>
        <v>0</v>
      </c>
      <c r="Y138" s="259" t="s">
        <v>56</v>
      </c>
    </row>
    <row r="139" spans="1:25" ht="21" hidden="1" customHeight="1">
      <c r="A139" s="37"/>
      <c r="B139" s="38"/>
      <c r="C139" s="38"/>
      <c r="D139" s="38" t="s">
        <v>315</v>
      </c>
      <c r="E139" s="40"/>
      <c r="F139" s="40"/>
      <c r="G139" s="41"/>
      <c r="H139" s="60"/>
      <c r="I139" s="279" t="s">
        <v>284</v>
      </c>
      <c r="J139" s="288"/>
      <c r="K139" s="287"/>
      <c r="L139" s="287"/>
      <c r="M139" s="236">
        <v>2000000</v>
      </c>
      <c r="N139" s="59" t="s">
        <v>56</v>
      </c>
      <c r="O139" s="59" t="s">
        <v>57</v>
      </c>
      <c r="P139" s="270">
        <v>0</v>
      </c>
      <c r="Q139" s="234"/>
      <c r="R139" s="59"/>
      <c r="S139" s="235"/>
      <c r="T139" s="59"/>
      <c r="U139" s="59" t="s">
        <v>53</v>
      </c>
      <c r="V139" s="287"/>
      <c r="W139" s="58"/>
      <c r="X139" s="287">
        <f>M139*P139</f>
        <v>0</v>
      </c>
      <c r="Y139" s="47" t="s">
        <v>56</v>
      </c>
    </row>
    <row r="140" spans="1:25" ht="21" hidden="1" customHeight="1">
      <c r="A140" s="37"/>
      <c r="B140" s="38"/>
      <c r="C140" s="38"/>
      <c r="D140" s="49"/>
      <c r="E140" s="51"/>
      <c r="F140" s="51"/>
      <c r="G140" s="52"/>
      <c r="H140" s="75"/>
      <c r="I140" s="338"/>
      <c r="J140" s="62"/>
      <c r="K140" s="217"/>
      <c r="L140" s="217"/>
      <c r="M140" s="337"/>
      <c r="N140" s="337"/>
      <c r="O140" s="218"/>
      <c r="P140" s="337"/>
      <c r="Q140" s="116"/>
      <c r="R140" s="219"/>
      <c r="S140" s="337"/>
      <c r="T140" s="168"/>
      <c r="U140" s="168"/>
      <c r="V140" s="220"/>
      <c r="W140" s="338"/>
      <c r="X140" s="62"/>
      <c r="Y140" s="63"/>
    </row>
    <row r="141" spans="1:25" ht="21" customHeight="1">
      <c r="A141" s="37"/>
      <c r="B141" s="38"/>
      <c r="C141" s="38"/>
      <c r="D141" s="38" t="s">
        <v>319</v>
      </c>
      <c r="E141" s="40">
        <v>300</v>
      </c>
      <c r="F141" s="212">
        <f>ROUND(X141/1000,0)</f>
        <v>300</v>
      </c>
      <c r="G141" s="41">
        <f t="shared" ref="G141" si="33">F141-E141</f>
        <v>0</v>
      </c>
      <c r="H141" s="60">
        <f t="shared" ref="H141" si="34">IF(E141=0,0,G141/E141)</f>
        <v>0</v>
      </c>
      <c r="I141" s="61" t="s">
        <v>318</v>
      </c>
      <c r="J141" s="58"/>
      <c r="K141" s="179"/>
      <c r="L141" s="179"/>
      <c r="M141" s="195"/>
      <c r="N141" s="195"/>
      <c r="O141" s="176"/>
      <c r="P141" s="195"/>
      <c r="Q141" s="44"/>
      <c r="R141" s="178"/>
      <c r="S141" s="46"/>
      <c r="T141" s="228"/>
      <c r="U141" s="228"/>
      <c r="V141" s="197" t="s">
        <v>226</v>
      </c>
      <c r="W141" s="62"/>
      <c r="X141" s="197">
        <f>SUM(X142:X142)</f>
        <v>300000</v>
      </c>
      <c r="Y141" s="63" t="s">
        <v>25</v>
      </c>
    </row>
    <row r="142" spans="1:25" ht="21" customHeight="1">
      <c r="A142" s="37"/>
      <c r="B142" s="38"/>
      <c r="C142" s="38"/>
      <c r="D142" s="38" t="s">
        <v>225</v>
      </c>
      <c r="E142" s="40"/>
      <c r="F142" s="40"/>
      <c r="G142" s="41"/>
      <c r="H142" s="60"/>
      <c r="I142" s="279" t="s">
        <v>285</v>
      </c>
      <c r="J142" s="288"/>
      <c r="K142" s="287"/>
      <c r="L142" s="287"/>
      <c r="M142" s="236">
        <v>300000</v>
      </c>
      <c r="N142" s="59" t="s">
        <v>56</v>
      </c>
      <c r="O142" s="59" t="s">
        <v>57</v>
      </c>
      <c r="P142" s="237">
        <v>1</v>
      </c>
      <c r="Q142" s="234"/>
      <c r="R142" s="59"/>
      <c r="S142" s="235"/>
      <c r="T142" s="59"/>
      <c r="U142" s="59" t="s">
        <v>208</v>
      </c>
      <c r="V142" s="287"/>
      <c r="W142" s="58"/>
      <c r="X142" s="287">
        <f>ROUND(M142*P142,-3)</f>
        <v>300000</v>
      </c>
      <c r="Y142" s="47" t="s">
        <v>56</v>
      </c>
    </row>
    <row r="143" spans="1:25" ht="21" customHeight="1">
      <c r="A143" s="37"/>
      <c r="B143" s="38"/>
      <c r="C143" s="38"/>
      <c r="D143" s="38"/>
      <c r="E143" s="40"/>
      <c r="F143" s="40"/>
      <c r="G143" s="41"/>
      <c r="H143" s="60"/>
      <c r="I143" s="57"/>
      <c r="J143" s="196"/>
      <c r="K143" s="195"/>
      <c r="L143" s="195"/>
      <c r="M143" s="195"/>
      <c r="N143" s="44"/>
      <c r="O143" s="64"/>
      <c r="P143" s="68"/>
      <c r="Q143" s="64"/>
      <c r="R143" s="64"/>
      <c r="S143" s="67"/>
      <c r="T143" s="65"/>
      <c r="U143" s="228"/>
      <c r="V143" s="195"/>
      <c r="W143" s="58"/>
      <c r="X143" s="58"/>
      <c r="Y143" s="47"/>
    </row>
    <row r="144" spans="1:25" ht="21" customHeight="1">
      <c r="A144" s="37"/>
      <c r="B144" s="38"/>
      <c r="C144" s="28" t="s">
        <v>145</v>
      </c>
      <c r="D144" s="255" t="s">
        <v>109</v>
      </c>
      <c r="E144" s="188">
        <f>E145</f>
        <v>0</v>
      </c>
      <c r="F144" s="188">
        <f>F145</f>
        <v>0</v>
      </c>
      <c r="G144" s="189">
        <f t="shared" ref="G144:G145" si="35">F144-E144</f>
        <v>0</v>
      </c>
      <c r="H144" s="190">
        <f t="shared" ref="H144:H145" si="36">IF(E144=0,0,G144/E144)</f>
        <v>0</v>
      </c>
      <c r="I144" s="172" t="s">
        <v>144</v>
      </c>
      <c r="J144" s="173"/>
      <c r="K144" s="174"/>
      <c r="L144" s="174"/>
      <c r="M144" s="174"/>
      <c r="N144" s="174"/>
      <c r="O144" s="174"/>
      <c r="P144" s="175"/>
      <c r="Q144" s="175"/>
      <c r="R144" s="175"/>
      <c r="S144" s="175"/>
      <c r="T144" s="175"/>
      <c r="U144" s="175"/>
      <c r="V144" s="209" t="s">
        <v>69</v>
      </c>
      <c r="W144" s="210"/>
      <c r="X144" s="210">
        <f>SUM(X145:X145)</f>
        <v>0</v>
      </c>
      <c r="Y144" s="258" t="s">
        <v>56</v>
      </c>
    </row>
    <row r="145" spans="1:26" ht="21" customHeight="1">
      <c r="A145" s="37"/>
      <c r="B145" s="38"/>
      <c r="C145" s="38" t="s">
        <v>141</v>
      </c>
      <c r="D145" s="38" t="s">
        <v>146</v>
      </c>
      <c r="E145" s="40">
        <v>0</v>
      </c>
      <c r="F145" s="40">
        <f>ROUND(X145/1000,0)</f>
        <v>0</v>
      </c>
      <c r="G145" s="265">
        <f t="shared" si="35"/>
        <v>0</v>
      </c>
      <c r="H145" s="155">
        <f t="shared" si="36"/>
        <v>0</v>
      </c>
      <c r="I145" s="57"/>
      <c r="J145" s="196"/>
      <c r="K145" s="195"/>
      <c r="L145" s="195"/>
      <c r="M145" s="195"/>
      <c r="N145" s="228"/>
      <c r="O145" s="176"/>
      <c r="P145" s="195"/>
      <c r="Q145" s="44"/>
      <c r="R145" s="177"/>
      <c r="S145" s="180"/>
      <c r="T145" s="180"/>
      <c r="U145" s="228"/>
      <c r="V145" s="110"/>
      <c r="W145" s="58"/>
      <c r="X145" s="58">
        <v>0</v>
      </c>
      <c r="Y145" s="47" t="s">
        <v>142</v>
      </c>
    </row>
    <row r="146" spans="1:26" s="11" customFormat="1" ht="19.5" customHeight="1">
      <c r="A146" s="261"/>
      <c r="B146" s="74"/>
      <c r="C146" s="74"/>
      <c r="D146" s="49"/>
      <c r="E146" s="51"/>
      <c r="F146" s="51"/>
      <c r="G146" s="52"/>
      <c r="H146" s="75"/>
      <c r="I146" s="61"/>
      <c r="J146" s="197"/>
      <c r="K146" s="76"/>
      <c r="L146" s="76"/>
      <c r="M146" s="77"/>
      <c r="N146" s="197"/>
      <c r="O146" s="76"/>
      <c r="P146" s="197"/>
      <c r="Q146" s="197"/>
      <c r="R146" s="197"/>
      <c r="S146" s="197"/>
      <c r="T146" s="197"/>
      <c r="U146" s="197"/>
      <c r="V146" s="197"/>
      <c r="W146" s="197"/>
      <c r="X146" s="197"/>
      <c r="Y146" s="63"/>
      <c r="Z146" s="6"/>
    </row>
    <row r="147" spans="1:26" ht="21" customHeight="1">
      <c r="A147" s="27" t="s">
        <v>72</v>
      </c>
      <c r="B147" s="28" t="s">
        <v>30</v>
      </c>
      <c r="C147" s="578" t="s">
        <v>255</v>
      </c>
      <c r="D147" s="579"/>
      <c r="E147" s="238">
        <f>SUM(E148,E155)</f>
        <v>510</v>
      </c>
      <c r="F147" s="238">
        <f>SUM(F148,F155)</f>
        <v>550</v>
      </c>
      <c r="G147" s="239">
        <f t="shared" ref="G147" si="37">F147-E147</f>
        <v>40</v>
      </c>
      <c r="H147" s="240">
        <f t="shared" ref="H147" si="38">IF(E147=0,0,G147/E147)</f>
        <v>7.8431372549019607E-2</v>
      </c>
      <c r="I147" s="241" t="s">
        <v>256</v>
      </c>
      <c r="J147" s="242"/>
      <c r="K147" s="243"/>
      <c r="L147" s="243"/>
      <c r="M147" s="242"/>
      <c r="N147" s="242"/>
      <c r="O147" s="242"/>
      <c r="P147" s="242"/>
      <c r="Q147" s="242" t="s">
        <v>65</v>
      </c>
      <c r="R147" s="244"/>
      <c r="S147" s="244"/>
      <c r="T147" s="244"/>
      <c r="U147" s="244"/>
      <c r="V147" s="244"/>
      <c r="W147" s="244"/>
      <c r="X147" s="245">
        <f>X148+X155</f>
        <v>550000</v>
      </c>
      <c r="Y147" s="257" t="s">
        <v>25</v>
      </c>
    </row>
    <row r="148" spans="1:26" ht="21" customHeight="1">
      <c r="A148" s="37" t="s">
        <v>130</v>
      </c>
      <c r="B148" s="38" t="s">
        <v>130</v>
      </c>
      <c r="C148" s="28" t="s">
        <v>147</v>
      </c>
      <c r="D148" s="255" t="s">
        <v>261</v>
      </c>
      <c r="E148" s="188">
        <f>E149+E153</f>
        <v>0</v>
      </c>
      <c r="F148" s="188">
        <f>F149+F153</f>
        <v>0</v>
      </c>
      <c r="G148" s="189">
        <f t="shared" ref="G148:G149" si="39">F148-E148</f>
        <v>0</v>
      </c>
      <c r="H148" s="190">
        <f t="shared" ref="H148:H149" si="40">IF(E148=0,0,G148/E148)</f>
        <v>0</v>
      </c>
      <c r="I148" s="172" t="s">
        <v>262</v>
      </c>
      <c r="J148" s="173"/>
      <c r="K148" s="174"/>
      <c r="L148" s="174"/>
      <c r="M148" s="174"/>
      <c r="N148" s="174"/>
      <c r="O148" s="174"/>
      <c r="P148" s="175"/>
      <c r="Q148" s="175"/>
      <c r="R148" s="175"/>
      <c r="S148" s="175"/>
      <c r="T148" s="175"/>
      <c r="U148" s="175"/>
      <c r="V148" s="209" t="s">
        <v>250</v>
      </c>
      <c r="W148" s="210"/>
      <c r="X148" s="211">
        <f>SUM(X149,X153)</f>
        <v>0</v>
      </c>
      <c r="Y148" s="258" t="s">
        <v>245</v>
      </c>
    </row>
    <row r="149" spans="1:26" ht="21.75" customHeight="1">
      <c r="A149" s="37"/>
      <c r="B149" s="38"/>
      <c r="C149" s="38" t="s">
        <v>148</v>
      </c>
      <c r="D149" s="28" t="s">
        <v>149</v>
      </c>
      <c r="E149" s="29">
        <v>0</v>
      </c>
      <c r="F149" s="40">
        <f>ROUND(X149/1000,0)</f>
        <v>0</v>
      </c>
      <c r="G149" s="265">
        <f t="shared" si="39"/>
        <v>0</v>
      </c>
      <c r="H149" s="155">
        <f t="shared" si="40"/>
        <v>0</v>
      </c>
      <c r="I149" s="126" t="s">
        <v>150</v>
      </c>
      <c r="J149" s="138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80" t="s">
        <v>69</v>
      </c>
      <c r="W149" s="580"/>
      <c r="X149" s="128">
        <f>SUM(X150:X151)</f>
        <v>0</v>
      </c>
      <c r="Y149" s="129" t="s">
        <v>63</v>
      </c>
    </row>
    <row r="150" spans="1:26" ht="21.75" customHeight="1">
      <c r="A150" s="37"/>
      <c r="B150" s="38"/>
      <c r="C150" s="38"/>
      <c r="D150" s="38"/>
      <c r="E150" s="40"/>
      <c r="F150" s="40"/>
      <c r="G150" s="263"/>
      <c r="H150" s="264"/>
      <c r="I150" s="57" t="s">
        <v>514</v>
      </c>
      <c r="J150" s="288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488" t="s">
        <v>53</v>
      </c>
      <c r="V150" s="488"/>
      <c r="W150" s="488"/>
      <c r="X150" s="58">
        <v>0</v>
      </c>
      <c r="Y150" s="47" t="s">
        <v>56</v>
      </c>
    </row>
    <row r="151" spans="1:26" ht="18" customHeight="1">
      <c r="A151" s="37"/>
      <c r="B151" s="38"/>
      <c r="C151" s="38"/>
      <c r="D151" s="38"/>
      <c r="E151" s="40"/>
      <c r="F151" s="40"/>
      <c r="G151" s="41"/>
      <c r="H151" s="25"/>
      <c r="I151" s="57" t="s">
        <v>99</v>
      </c>
      <c r="J151" s="196"/>
      <c r="K151" s="195"/>
      <c r="L151" s="195"/>
      <c r="M151" s="195">
        <v>0</v>
      </c>
      <c r="N151" s="228" t="s">
        <v>66</v>
      </c>
      <c r="O151" s="64" t="s">
        <v>67</v>
      </c>
      <c r="P151" s="59">
        <v>12</v>
      </c>
      <c r="Q151" s="64" t="s">
        <v>113</v>
      </c>
      <c r="R151" s="71"/>
      <c r="S151" s="65"/>
      <c r="T151" s="65"/>
      <c r="U151" s="228" t="s">
        <v>68</v>
      </c>
      <c r="V151" s="195"/>
      <c r="W151" s="58"/>
      <c r="X151" s="120">
        <f>M151*P151</f>
        <v>0</v>
      </c>
      <c r="Y151" s="47" t="s">
        <v>63</v>
      </c>
    </row>
    <row r="152" spans="1:26" ht="18" customHeight="1">
      <c r="A152" s="37"/>
      <c r="B152" s="38"/>
      <c r="C152" s="38"/>
      <c r="D152" s="49"/>
      <c r="E152" s="51"/>
      <c r="F152" s="51"/>
      <c r="G152" s="52"/>
      <c r="H152" s="171"/>
      <c r="I152" s="61"/>
      <c r="J152" s="198"/>
      <c r="K152" s="197"/>
      <c r="L152" s="197"/>
      <c r="M152" s="197"/>
      <c r="N152" s="168"/>
      <c r="O152" s="181"/>
      <c r="P152" s="182"/>
      <c r="Q152" s="181"/>
      <c r="R152" s="183"/>
      <c r="S152" s="184"/>
      <c r="T152" s="184"/>
      <c r="U152" s="168"/>
      <c r="V152" s="197"/>
      <c r="W152" s="62"/>
      <c r="X152" s="62"/>
      <c r="Y152" s="63"/>
    </row>
    <row r="153" spans="1:26" ht="18" customHeight="1">
      <c r="A153" s="37"/>
      <c r="B153" s="38"/>
      <c r="C153" s="38"/>
      <c r="D153" s="28" t="s">
        <v>251</v>
      </c>
      <c r="E153" s="29">
        <v>0</v>
      </c>
      <c r="F153" s="40">
        <f>ROUND(X153/1000,0)</f>
        <v>0</v>
      </c>
      <c r="G153" s="30">
        <f t="shared" ref="G153" si="41">F153-E153</f>
        <v>0</v>
      </c>
      <c r="H153" s="31">
        <f t="shared" ref="H153" si="42">IF(E153=0,0,G153/E153)</f>
        <v>0</v>
      </c>
      <c r="I153" s="126" t="s">
        <v>150</v>
      </c>
      <c r="J153" s="138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580" t="s">
        <v>69</v>
      </c>
      <c r="W153" s="580"/>
      <c r="X153" s="128">
        <f>X154</f>
        <v>0</v>
      </c>
      <c r="Y153" s="129" t="s">
        <v>56</v>
      </c>
    </row>
    <row r="154" spans="1:26" ht="18" customHeight="1">
      <c r="A154" s="37"/>
      <c r="B154" s="38"/>
      <c r="C154" s="49"/>
      <c r="D154" s="49"/>
      <c r="E154" s="51"/>
      <c r="F154" s="51"/>
      <c r="G154" s="52"/>
      <c r="H154" s="171"/>
      <c r="I154" s="57" t="s">
        <v>252</v>
      </c>
      <c r="J154" s="196"/>
      <c r="K154" s="195"/>
      <c r="L154" s="195"/>
      <c r="M154" s="195">
        <v>0</v>
      </c>
      <c r="N154" s="228" t="s">
        <v>56</v>
      </c>
      <c r="O154" s="64" t="s">
        <v>57</v>
      </c>
      <c r="P154" s="59">
        <v>12</v>
      </c>
      <c r="Q154" s="64" t="s">
        <v>0</v>
      </c>
      <c r="R154" s="71"/>
      <c r="S154" s="65"/>
      <c r="T154" s="65"/>
      <c r="U154" s="228" t="s">
        <v>53</v>
      </c>
      <c r="V154" s="195"/>
      <c r="W154" s="58"/>
      <c r="X154" s="58">
        <f>M154*P154</f>
        <v>0</v>
      </c>
      <c r="Y154" s="47" t="s">
        <v>56</v>
      </c>
    </row>
    <row r="155" spans="1:26" ht="25.5" customHeight="1">
      <c r="A155" s="37"/>
      <c r="B155" s="38"/>
      <c r="C155" s="38" t="s">
        <v>151</v>
      </c>
      <c r="D155" s="255" t="s">
        <v>109</v>
      </c>
      <c r="E155" s="188">
        <f>E156</f>
        <v>510</v>
      </c>
      <c r="F155" s="188">
        <f>F156</f>
        <v>550</v>
      </c>
      <c r="G155" s="189">
        <f t="shared" ref="G155:G156" si="43">F155-E155</f>
        <v>40</v>
      </c>
      <c r="H155" s="190">
        <f t="shared" ref="H155:H156" si="44">IF(E155=0,0,G155/E155)</f>
        <v>7.8431372549019607E-2</v>
      </c>
      <c r="I155" s="172" t="s">
        <v>153</v>
      </c>
      <c r="J155" s="173"/>
      <c r="K155" s="174"/>
      <c r="L155" s="174"/>
      <c r="M155" s="174"/>
      <c r="N155" s="174"/>
      <c r="O155" s="174"/>
      <c r="P155" s="175"/>
      <c r="Q155" s="175"/>
      <c r="R155" s="175"/>
      <c r="S155" s="175"/>
      <c r="T155" s="175"/>
      <c r="U155" s="175"/>
      <c r="V155" s="209" t="s">
        <v>69</v>
      </c>
      <c r="W155" s="210"/>
      <c r="X155" s="210">
        <f>X156</f>
        <v>550000</v>
      </c>
      <c r="Y155" s="258" t="s">
        <v>56</v>
      </c>
    </row>
    <row r="156" spans="1:26" ht="21" customHeight="1">
      <c r="A156" s="37"/>
      <c r="B156" s="38"/>
      <c r="C156" s="38" t="s">
        <v>148</v>
      </c>
      <c r="D156" s="38" t="s">
        <v>152</v>
      </c>
      <c r="E156" s="40">
        <v>510</v>
      </c>
      <c r="F156" s="40">
        <f>ROUND(X156/1000,0)</f>
        <v>550</v>
      </c>
      <c r="G156" s="265">
        <f t="shared" si="43"/>
        <v>40</v>
      </c>
      <c r="H156" s="155">
        <f t="shared" si="44"/>
        <v>7.8431372549019607E-2</v>
      </c>
      <c r="I156" s="126" t="s">
        <v>308</v>
      </c>
      <c r="J156" s="138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580" t="s">
        <v>69</v>
      </c>
      <c r="W156" s="580"/>
      <c r="X156" s="128">
        <f>SUM(X157)</f>
        <v>550000</v>
      </c>
      <c r="Y156" s="129" t="s">
        <v>63</v>
      </c>
    </row>
    <row r="157" spans="1:26" ht="21" customHeight="1">
      <c r="A157" s="37"/>
      <c r="B157" s="38"/>
      <c r="C157" s="38"/>
      <c r="D157" s="38"/>
      <c r="E157" s="40"/>
      <c r="F157" s="40"/>
      <c r="G157" s="263"/>
      <c r="H157" s="264"/>
      <c r="I157" s="57" t="s">
        <v>73</v>
      </c>
      <c r="J157" s="288"/>
      <c r="K157" s="287"/>
      <c r="L157" s="287"/>
      <c r="M157" s="287"/>
      <c r="N157" s="400"/>
      <c r="O157" s="64"/>
      <c r="P157" s="59"/>
      <c r="Q157" s="64"/>
      <c r="R157" s="71"/>
      <c r="S157" s="65"/>
      <c r="T157" s="65"/>
      <c r="U157" s="400" t="s">
        <v>53</v>
      </c>
      <c r="V157" s="287"/>
      <c r="W157" s="58"/>
      <c r="X157" s="58">
        <v>550000</v>
      </c>
      <c r="Y157" s="47" t="s">
        <v>63</v>
      </c>
    </row>
    <row r="158" spans="1:26" ht="21" customHeight="1">
      <c r="A158" s="37"/>
      <c r="B158" s="38"/>
      <c r="C158" s="38"/>
      <c r="D158" s="38"/>
      <c r="E158" s="40"/>
      <c r="F158" s="40"/>
      <c r="G158" s="263"/>
      <c r="H158" s="264"/>
      <c r="I158" s="483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5"/>
    </row>
    <row r="159" spans="1:26" ht="21" customHeight="1">
      <c r="A159" s="48"/>
      <c r="B159" s="49"/>
      <c r="C159" s="49"/>
      <c r="D159" s="49"/>
      <c r="E159" s="51"/>
      <c r="F159" s="51"/>
      <c r="G159" s="52"/>
      <c r="H159" s="171"/>
      <c r="I159" s="57"/>
      <c r="J159" s="288"/>
      <c r="K159" s="287"/>
      <c r="L159" s="287"/>
      <c r="M159" s="287"/>
      <c r="N159" s="287"/>
      <c r="O159" s="287"/>
      <c r="P159" s="287"/>
      <c r="Q159" s="44"/>
      <c r="R159" s="44"/>
      <c r="S159" s="44"/>
      <c r="T159" s="287"/>
      <c r="U159" s="287"/>
      <c r="V159" s="287"/>
      <c r="W159" s="58"/>
      <c r="X159" s="62"/>
      <c r="Y159" s="47"/>
    </row>
    <row r="160" spans="1:26" ht="21" customHeight="1">
      <c r="A160" s="27" t="s">
        <v>154</v>
      </c>
      <c r="B160" s="28" t="s">
        <v>154</v>
      </c>
      <c r="C160" s="578" t="s">
        <v>255</v>
      </c>
      <c r="D160" s="579"/>
      <c r="E160" s="238">
        <f>E161+E164</f>
        <v>0</v>
      </c>
      <c r="F160" s="238">
        <f>F161+F164</f>
        <v>0</v>
      </c>
      <c r="G160" s="239">
        <f t="shared" ref="G160:G162" si="45">F160-E160</f>
        <v>0</v>
      </c>
      <c r="H160" s="240">
        <f t="shared" ref="H160:H162" si="46">IF(E160=0,0,G160/E160)</f>
        <v>0</v>
      </c>
      <c r="I160" s="241" t="s">
        <v>257</v>
      </c>
      <c r="J160" s="242"/>
      <c r="K160" s="243"/>
      <c r="L160" s="243"/>
      <c r="M160" s="242"/>
      <c r="N160" s="242"/>
      <c r="O160" s="242"/>
      <c r="P160" s="242"/>
      <c r="Q160" s="242" t="s">
        <v>64</v>
      </c>
      <c r="R160" s="244"/>
      <c r="S160" s="244"/>
      <c r="T160" s="244"/>
      <c r="U160" s="244"/>
      <c r="V160" s="244"/>
      <c r="W160" s="244"/>
      <c r="X160" s="245">
        <f>X161+X164</f>
        <v>0</v>
      </c>
      <c r="Y160" s="257" t="s">
        <v>25</v>
      </c>
    </row>
    <row r="161" spans="1:27" ht="21" customHeight="1">
      <c r="A161" s="37"/>
      <c r="B161" s="38"/>
      <c r="C161" s="28" t="s">
        <v>155</v>
      </c>
      <c r="D161" s="255" t="s">
        <v>109</v>
      </c>
      <c r="E161" s="188">
        <f>E162</f>
        <v>0</v>
      </c>
      <c r="F161" s="188">
        <f>F162</f>
        <v>0</v>
      </c>
      <c r="G161" s="189">
        <f t="shared" si="45"/>
        <v>0</v>
      </c>
      <c r="H161" s="190">
        <f t="shared" si="46"/>
        <v>0</v>
      </c>
      <c r="I161" s="172" t="s">
        <v>158</v>
      </c>
      <c r="J161" s="173"/>
      <c r="K161" s="174"/>
      <c r="L161" s="174"/>
      <c r="M161" s="174"/>
      <c r="N161" s="174"/>
      <c r="O161" s="174"/>
      <c r="P161" s="175"/>
      <c r="Q161" s="175"/>
      <c r="R161" s="175"/>
      <c r="S161" s="175"/>
      <c r="T161" s="175"/>
      <c r="U161" s="175"/>
      <c r="V161" s="209" t="s">
        <v>69</v>
      </c>
      <c r="W161" s="210"/>
      <c r="X161" s="211">
        <f>X162</f>
        <v>0</v>
      </c>
      <c r="Y161" s="258" t="s">
        <v>56</v>
      </c>
    </row>
    <row r="162" spans="1:27" ht="21" customHeight="1">
      <c r="A162" s="37"/>
      <c r="B162" s="38"/>
      <c r="C162" s="38" t="s">
        <v>156</v>
      </c>
      <c r="D162" s="28" t="s">
        <v>160</v>
      </c>
      <c r="E162" s="29">
        <v>0</v>
      </c>
      <c r="F162" s="40">
        <f>ROUND(X162/1000,0)</f>
        <v>0</v>
      </c>
      <c r="G162" s="30">
        <f t="shared" si="45"/>
        <v>0</v>
      </c>
      <c r="H162" s="31">
        <f t="shared" si="46"/>
        <v>0</v>
      </c>
      <c r="I162" s="126" t="s">
        <v>158</v>
      </c>
      <c r="J162" s="138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580" t="s">
        <v>69</v>
      </c>
      <c r="W162" s="580"/>
      <c r="X162" s="128">
        <f>X163</f>
        <v>0</v>
      </c>
      <c r="Y162" s="129" t="s">
        <v>56</v>
      </c>
    </row>
    <row r="163" spans="1:27" ht="21" customHeight="1">
      <c r="A163" s="37"/>
      <c r="B163" s="38"/>
      <c r="C163" s="38" t="s">
        <v>154</v>
      </c>
      <c r="D163" s="38" t="s">
        <v>154</v>
      </c>
      <c r="E163" s="40"/>
      <c r="F163" s="40"/>
      <c r="G163" s="41"/>
      <c r="H163" s="25"/>
      <c r="I163" s="57" t="s">
        <v>159</v>
      </c>
      <c r="J163" s="196"/>
      <c r="K163" s="195"/>
      <c r="L163" s="195"/>
      <c r="M163" s="195"/>
      <c r="N163" s="228"/>
      <c r="O163" s="64"/>
      <c r="P163" s="59"/>
      <c r="Q163" s="64"/>
      <c r="R163" s="71"/>
      <c r="S163" s="65"/>
      <c r="T163" s="65"/>
      <c r="U163" s="228"/>
      <c r="V163" s="195"/>
      <c r="W163" s="58"/>
      <c r="X163" s="58">
        <v>0</v>
      </c>
      <c r="Y163" s="47" t="s">
        <v>56</v>
      </c>
    </row>
    <row r="164" spans="1:27" ht="21" customHeight="1">
      <c r="A164" s="37"/>
      <c r="B164" s="38"/>
      <c r="C164" s="28" t="s">
        <v>145</v>
      </c>
      <c r="D164" s="255" t="s">
        <v>109</v>
      </c>
      <c r="E164" s="188">
        <f>E165</f>
        <v>0</v>
      </c>
      <c r="F164" s="188">
        <f>F165</f>
        <v>0</v>
      </c>
      <c r="G164" s="189">
        <f t="shared" ref="G164:G165" si="47">F164-E164</f>
        <v>0</v>
      </c>
      <c r="H164" s="190">
        <f t="shared" ref="H164:H165" si="48">IF(E164=0,0,G164/E164)</f>
        <v>0</v>
      </c>
      <c r="I164" s="172" t="s">
        <v>161</v>
      </c>
      <c r="J164" s="173"/>
      <c r="K164" s="174"/>
      <c r="L164" s="174"/>
      <c r="M164" s="174"/>
      <c r="N164" s="174"/>
      <c r="O164" s="174"/>
      <c r="P164" s="175"/>
      <c r="Q164" s="175"/>
      <c r="R164" s="175"/>
      <c r="S164" s="175"/>
      <c r="T164" s="175"/>
      <c r="U164" s="175"/>
      <c r="V164" s="209" t="s">
        <v>69</v>
      </c>
      <c r="W164" s="210"/>
      <c r="X164" s="210">
        <f>X165</f>
        <v>0</v>
      </c>
      <c r="Y164" s="258" t="s">
        <v>56</v>
      </c>
    </row>
    <row r="165" spans="1:27" ht="21" customHeight="1">
      <c r="A165" s="37"/>
      <c r="B165" s="38"/>
      <c r="C165" s="38" t="s">
        <v>154</v>
      </c>
      <c r="D165" s="38" t="s">
        <v>157</v>
      </c>
      <c r="E165" s="40">
        <v>0</v>
      </c>
      <c r="F165" s="40">
        <f>ROUND(X165/1000,0)</f>
        <v>0</v>
      </c>
      <c r="G165" s="30">
        <f t="shared" si="47"/>
        <v>0</v>
      </c>
      <c r="H165" s="31">
        <f t="shared" si="48"/>
        <v>0</v>
      </c>
      <c r="I165" s="57" t="s">
        <v>162</v>
      </c>
      <c r="J165" s="196"/>
      <c r="K165" s="195"/>
      <c r="L165" s="195"/>
      <c r="M165" s="195"/>
      <c r="N165" s="228"/>
      <c r="O165" s="64"/>
      <c r="P165" s="59"/>
      <c r="Q165" s="64"/>
      <c r="R165" s="71"/>
      <c r="S165" s="65"/>
      <c r="T165" s="65"/>
      <c r="U165" s="228"/>
      <c r="V165" s="195"/>
      <c r="W165" s="58"/>
      <c r="X165" s="58">
        <v>0</v>
      </c>
      <c r="Y165" s="47" t="s">
        <v>56</v>
      </c>
    </row>
    <row r="166" spans="1:27" ht="21" customHeight="1">
      <c r="A166" s="48"/>
      <c r="B166" s="49"/>
      <c r="C166" s="49"/>
      <c r="D166" s="49"/>
      <c r="E166" s="51"/>
      <c r="F166" s="51"/>
      <c r="G166" s="52"/>
      <c r="H166" s="171"/>
      <c r="I166" s="61"/>
      <c r="J166" s="198"/>
      <c r="K166" s="197"/>
      <c r="L166" s="197"/>
      <c r="M166" s="197"/>
      <c r="N166" s="168"/>
      <c r="O166" s="181"/>
      <c r="P166" s="182"/>
      <c r="Q166" s="181"/>
      <c r="R166" s="183"/>
      <c r="S166" s="184"/>
      <c r="T166" s="184"/>
      <c r="U166" s="168"/>
      <c r="V166" s="197"/>
      <c r="W166" s="62"/>
      <c r="X166" s="62"/>
      <c r="Y166" s="63"/>
    </row>
    <row r="167" spans="1:27" ht="21" customHeight="1">
      <c r="A167" s="27" t="s">
        <v>74</v>
      </c>
      <c r="B167" s="28" t="s">
        <v>13</v>
      </c>
      <c r="C167" s="578" t="s">
        <v>255</v>
      </c>
      <c r="D167" s="579"/>
      <c r="E167" s="238">
        <f>SUM(E168,E172)</f>
        <v>0</v>
      </c>
      <c r="F167" s="238">
        <f>SUM(F168,F172)</f>
        <v>0</v>
      </c>
      <c r="G167" s="239">
        <f t="shared" ref="G167:G169" si="49">F167-E167</f>
        <v>0</v>
      </c>
      <c r="H167" s="240">
        <f t="shared" ref="H167:H169" si="50">IF(E167=0,0,G167/E167)</f>
        <v>0</v>
      </c>
      <c r="I167" s="241" t="s">
        <v>258</v>
      </c>
      <c r="J167" s="242"/>
      <c r="K167" s="243"/>
      <c r="L167" s="243"/>
      <c r="M167" s="242"/>
      <c r="N167" s="242"/>
      <c r="O167" s="242"/>
      <c r="P167" s="242"/>
      <c r="Q167" s="242" t="s">
        <v>64</v>
      </c>
      <c r="R167" s="244"/>
      <c r="S167" s="244"/>
      <c r="T167" s="244"/>
      <c r="U167" s="244"/>
      <c r="V167" s="244"/>
      <c r="W167" s="244"/>
      <c r="X167" s="245">
        <f>X169+X172</f>
        <v>0</v>
      </c>
      <c r="Y167" s="257" t="s">
        <v>25</v>
      </c>
      <c r="Z167" s="17"/>
      <c r="AA167" s="18"/>
    </row>
    <row r="168" spans="1:27" ht="21" customHeight="1">
      <c r="A168" s="37"/>
      <c r="B168" s="38"/>
      <c r="C168" s="28" t="s">
        <v>163</v>
      </c>
      <c r="D168" s="255" t="s">
        <v>261</v>
      </c>
      <c r="E168" s="188">
        <f>E169</f>
        <v>0</v>
      </c>
      <c r="F168" s="188">
        <f>F169</f>
        <v>0</v>
      </c>
      <c r="G168" s="189">
        <f t="shared" si="49"/>
        <v>0</v>
      </c>
      <c r="H168" s="190">
        <f t="shared" si="50"/>
        <v>0</v>
      </c>
      <c r="I168" s="172" t="s">
        <v>263</v>
      </c>
      <c r="J168" s="173"/>
      <c r="K168" s="174"/>
      <c r="L168" s="174"/>
      <c r="M168" s="174"/>
      <c r="N168" s="174"/>
      <c r="O168" s="174"/>
      <c r="P168" s="175"/>
      <c r="Q168" s="175"/>
      <c r="R168" s="175"/>
      <c r="S168" s="175"/>
      <c r="T168" s="175"/>
      <c r="U168" s="175"/>
      <c r="V168" s="209" t="s">
        <v>250</v>
      </c>
      <c r="W168" s="210"/>
      <c r="X168" s="211">
        <f>SUM(X169:X169)</f>
        <v>0</v>
      </c>
      <c r="Y168" s="258" t="s">
        <v>245</v>
      </c>
      <c r="Z168" s="17"/>
      <c r="AA168" s="18"/>
    </row>
    <row r="169" spans="1:27" ht="21" customHeight="1">
      <c r="A169" s="37"/>
      <c r="B169" s="38"/>
      <c r="C169" s="38" t="s">
        <v>164</v>
      </c>
      <c r="D169" s="28" t="s">
        <v>165</v>
      </c>
      <c r="E169" s="29">
        <v>0</v>
      </c>
      <c r="F169" s="40">
        <f>ROUND(X169/1000,0)</f>
        <v>0</v>
      </c>
      <c r="G169" s="30">
        <f t="shared" si="49"/>
        <v>0</v>
      </c>
      <c r="H169" s="31">
        <f t="shared" si="50"/>
        <v>0</v>
      </c>
      <c r="I169" s="126" t="s">
        <v>169</v>
      </c>
      <c r="J169" s="138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580" t="s">
        <v>69</v>
      </c>
      <c r="W169" s="580"/>
      <c r="X169" s="128">
        <f>SUM(X171:X171)</f>
        <v>0</v>
      </c>
      <c r="Y169" s="129" t="s">
        <v>56</v>
      </c>
      <c r="Z169" s="17"/>
      <c r="AA169" s="18"/>
    </row>
    <row r="170" spans="1:27" ht="21" customHeight="1">
      <c r="A170" s="37"/>
      <c r="B170" s="38"/>
      <c r="C170" s="38"/>
      <c r="D170" s="38"/>
      <c r="E170" s="40"/>
      <c r="F170" s="40"/>
      <c r="G170" s="41"/>
      <c r="H170" s="25"/>
      <c r="I170" s="57" t="s">
        <v>230</v>
      </c>
      <c r="J170" s="196"/>
      <c r="K170" s="195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228"/>
      <c r="W170" s="228"/>
      <c r="X170" s="58"/>
      <c r="Y170" s="47" t="s">
        <v>231</v>
      </c>
      <c r="Z170" s="17"/>
      <c r="AA170" s="18"/>
    </row>
    <row r="171" spans="1:27" ht="21" customHeight="1">
      <c r="A171" s="37"/>
      <c r="B171" s="38"/>
      <c r="C171" s="38"/>
      <c r="D171" s="38"/>
      <c r="E171" s="40"/>
      <c r="F171" s="40"/>
      <c r="G171" s="41"/>
      <c r="H171" s="25"/>
      <c r="I171" s="57"/>
      <c r="J171" s="196"/>
      <c r="K171" s="195"/>
      <c r="L171" s="195"/>
      <c r="M171" s="195"/>
      <c r="N171" s="228"/>
      <c r="O171" s="64"/>
      <c r="P171" s="59"/>
      <c r="Q171" s="64"/>
      <c r="R171" s="71"/>
      <c r="S171" s="65"/>
      <c r="T171" s="65"/>
      <c r="U171" s="228"/>
      <c r="V171" s="195"/>
      <c r="W171" s="58"/>
      <c r="X171" s="58"/>
      <c r="Y171" s="47"/>
      <c r="Z171" s="17"/>
      <c r="AA171" s="18"/>
    </row>
    <row r="172" spans="1:27" ht="21" customHeight="1">
      <c r="A172" s="37"/>
      <c r="B172" s="38"/>
      <c r="C172" s="28" t="s">
        <v>166</v>
      </c>
      <c r="D172" s="255" t="s">
        <v>261</v>
      </c>
      <c r="E172" s="188">
        <f>E173</f>
        <v>0</v>
      </c>
      <c r="F172" s="188">
        <f>F173</f>
        <v>0</v>
      </c>
      <c r="G172" s="189">
        <f t="shared" ref="G172:G173" si="51">F172-E172</f>
        <v>0</v>
      </c>
      <c r="H172" s="190">
        <f t="shared" ref="H172:H173" si="52">IF(E172=0,0,G172/E172)</f>
        <v>0</v>
      </c>
      <c r="I172" s="172" t="s">
        <v>264</v>
      </c>
      <c r="J172" s="173"/>
      <c r="K172" s="174"/>
      <c r="L172" s="174"/>
      <c r="M172" s="174"/>
      <c r="N172" s="174"/>
      <c r="O172" s="174"/>
      <c r="P172" s="175"/>
      <c r="Q172" s="175"/>
      <c r="R172" s="175"/>
      <c r="S172" s="175"/>
      <c r="T172" s="175"/>
      <c r="U172" s="175"/>
      <c r="V172" s="209" t="s">
        <v>250</v>
      </c>
      <c r="W172" s="210"/>
      <c r="X172" s="210">
        <f>SUM(X173:X173)</f>
        <v>0</v>
      </c>
      <c r="Y172" s="258" t="s">
        <v>245</v>
      </c>
      <c r="Z172" s="17"/>
      <c r="AA172" s="18"/>
    </row>
    <row r="173" spans="1:27" ht="21" customHeight="1">
      <c r="A173" s="37"/>
      <c r="B173" s="38"/>
      <c r="C173" s="38" t="s">
        <v>164</v>
      </c>
      <c r="D173" s="38" t="s">
        <v>165</v>
      </c>
      <c r="E173" s="40">
        <v>0</v>
      </c>
      <c r="F173" s="40">
        <f>ROUND(X173/1000,0)</f>
        <v>0</v>
      </c>
      <c r="G173" s="30">
        <f t="shared" si="51"/>
        <v>0</v>
      </c>
      <c r="H173" s="31">
        <f t="shared" si="52"/>
        <v>0</v>
      </c>
      <c r="I173" s="126" t="s">
        <v>170</v>
      </c>
      <c r="J173" s="130"/>
      <c r="K173" s="195"/>
      <c r="L173" s="195"/>
      <c r="M173" s="195"/>
      <c r="N173" s="228"/>
      <c r="O173" s="64"/>
      <c r="P173" s="59"/>
      <c r="Q173" s="64"/>
      <c r="R173" s="71"/>
      <c r="S173" s="65"/>
      <c r="T173" s="65"/>
      <c r="U173" s="228"/>
      <c r="V173" s="580" t="s">
        <v>69</v>
      </c>
      <c r="W173" s="580"/>
      <c r="X173" s="128">
        <v>0</v>
      </c>
      <c r="Y173" s="129" t="s">
        <v>56</v>
      </c>
    </row>
    <row r="174" spans="1:27" ht="21" customHeight="1">
      <c r="A174" s="37"/>
      <c r="B174" s="38"/>
      <c r="C174" s="38" t="s">
        <v>228</v>
      </c>
      <c r="D174" s="38" t="s">
        <v>229</v>
      </c>
      <c r="E174" s="40"/>
      <c r="F174" s="40"/>
      <c r="G174" s="41"/>
      <c r="H174" s="25"/>
      <c r="I174" s="57"/>
      <c r="J174" s="288"/>
      <c r="K174" s="287"/>
      <c r="L174" s="287"/>
      <c r="M174" s="287"/>
      <c r="N174" s="287"/>
      <c r="O174" s="287"/>
      <c r="P174" s="287"/>
      <c r="Q174" s="44"/>
      <c r="R174" s="44"/>
      <c r="S174" s="44"/>
      <c r="T174" s="287"/>
      <c r="U174" s="287"/>
      <c r="V174" s="287"/>
      <c r="W174" s="58"/>
      <c r="X174" s="58"/>
      <c r="Y174" s="47"/>
    </row>
    <row r="175" spans="1:27" ht="21" customHeight="1">
      <c r="A175" s="48"/>
      <c r="B175" s="49"/>
      <c r="C175" s="49"/>
      <c r="D175" s="49"/>
      <c r="E175" s="51"/>
      <c r="F175" s="51"/>
      <c r="G175" s="52"/>
      <c r="H175" s="171"/>
      <c r="I175" s="61"/>
      <c r="J175" s="198"/>
      <c r="K175" s="197"/>
      <c r="L175" s="197"/>
      <c r="M175" s="197"/>
      <c r="N175" s="168"/>
      <c r="O175" s="181"/>
      <c r="P175" s="182"/>
      <c r="Q175" s="181"/>
      <c r="R175" s="183"/>
      <c r="S175" s="184"/>
      <c r="T175" s="184"/>
      <c r="U175" s="168"/>
      <c r="V175" s="197"/>
      <c r="W175" s="62"/>
      <c r="X175" s="62"/>
      <c r="Y175" s="63"/>
    </row>
    <row r="176" spans="1:27" ht="21" customHeight="1">
      <c r="A176" s="27" t="s">
        <v>14</v>
      </c>
      <c r="B176" s="28" t="s">
        <v>14</v>
      </c>
      <c r="C176" s="578" t="s">
        <v>255</v>
      </c>
      <c r="D176" s="579"/>
      <c r="E176" s="238">
        <f>SUM(E177,E198,E203)</f>
        <v>2972</v>
      </c>
      <c r="F176" s="238">
        <f>SUM(F177,F198,F203)</f>
        <v>4806</v>
      </c>
      <c r="G176" s="239">
        <f t="shared" ref="G176:G178" si="53">F176-E176</f>
        <v>1834</v>
      </c>
      <c r="H176" s="240">
        <f t="shared" ref="H176:H178" si="54">IF(E176=0,0,G176/E176)</f>
        <v>0.61709286675639297</v>
      </c>
      <c r="I176" s="241" t="s">
        <v>259</v>
      </c>
      <c r="J176" s="242"/>
      <c r="K176" s="243"/>
      <c r="L176" s="243"/>
      <c r="M176" s="242"/>
      <c r="N176" s="242"/>
      <c r="O176" s="242"/>
      <c r="P176" s="242"/>
      <c r="Q176" s="242" t="s">
        <v>64</v>
      </c>
      <c r="R176" s="244"/>
      <c r="S176" s="244"/>
      <c r="T176" s="244"/>
      <c r="U176" s="244"/>
      <c r="V176" s="244"/>
      <c r="W176" s="244"/>
      <c r="X176" s="245">
        <f>SUM(X177,X198,X203)</f>
        <v>4806000</v>
      </c>
      <c r="Y176" s="257" t="s">
        <v>25</v>
      </c>
    </row>
    <row r="177" spans="1:27" ht="21" customHeight="1">
      <c r="A177" s="37"/>
      <c r="B177" s="38"/>
      <c r="C177" s="28" t="s">
        <v>171</v>
      </c>
      <c r="D177" s="255" t="s">
        <v>261</v>
      </c>
      <c r="E177" s="188">
        <f>SUM(E178,E181,E185,E189)</f>
        <v>2752</v>
      </c>
      <c r="F177" s="188">
        <f>SUM(F178,F181,F185,F189)</f>
        <v>4449</v>
      </c>
      <c r="G177" s="189">
        <f t="shared" si="53"/>
        <v>1697</v>
      </c>
      <c r="H177" s="190">
        <f t="shared" si="54"/>
        <v>0.61664244186046513</v>
      </c>
      <c r="I177" s="172" t="s">
        <v>265</v>
      </c>
      <c r="J177" s="173"/>
      <c r="K177" s="174"/>
      <c r="L177" s="174"/>
      <c r="M177" s="174"/>
      <c r="N177" s="174"/>
      <c r="O177" s="174"/>
      <c r="P177" s="175"/>
      <c r="Q177" s="175"/>
      <c r="R177" s="175"/>
      <c r="S177" s="175"/>
      <c r="T177" s="175"/>
      <c r="U177" s="175"/>
      <c r="V177" s="209" t="s">
        <v>250</v>
      </c>
      <c r="W177" s="210"/>
      <c r="X177" s="211">
        <f>SUM(X178,X181,X185,X189)</f>
        <v>4449000</v>
      </c>
      <c r="Y177" s="258" t="s">
        <v>245</v>
      </c>
    </row>
    <row r="178" spans="1:27" ht="21" customHeight="1">
      <c r="A178" s="37"/>
      <c r="B178" s="38"/>
      <c r="C178" s="38" t="s">
        <v>172</v>
      </c>
      <c r="D178" s="28" t="s">
        <v>234</v>
      </c>
      <c r="E178" s="29">
        <v>2100</v>
      </c>
      <c r="F178" s="40">
        <f>ROUND(X178/1000,0)</f>
        <v>3826</v>
      </c>
      <c r="G178" s="30">
        <f t="shared" si="53"/>
        <v>1726</v>
      </c>
      <c r="H178" s="31">
        <f t="shared" si="54"/>
        <v>0.82190476190476192</v>
      </c>
      <c r="I178" s="126" t="s">
        <v>233</v>
      </c>
      <c r="J178" s="138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580" t="s">
        <v>69</v>
      </c>
      <c r="W178" s="580"/>
      <c r="X178" s="349">
        <f>ROUNDUP(SUM(W179:X180),-3)</f>
        <v>3826000</v>
      </c>
      <c r="Y178" s="129" t="s">
        <v>56</v>
      </c>
    </row>
    <row r="179" spans="1:27" ht="21" customHeight="1">
      <c r="A179" s="37"/>
      <c r="B179" s="38"/>
      <c r="C179" s="38"/>
      <c r="D179" s="38"/>
      <c r="E179" s="40"/>
      <c r="F179" s="40"/>
      <c r="G179" s="41"/>
      <c r="H179" s="25"/>
      <c r="I179" s="279" t="s">
        <v>286</v>
      </c>
      <c r="J179" s="196"/>
      <c r="K179" s="195"/>
      <c r="L179" s="195"/>
      <c r="M179" s="195"/>
      <c r="N179" s="195"/>
      <c r="O179" s="195"/>
      <c r="P179" s="195"/>
      <c r="Q179" s="195"/>
      <c r="R179" s="195"/>
      <c r="S179" s="195"/>
      <c r="T179" s="195"/>
      <c r="U179" s="195"/>
      <c r="V179" s="228"/>
      <c r="W179" s="228"/>
      <c r="X179" s="418">
        <v>3825092</v>
      </c>
      <c r="Y179" s="47" t="s">
        <v>231</v>
      </c>
    </row>
    <row r="180" spans="1:27" ht="21" customHeight="1">
      <c r="A180" s="37"/>
      <c r="B180" s="38"/>
      <c r="C180" s="38"/>
      <c r="D180" s="49"/>
      <c r="E180" s="51"/>
      <c r="F180" s="51"/>
      <c r="G180" s="52"/>
      <c r="H180" s="171"/>
      <c r="I180" s="280" t="s">
        <v>287</v>
      </c>
      <c r="J180" s="198"/>
      <c r="K180" s="197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68"/>
      <c r="W180" s="168"/>
      <c r="X180" s="62">
        <v>0</v>
      </c>
      <c r="Y180" s="63" t="s">
        <v>231</v>
      </c>
    </row>
    <row r="181" spans="1:27" ht="21" customHeight="1">
      <c r="A181" s="37"/>
      <c r="B181" s="38"/>
      <c r="C181" s="38"/>
      <c r="D181" s="28" t="s">
        <v>173</v>
      </c>
      <c r="E181" s="29">
        <v>0</v>
      </c>
      <c r="F181" s="40">
        <f>ROUND(X181/1000,0)</f>
        <v>0</v>
      </c>
      <c r="G181" s="30">
        <f t="shared" ref="G181" si="55">F181-E181</f>
        <v>0</v>
      </c>
      <c r="H181" s="31">
        <f t="shared" ref="H181" si="56">IF(E181=0,0,G181/E181)</f>
        <v>0</v>
      </c>
      <c r="I181" s="126" t="s">
        <v>235</v>
      </c>
      <c r="J181" s="138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580" t="s">
        <v>69</v>
      </c>
      <c r="W181" s="580"/>
      <c r="X181" s="128">
        <f>ROUNDUP(SUM(W182:X183),-3)</f>
        <v>0</v>
      </c>
      <c r="Y181" s="129" t="s">
        <v>56</v>
      </c>
    </row>
    <row r="182" spans="1:27" ht="21" customHeight="1">
      <c r="A182" s="37"/>
      <c r="B182" s="38"/>
      <c r="C182" s="38"/>
      <c r="D182" s="38"/>
      <c r="E182" s="40"/>
      <c r="F182" s="40"/>
      <c r="G182" s="41"/>
      <c r="H182" s="25"/>
      <c r="I182" s="279" t="s">
        <v>288</v>
      </c>
      <c r="J182" s="196"/>
      <c r="K182" s="195"/>
      <c r="L182" s="195"/>
      <c r="M182" s="195"/>
      <c r="N182" s="195"/>
      <c r="O182" s="195"/>
      <c r="P182" s="195"/>
      <c r="Q182" s="195"/>
      <c r="R182" s="195"/>
      <c r="S182" s="195"/>
      <c r="T182" s="195"/>
      <c r="U182" s="195"/>
      <c r="V182" s="228"/>
      <c r="W182" s="228"/>
      <c r="X182" s="58">
        <v>0</v>
      </c>
      <c r="Y182" s="47" t="s">
        <v>231</v>
      </c>
    </row>
    <row r="183" spans="1:27" ht="21" customHeight="1">
      <c r="A183" s="37"/>
      <c r="B183" s="38"/>
      <c r="C183" s="38"/>
      <c r="D183" s="38"/>
      <c r="E183" s="40"/>
      <c r="F183" s="40"/>
      <c r="G183" s="41"/>
      <c r="H183" s="25"/>
      <c r="I183" s="279" t="s">
        <v>289</v>
      </c>
      <c r="J183" s="196"/>
      <c r="K183" s="195"/>
      <c r="L183" s="195"/>
      <c r="M183" s="195"/>
      <c r="N183" s="195"/>
      <c r="O183" s="195"/>
      <c r="P183" s="195"/>
      <c r="Q183" s="195"/>
      <c r="R183" s="195"/>
      <c r="S183" s="195"/>
      <c r="T183" s="195"/>
      <c r="U183" s="195"/>
      <c r="V183" s="228"/>
      <c r="W183" s="228"/>
      <c r="X183" s="58">
        <v>0</v>
      </c>
      <c r="Y183" s="47" t="s">
        <v>231</v>
      </c>
    </row>
    <row r="184" spans="1:27" ht="21" customHeight="1">
      <c r="A184" s="37"/>
      <c r="B184" s="38"/>
      <c r="C184" s="38"/>
      <c r="D184" s="49"/>
      <c r="E184" s="51"/>
      <c r="F184" s="51"/>
      <c r="G184" s="52"/>
      <c r="H184" s="171"/>
      <c r="I184" s="61"/>
      <c r="J184" s="198"/>
      <c r="K184" s="197"/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68"/>
      <c r="W184" s="168"/>
      <c r="X184" s="62"/>
      <c r="Y184" s="63"/>
    </row>
    <row r="185" spans="1:27" ht="21" customHeight="1">
      <c r="A185" s="37"/>
      <c r="B185" s="38"/>
      <c r="C185" s="38"/>
      <c r="D185" s="28" t="s">
        <v>237</v>
      </c>
      <c r="E185" s="29">
        <v>2</v>
      </c>
      <c r="F185" s="29">
        <f>ROUND(X185/1000,0)</f>
        <v>0</v>
      </c>
      <c r="G185" s="30">
        <f t="shared" ref="G185" si="57">F185-E185</f>
        <v>-2</v>
      </c>
      <c r="H185" s="31">
        <f t="shared" ref="H185" si="58">IF(E185=0,0,G185/E185)</f>
        <v>-1</v>
      </c>
      <c r="I185" s="126" t="s">
        <v>238</v>
      </c>
      <c r="J185" s="138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580" t="s">
        <v>69</v>
      </c>
      <c r="W185" s="580"/>
      <c r="X185" s="128">
        <f>ROUND(SUM(W186:X187),-3)</f>
        <v>0</v>
      </c>
      <c r="Y185" s="129" t="s">
        <v>56</v>
      </c>
    </row>
    <row r="186" spans="1:27" ht="21" customHeight="1">
      <c r="A186" s="37"/>
      <c r="B186" s="38"/>
      <c r="C186" s="38"/>
      <c r="D186" s="38"/>
      <c r="E186" s="40"/>
      <c r="F186" s="40"/>
      <c r="G186" s="41"/>
      <c r="H186" s="25"/>
      <c r="I186" s="279" t="s">
        <v>290</v>
      </c>
      <c r="J186" s="196"/>
      <c r="K186" s="195"/>
      <c r="L186" s="195"/>
      <c r="M186" s="195"/>
      <c r="N186" s="195"/>
      <c r="O186" s="195"/>
      <c r="P186" s="195"/>
      <c r="Q186" s="195"/>
      <c r="R186" s="195"/>
      <c r="S186" s="195"/>
      <c r="T186" s="195"/>
      <c r="U186" s="195"/>
      <c r="V186" s="228"/>
      <c r="W186" s="228"/>
      <c r="X186" s="418">
        <v>0</v>
      </c>
      <c r="Y186" s="47" t="s">
        <v>231</v>
      </c>
    </row>
    <row r="187" spans="1:27" ht="21" customHeight="1">
      <c r="A187" s="37"/>
      <c r="B187" s="38"/>
      <c r="C187" s="38"/>
      <c r="D187" s="38"/>
      <c r="E187" s="40"/>
      <c r="F187" s="40"/>
      <c r="G187" s="41"/>
      <c r="H187" s="25"/>
      <c r="I187" s="279" t="s">
        <v>291</v>
      </c>
      <c r="J187" s="196"/>
      <c r="K187" s="195"/>
      <c r="L187" s="195"/>
      <c r="M187" s="195"/>
      <c r="N187" s="195"/>
      <c r="O187" s="195"/>
      <c r="P187" s="195"/>
      <c r="Q187" s="195"/>
      <c r="R187" s="195"/>
      <c r="S187" s="195"/>
      <c r="T187" s="195"/>
      <c r="U187" s="195"/>
      <c r="V187" s="228"/>
      <c r="W187" s="228"/>
      <c r="X187" s="58">
        <v>0</v>
      </c>
      <c r="Y187" s="47" t="s">
        <v>231</v>
      </c>
    </row>
    <row r="188" spans="1:27" ht="21" customHeight="1">
      <c r="A188" s="37"/>
      <c r="B188" s="38"/>
      <c r="C188" s="38"/>
      <c r="D188" s="49"/>
      <c r="E188" s="51"/>
      <c r="F188" s="51"/>
      <c r="G188" s="52"/>
      <c r="H188" s="171"/>
      <c r="I188" s="61"/>
      <c r="J188" s="198"/>
      <c r="K188" s="197"/>
      <c r="L188" s="197"/>
      <c r="M188" s="197"/>
      <c r="N188" s="197"/>
      <c r="O188" s="197"/>
      <c r="P188" s="197"/>
      <c r="Q188" s="197"/>
      <c r="R188" s="197"/>
      <c r="S188" s="197"/>
      <c r="T188" s="197"/>
      <c r="U188" s="197"/>
      <c r="V188" s="168"/>
      <c r="W188" s="168"/>
      <c r="X188" s="62"/>
      <c r="Y188" s="63"/>
    </row>
    <row r="189" spans="1:27" ht="21" customHeight="1">
      <c r="A189" s="37"/>
      <c r="B189" s="38"/>
      <c r="C189" s="38"/>
      <c r="D189" s="38" t="s">
        <v>236</v>
      </c>
      <c r="E189" s="40">
        <v>650</v>
      </c>
      <c r="F189" s="29">
        <f>ROUND(X189/1000,0)</f>
        <v>623</v>
      </c>
      <c r="G189" s="30">
        <f t="shared" ref="G189" si="59">F189-E189</f>
        <v>-27</v>
      </c>
      <c r="H189" s="31">
        <f t="shared" ref="H189" si="60">IF(E189=0,0,G189/E189)</f>
        <v>-4.1538461538461538E-2</v>
      </c>
      <c r="I189" s="126" t="s">
        <v>240</v>
      </c>
      <c r="J189" s="138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80" t="s">
        <v>69</v>
      </c>
      <c r="W189" s="580"/>
      <c r="X189" s="128">
        <f>ROUNDUP(SUM(W190:X197),-3)</f>
        <v>623000</v>
      </c>
      <c r="Y189" s="129" t="s">
        <v>56</v>
      </c>
    </row>
    <row r="190" spans="1:27" ht="21" customHeight="1">
      <c r="A190" s="37"/>
      <c r="B190" s="38"/>
      <c r="C190" s="38"/>
      <c r="D190" s="38"/>
      <c r="E190" s="40"/>
      <c r="F190" s="40"/>
      <c r="G190" s="41"/>
      <c r="H190" s="25"/>
      <c r="I190" s="279" t="s">
        <v>292</v>
      </c>
      <c r="J190" s="196"/>
      <c r="K190" s="195"/>
      <c r="L190" s="195"/>
      <c r="M190" s="195"/>
      <c r="N190" s="195"/>
      <c r="O190" s="195"/>
      <c r="P190" s="195"/>
      <c r="Q190" s="195"/>
      <c r="R190" s="195"/>
      <c r="S190" s="195"/>
      <c r="T190" s="195"/>
      <c r="U190" s="195"/>
      <c r="V190" s="228"/>
      <c r="W190" s="228"/>
      <c r="X190" s="419">
        <v>576100</v>
      </c>
      <c r="Y190" s="47" t="s">
        <v>231</v>
      </c>
    </row>
    <row r="191" spans="1:27" ht="21" customHeight="1">
      <c r="A191" s="37"/>
      <c r="B191" s="38"/>
      <c r="C191" s="38"/>
      <c r="D191" s="38"/>
      <c r="E191" s="40"/>
      <c r="F191" s="40"/>
      <c r="G191" s="41"/>
      <c r="H191" s="25"/>
      <c r="I191" s="57" t="s">
        <v>537</v>
      </c>
      <c r="J191" s="288"/>
      <c r="K191" s="287"/>
      <c r="L191" s="287"/>
      <c r="M191" s="287"/>
      <c r="N191" s="287"/>
      <c r="O191" s="287"/>
      <c r="P191" s="287"/>
      <c r="Q191" s="44"/>
      <c r="R191" s="44"/>
      <c r="S191" s="44"/>
      <c r="T191" s="287"/>
      <c r="U191" s="287"/>
      <c r="V191" s="287"/>
      <c r="W191" s="58"/>
      <c r="X191" s="58">
        <v>4000</v>
      </c>
      <c r="Y191" s="47" t="s">
        <v>56</v>
      </c>
      <c r="Z191" s="543">
        <v>3277</v>
      </c>
      <c r="AA191" s="287" t="s">
        <v>56</v>
      </c>
    </row>
    <row r="192" spans="1:27" ht="21" customHeight="1">
      <c r="A192" s="37"/>
      <c r="B192" s="38"/>
      <c r="C192" s="38"/>
      <c r="D192" s="38"/>
      <c r="E192" s="40"/>
      <c r="F192" s="40"/>
      <c r="G192" s="41"/>
      <c r="H192" s="25"/>
      <c r="I192" s="57" t="s">
        <v>538</v>
      </c>
      <c r="J192" s="288"/>
      <c r="K192" s="287"/>
      <c r="L192" s="287"/>
      <c r="M192" s="287"/>
      <c r="N192" s="287"/>
      <c r="O192" s="287"/>
      <c r="P192" s="287"/>
      <c r="Q192" s="44"/>
      <c r="R192" s="44"/>
      <c r="S192" s="44"/>
      <c r="T192" s="287"/>
      <c r="U192" s="287"/>
      <c r="V192" s="287"/>
      <c r="W192" s="58"/>
      <c r="X192" s="58">
        <v>0</v>
      </c>
      <c r="Y192" s="47" t="s">
        <v>56</v>
      </c>
      <c r="AA192" s="13"/>
    </row>
    <row r="193" spans="1:47" ht="21" customHeight="1">
      <c r="A193" s="37"/>
      <c r="B193" s="38"/>
      <c r="C193" s="38"/>
      <c r="D193" s="38"/>
      <c r="E193" s="40"/>
      <c r="F193" s="40"/>
      <c r="G193" s="41"/>
      <c r="H193" s="25"/>
      <c r="I193" s="57" t="s">
        <v>539</v>
      </c>
      <c r="J193" s="288"/>
      <c r="K193" s="287"/>
      <c r="L193" s="287"/>
      <c r="M193" s="287"/>
      <c r="N193" s="287"/>
      <c r="O193" s="287"/>
      <c r="P193" s="287"/>
      <c r="Q193" s="44"/>
      <c r="R193" s="44"/>
      <c r="S193" s="44"/>
      <c r="T193" s="287"/>
      <c r="U193" s="287"/>
      <c r="V193" s="287"/>
      <c r="W193" s="58"/>
      <c r="X193" s="58">
        <v>2000</v>
      </c>
      <c r="Y193" s="47" t="s">
        <v>56</v>
      </c>
      <c r="Z193" s="543">
        <v>1226</v>
      </c>
      <c r="AA193" s="287" t="s">
        <v>56</v>
      </c>
    </row>
    <row r="194" spans="1:47" ht="21" customHeight="1">
      <c r="A194" s="37"/>
      <c r="B194" s="38"/>
      <c r="C194" s="38"/>
      <c r="D194" s="38"/>
      <c r="E194" s="40"/>
      <c r="F194" s="40"/>
      <c r="G194" s="41"/>
      <c r="H194" s="25"/>
      <c r="I194" s="57" t="s">
        <v>540</v>
      </c>
      <c r="J194" s="288"/>
      <c r="K194" s="287"/>
      <c r="L194" s="287"/>
      <c r="M194" s="287"/>
      <c r="N194" s="287"/>
      <c r="O194" s="287"/>
      <c r="P194" s="287"/>
      <c r="Q194" s="44"/>
      <c r="R194" s="44"/>
      <c r="S194" s="44"/>
      <c r="T194" s="287"/>
      <c r="U194" s="287"/>
      <c r="V194" s="287"/>
      <c r="W194" s="58"/>
      <c r="X194" s="58">
        <v>1000</v>
      </c>
      <c r="Y194" s="47" t="s">
        <v>56</v>
      </c>
      <c r="Z194" s="543">
        <v>390</v>
      </c>
      <c r="AA194" s="287" t="s">
        <v>56</v>
      </c>
    </row>
    <row r="195" spans="1:47" ht="21" customHeight="1">
      <c r="A195" s="37"/>
      <c r="B195" s="38"/>
      <c r="C195" s="38"/>
      <c r="D195" s="38"/>
      <c r="E195" s="40"/>
      <c r="F195" s="40"/>
      <c r="G195" s="41"/>
      <c r="H195" s="25"/>
      <c r="I195" s="483" t="s">
        <v>545</v>
      </c>
      <c r="J195" s="486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7"/>
      <c r="X195" s="487">
        <v>31000</v>
      </c>
      <c r="Y195" s="485" t="s">
        <v>56</v>
      </c>
      <c r="Z195" s="543">
        <v>30785</v>
      </c>
      <c r="AA195" s="287" t="s">
        <v>56</v>
      </c>
    </row>
    <row r="196" spans="1:47" ht="21" customHeight="1">
      <c r="A196" s="37"/>
      <c r="B196" s="38"/>
      <c r="C196" s="38"/>
      <c r="D196" s="38"/>
      <c r="E196" s="40"/>
      <c r="F196" s="40"/>
      <c r="G196" s="41"/>
      <c r="H196" s="25"/>
      <c r="I196" s="483" t="s">
        <v>546</v>
      </c>
      <c r="J196" s="486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7"/>
      <c r="X196" s="487">
        <v>3000</v>
      </c>
      <c r="Y196" s="485" t="s">
        <v>25</v>
      </c>
      <c r="Z196" s="543">
        <v>2895</v>
      </c>
      <c r="AA196" s="287" t="s">
        <v>56</v>
      </c>
    </row>
    <row r="197" spans="1:47" ht="21" customHeight="1">
      <c r="A197" s="37"/>
      <c r="B197" s="38"/>
      <c r="C197" s="38"/>
      <c r="D197" s="38"/>
      <c r="E197" s="40"/>
      <c r="F197" s="40"/>
      <c r="G197" s="41"/>
      <c r="H197" s="25"/>
      <c r="I197" s="483" t="s">
        <v>547</v>
      </c>
      <c r="J197" s="486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7"/>
      <c r="X197" s="487">
        <v>5000</v>
      </c>
      <c r="Y197" s="485" t="s">
        <v>56</v>
      </c>
      <c r="Z197" s="543">
        <v>4600</v>
      </c>
      <c r="AA197" s="287" t="s">
        <v>56</v>
      </c>
    </row>
    <row r="198" spans="1:47" ht="21" customHeight="1">
      <c r="A198" s="37"/>
      <c r="B198" s="38"/>
      <c r="C198" s="28" t="s">
        <v>171</v>
      </c>
      <c r="D198" s="255" t="s">
        <v>109</v>
      </c>
      <c r="E198" s="188">
        <f>E199</f>
        <v>220</v>
      </c>
      <c r="F198" s="188">
        <f>F199</f>
        <v>357</v>
      </c>
      <c r="G198" s="189">
        <f t="shared" ref="G198:G199" si="61">F198-E198</f>
        <v>137</v>
      </c>
      <c r="H198" s="190">
        <f t="shared" ref="H198:H199" si="62">IF(E198=0,0,G198/E198)</f>
        <v>0.62272727272727268</v>
      </c>
      <c r="I198" s="172" t="s">
        <v>175</v>
      </c>
      <c r="J198" s="173"/>
      <c r="K198" s="174"/>
      <c r="L198" s="174"/>
      <c r="M198" s="174"/>
      <c r="N198" s="174"/>
      <c r="O198" s="174"/>
      <c r="P198" s="175"/>
      <c r="Q198" s="175"/>
      <c r="R198" s="175"/>
      <c r="S198" s="175"/>
      <c r="T198" s="175"/>
      <c r="U198" s="175"/>
      <c r="V198" s="209" t="s">
        <v>69</v>
      </c>
      <c r="W198" s="210"/>
      <c r="X198" s="210">
        <f>X199</f>
        <v>357000</v>
      </c>
      <c r="Y198" s="258" t="s">
        <v>56</v>
      </c>
    </row>
    <row r="199" spans="1:47" ht="21" customHeight="1">
      <c r="A199" s="37"/>
      <c r="B199" s="38"/>
      <c r="C199" s="38" t="s">
        <v>172</v>
      </c>
      <c r="D199" s="38" t="s">
        <v>174</v>
      </c>
      <c r="E199" s="40">
        <v>220</v>
      </c>
      <c r="F199" s="40">
        <f>ROUND(X199/1000,0)</f>
        <v>357</v>
      </c>
      <c r="G199" s="30">
        <f t="shared" si="61"/>
        <v>137</v>
      </c>
      <c r="H199" s="31">
        <f t="shared" si="62"/>
        <v>0.62272727272727268</v>
      </c>
      <c r="I199" s="281" t="s">
        <v>293</v>
      </c>
      <c r="J199" s="138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580"/>
      <c r="W199" s="580"/>
      <c r="X199" s="128">
        <f>ROUNDUP(SUM(W200:X202),-3)</f>
        <v>357000</v>
      </c>
      <c r="Y199" s="129" t="s">
        <v>56</v>
      </c>
    </row>
    <row r="200" spans="1:47" ht="21" customHeight="1">
      <c r="A200" s="37"/>
      <c r="B200" s="38"/>
      <c r="C200" s="38" t="s">
        <v>167</v>
      </c>
      <c r="D200" s="38" t="s">
        <v>168</v>
      </c>
      <c r="E200" s="40"/>
      <c r="F200" s="40"/>
      <c r="G200" s="41"/>
      <c r="H200" s="60"/>
      <c r="I200" s="279" t="s">
        <v>316</v>
      </c>
      <c r="J200" s="196"/>
      <c r="K200" s="195"/>
      <c r="L200" s="195"/>
      <c r="M200" s="195"/>
      <c r="N200" s="195"/>
      <c r="O200" s="195"/>
      <c r="P200" s="195"/>
      <c r="Q200" s="44"/>
      <c r="R200" s="44"/>
      <c r="S200" s="44"/>
      <c r="T200" s="195"/>
      <c r="U200" s="195"/>
      <c r="V200" s="195"/>
      <c r="W200" s="58"/>
      <c r="X200" s="418">
        <v>354014</v>
      </c>
      <c r="Y200" s="47" t="s">
        <v>104</v>
      </c>
    </row>
    <row r="201" spans="1:47" ht="21" customHeight="1">
      <c r="A201" s="37"/>
      <c r="B201" s="38"/>
      <c r="C201" s="38"/>
      <c r="D201" s="38"/>
      <c r="E201" s="40"/>
      <c r="F201" s="40"/>
      <c r="G201" s="41"/>
      <c r="H201" s="60"/>
      <c r="I201" s="279" t="s">
        <v>317</v>
      </c>
      <c r="J201" s="288"/>
      <c r="K201" s="287"/>
      <c r="L201" s="287"/>
      <c r="M201" s="287"/>
      <c r="N201" s="287"/>
      <c r="O201" s="287"/>
      <c r="P201" s="287"/>
      <c r="Q201" s="44"/>
      <c r="R201" s="44"/>
      <c r="S201" s="44"/>
      <c r="T201" s="287"/>
      <c r="U201" s="287"/>
      <c r="V201" s="287"/>
      <c r="W201" s="58"/>
      <c r="X201" s="58">
        <v>0</v>
      </c>
      <c r="Y201" s="47" t="s">
        <v>104</v>
      </c>
    </row>
    <row r="202" spans="1:47" ht="21" customHeight="1">
      <c r="A202" s="37"/>
      <c r="B202" s="38"/>
      <c r="C202" s="38"/>
      <c r="D202" s="38"/>
      <c r="E202" s="40"/>
      <c r="F202" s="40"/>
      <c r="G202" s="41"/>
      <c r="H202" s="60"/>
      <c r="I202" s="279" t="s">
        <v>548</v>
      </c>
      <c r="J202" s="288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544"/>
      <c r="W202" s="544"/>
      <c r="X202" s="418">
        <v>1999</v>
      </c>
      <c r="Y202" s="47" t="s">
        <v>56</v>
      </c>
    </row>
    <row r="203" spans="1:47" ht="21" customHeight="1">
      <c r="A203" s="37"/>
      <c r="B203" s="38"/>
      <c r="C203" s="28" t="s">
        <v>176</v>
      </c>
      <c r="D203" s="255" t="s">
        <v>109</v>
      </c>
      <c r="E203" s="188">
        <f>E204</f>
        <v>0</v>
      </c>
      <c r="F203" s="188">
        <f>F204</f>
        <v>0</v>
      </c>
      <c r="G203" s="189">
        <f t="shared" ref="G203:G204" si="63">F203-E203</f>
        <v>0</v>
      </c>
      <c r="H203" s="190">
        <f t="shared" ref="H203:H204" si="64">IF(E203=0,0,G203/E203)</f>
        <v>0</v>
      </c>
      <c r="I203" s="172" t="s">
        <v>179</v>
      </c>
      <c r="J203" s="173"/>
      <c r="K203" s="174"/>
      <c r="L203" s="174"/>
      <c r="M203" s="174"/>
      <c r="N203" s="174"/>
      <c r="O203" s="174"/>
      <c r="P203" s="175"/>
      <c r="Q203" s="175"/>
      <c r="R203" s="175"/>
      <c r="S203" s="175"/>
      <c r="T203" s="175"/>
      <c r="U203" s="175"/>
      <c r="V203" s="209" t="s">
        <v>69</v>
      </c>
      <c r="W203" s="210"/>
      <c r="X203" s="210">
        <f>ROUND(SUM(W204:X205),-3)</f>
        <v>0</v>
      </c>
      <c r="Y203" s="258" t="s">
        <v>56</v>
      </c>
    </row>
    <row r="204" spans="1:47" ht="21" customHeight="1">
      <c r="A204" s="37"/>
      <c r="B204" s="38"/>
      <c r="C204" s="38" t="s">
        <v>177</v>
      </c>
      <c r="D204" s="38" t="s">
        <v>178</v>
      </c>
      <c r="E204" s="40">
        <v>0</v>
      </c>
      <c r="F204" s="40">
        <f>ROUND(X204/1000,0)</f>
        <v>0</v>
      </c>
      <c r="G204" s="30">
        <f t="shared" si="63"/>
        <v>0</v>
      </c>
      <c r="H204" s="31">
        <f t="shared" si="64"/>
        <v>0</v>
      </c>
      <c r="I204" s="57"/>
      <c r="J204" s="196"/>
      <c r="K204" s="195"/>
      <c r="L204" s="195"/>
      <c r="M204" s="195"/>
      <c r="N204" s="228"/>
      <c r="O204" s="64"/>
      <c r="P204" s="59"/>
      <c r="Q204" s="64"/>
      <c r="R204" s="71"/>
      <c r="S204" s="65"/>
      <c r="T204" s="65"/>
      <c r="U204" s="228"/>
      <c r="V204" s="195"/>
      <c r="W204" s="58"/>
      <c r="X204" s="58">
        <f>M204*P204</f>
        <v>0</v>
      </c>
      <c r="Y204" s="47" t="s">
        <v>56</v>
      </c>
    </row>
    <row r="205" spans="1:47" ht="21" customHeight="1">
      <c r="A205" s="48"/>
      <c r="B205" s="49"/>
      <c r="C205" s="49"/>
      <c r="D205" s="49"/>
      <c r="E205" s="51"/>
      <c r="F205" s="51"/>
      <c r="G205" s="52"/>
      <c r="H205" s="75"/>
      <c r="I205" s="61"/>
      <c r="J205" s="198"/>
      <c r="K205" s="197"/>
      <c r="L205" s="197"/>
      <c r="M205" s="197"/>
      <c r="N205" s="197"/>
      <c r="O205" s="197"/>
      <c r="P205" s="197"/>
      <c r="Q205" s="116"/>
      <c r="R205" s="116"/>
      <c r="S205" s="116"/>
      <c r="T205" s="197"/>
      <c r="U205" s="197"/>
      <c r="V205" s="197"/>
      <c r="W205" s="62"/>
      <c r="X205" s="62">
        <v>0</v>
      </c>
      <c r="Y205" s="63" t="s">
        <v>56</v>
      </c>
    </row>
    <row r="206" spans="1:47" s="4" customFormat="1" ht="21" customHeight="1">
      <c r="A206" s="37" t="s">
        <v>75</v>
      </c>
      <c r="B206" s="78" t="s">
        <v>16</v>
      </c>
      <c r="C206" s="578" t="s">
        <v>255</v>
      </c>
      <c r="D206" s="579"/>
      <c r="E206" s="238">
        <f>SUM(E207,E210,E218)</f>
        <v>1919</v>
      </c>
      <c r="F206" s="238">
        <f>SUM(F207,F210,F218)</f>
        <v>1725</v>
      </c>
      <c r="G206" s="239">
        <f t="shared" ref="G206:G208" si="65">F206-E206</f>
        <v>-194</v>
      </c>
      <c r="H206" s="240">
        <f t="shared" ref="H206:H208" si="66">IF(E206=0,0,G206/E206)</f>
        <v>-0.10109431995831163</v>
      </c>
      <c r="I206" s="241" t="s">
        <v>260</v>
      </c>
      <c r="J206" s="242"/>
      <c r="K206" s="243"/>
      <c r="L206" s="243"/>
      <c r="M206" s="242"/>
      <c r="N206" s="242"/>
      <c r="O206" s="242"/>
      <c r="P206" s="242"/>
      <c r="Q206" s="242" t="s">
        <v>64</v>
      </c>
      <c r="R206" s="244"/>
      <c r="S206" s="244"/>
      <c r="T206" s="244"/>
      <c r="U206" s="244"/>
      <c r="V206" s="244"/>
      <c r="W206" s="244"/>
      <c r="X206" s="254">
        <f>SUM(X207,X210,X218)</f>
        <v>1725000</v>
      </c>
      <c r="Y206" s="262" t="s">
        <v>245</v>
      </c>
      <c r="Z206" s="246"/>
      <c r="AA206" s="247"/>
      <c r="AB206" s="247"/>
      <c r="AC206" s="248"/>
      <c r="AD206" s="249"/>
      <c r="AE206" s="250"/>
      <c r="AF206" s="251"/>
      <c r="AG206" s="252"/>
      <c r="AH206" s="252"/>
      <c r="AI206" s="251"/>
      <c r="AJ206" s="251"/>
      <c r="AK206" s="251"/>
      <c r="AL206" s="251"/>
      <c r="AM206" s="251"/>
      <c r="AN206" s="250"/>
      <c r="AO206" s="250"/>
      <c r="AP206" s="250"/>
      <c r="AQ206" s="250"/>
      <c r="AR206" s="250"/>
      <c r="AS206" s="250"/>
      <c r="AT206" s="253"/>
      <c r="AU206" s="251"/>
    </row>
    <row r="207" spans="1:47" ht="21" customHeight="1">
      <c r="A207" s="37"/>
      <c r="B207" s="84"/>
      <c r="C207" s="28" t="s">
        <v>180</v>
      </c>
      <c r="D207" s="255" t="s">
        <v>109</v>
      </c>
      <c r="E207" s="188">
        <f>E208</f>
        <v>0</v>
      </c>
      <c r="F207" s="188">
        <f>F208</f>
        <v>0</v>
      </c>
      <c r="G207" s="189">
        <f t="shared" si="65"/>
        <v>0</v>
      </c>
      <c r="H207" s="190">
        <f t="shared" si="66"/>
        <v>0</v>
      </c>
      <c r="I207" s="172" t="s">
        <v>189</v>
      </c>
      <c r="J207" s="173"/>
      <c r="K207" s="174"/>
      <c r="L207" s="174"/>
      <c r="M207" s="174"/>
      <c r="N207" s="174"/>
      <c r="O207" s="174"/>
      <c r="P207" s="175"/>
      <c r="Q207" s="175"/>
      <c r="R207" s="175"/>
      <c r="S207" s="175"/>
      <c r="T207" s="175"/>
      <c r="U207" s="175"/>
      <c r="V207" s="209" t="s">
        <v>69</v>
      </c>
      <c r="W207" s="210"/>
      <c r="X207" s="211">
        <f>SUM(X208:X208)</f>
        <v>0</v>
      </c>
      <c r="Y207" s="258" t="s">
        <v>56</v>
      </c>
    </row>
    <row r="208" spans="1:47" s="11" customFormat="1" ht="19.5" customHeight="1">
      <c r="A208" s="50"/>
      <c r="B208" s="86"/>
      <c r="C208" s="38" t="s">
        <v>181</v>
      </c>
      <c r="D208" s="28" t="s">
        <v>182</v>
      </c>
      <c r="E208" s="29">
        <v>0</v>
      </c>
      <c r="F208" s="40">
        <f>ROUND(X208/1000,0)</f>
        <v>0</v>
      </c>
      <c r="G208" s="30">
        <f t="shared" si="65"/>
        <v>0</v>
      </c>
      <c r="H208" s="31">
        <f t="shared" si="66"/>
        <v>0</v>
      </c>
      <c r="I208" s="126" t="s">
        <v>189</v>
      </c>
      <c r="J208" s="138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580" t="s">
        <v>69</v>
      </c>
      <c r="W208" s="580"/>
      <c r="X208" s="128">
        <f>SUM(X209:X209)</f>
        <v>0</v>
      </c>
      <c r="Y208" s="129" t="s">
        <v>56</v>
      </c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25"/>
      <c r="I209" s="57"/>
      <c r="J209" s="196"/>
      <c r="K209" s="195"/>
      <c r="L209" s="195"/>
      <c r="M209" s="195"/>
      <c r="N209" s="228"/>
      <c r="O209" s="64"/>
      <c r="P209" s="59"/>
      <c r="Q209" s="64"/>
      <c r="R209" s="71"/>
      <c r="S209" s="65"/>
      <c r="T209" s="65"/>
      <c r="U209" s="228"/>
      <c r="V209" s="195"/>
      <c r="W209" s="58"/>
      <c r="X209" s="58">
        <f>M209*P209</f>
        <v>0</v>
      </c>
      <c r="Y209" s="47" t="s">
        <v>56</v>
      </c>
      <c r="Z209" s="6"/>
    </row>
    <row r="210" spans="1:26" s="11" customFormat="1" ht="19.5" customHeight="1">
      <c r="A210" s="50"/>
      <c r="B210" s="80"/>
      <c r="C210" s="28" t="s">
        <v>183</v>
      </c>
      <c r="D210" s="255" t="s">
        <v>109</v>
      </c>
      <c r="E210" s="188">
        <f>E211</f>
        <v>29</v>
      </c>
      <c r="F210" s="188">
        <f>F211</f>
        <v>30</v>
      </c>
      <c r="G210" s="189">
        <f t="shared" ref="G210:G211" si="67">F210-E210</f>
        <v>1</v>
      </c>
      <c r="H210" s="190">
        <f t="shared" ref="H210:H211" si="68">IF(E210=0,0,G210/E210)</f>
        <v>3.4482758620689655E-2</v>
      </c>
      <c r="I210" s="172" t="s">
        <v>190</v>
      </c>
      <c r="J210" s="173"/>
      <c r="K210" s="174"/>
      <c r="L210" s="174"/>
      <c r="M210" s="174"/>
      <c r="N210" s="174"/>
      <c r="O210" s="174"/>
      <c r="P210" s="175"/>
      <c r="Q210" s="175"/>
      <c r="R210" s="175"/>
      <c r="S210" s="175"/>
      <c r="T210" s="175"/>
      <c r="U210" s="175"/>
      <c r="V210" s="209" t="s">
        <v>69</v>
      </c>
      <c r="W210" s="210"/>
      <c r="X210" s="210">
        <f>SUM(X211:X211)</f>
        <v>30000</v>
      </c>
      <c r="Y210" s="258" t="s">
        <v>56</v>
      </c>
      <c r="Z210" s="6"/>
    </row>
    <row r="211" spans="1:26" s="11" customFormat="1" ht="19.5" customHeight="1">
      <c r="A211" s="50"/>
      <c r="B211" s="80"/>
      <c r="C211" s="38" t="s">
        <v>184</v>
      </c>
      <c r="D211" s="38" t="s">
        <v>185</v>
      </c>
      <c r="E211" s="40">
        <v>29</v>
      </c>
      <c r="F211" s="40">
        <f>ROUND(X211/1000,0)</f>
        <v>30</v>
      </c>
      <c r="G211" s="30">
        <f t="shared" si="67"/>
        <v>1</v>
      </c>
      <c r="H211" s="31">
        <f t="shared" si="68"/>
        <v>3.4482758620689655E-2</v>
      </c>
      <c r="I211" s="126" t="s">
        <v>242</v>
      </c>
      <c r="J211" s="138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580"/>
      <c r="W211" s="580"/>
      <c r="X211" s="128">
        <f>ROUND(SUM(W212:X217),-3)</f>
        <v>30000</v>
      </c>
      <c r="Y211" s="129" t="s">
        <v>56</v>
      </c>
      <c r="Z211" s="6"/>
    </row>
    <row r="212" spans="1:26" s="11" customFormat="1" ht="19.5" customHeight="1">
      <c r="A212" s="50"/>
      <c r="B212" s="80"/>
      <c r="C212" s="38" t="s">
        <v>130</v>
      </c>
      <c r="D212" s="38" t="s">
        <v>186</v>
      </c>
      <c r="E212" s="40"/>
      <c r="F212" s="40"/>
      <c r="G212" s="41"/>
      <c r="H212" s="60"/>
      <c r="I212" s="57" t="s">
        <v>320</v>
      </c>
      <c r="J212" s="196"/>
      <c r="K212" s="195"/>
      <c r="L212" s="195"/>
      <c r="M212" s="195"/>
      <c r="N212" s="195"/>
      <c r="O212" s="195"/>
      <c r="P212" s="195"/>
      <c r="Q212" s="44"/>
      <c r="R212" s="44"/>
      <c r="S212" s="44"/>
      <c r="T212" s="195"/>
      <c r="U212" s="195"/>
      <c r="V212" s="195"/>
      <c r="W212" s="58"/>
      <c r="X212" s="58">
        <v>20000</v>
      </c>
      <c r="Y212" s="47" t="s">
        <v>56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60"/>
      <c r="I213" s="57" t="s">
        <v>504</v>
      </c>
      <c r="J213" s="288"/>
      <c r="K213" s="287"/>
      <c r="L213" s="287"/>
      <c r="M213" s="287"/>
      <c r="N213" s="287"/>
      <c r="O213" s="287"/>
      <c r="P213" s="287"/>
      <c r="Q213" s="44"/>
      <c r="R213" s="44"/>
      <c r="S213" s="44"/>
      <c r="T213" s="287"/>
      <c r="U213" s="287"/>
      <c r="V213" s="287"/>
      <c r="W213" s="58"/>
      <c r="X213" s="58">
        <v>2000</v>
      </c>
      <c r="Y213" s="47" t="s">
        <v>499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60"/>
      <c r="I214" s="57" t="s">
        <v>232</v>
      </c>
      <c r="J214" s="288"/>
      <c r="K214" s="287"/>
      <c r="L214" s="287"/>
      <c r="M214" s="287"/>
      <c r="N214" s="287"/>
      <c r="O214" s="287"/>
      <c r="P214" s="287"/>
      <c r="Q214" s="44"/>
      <c r="R214" s="44"/>
      <c r="S214" s="44"/>
      <c r="T214" s="287"/>
      <c r="U214" s="287"/>
      <c r="V214" s="287"/>
      <c r="W214" s="58"/>
      <c r="X214" s="58">
        <v>5000</v>
      </c>
      <c r="Y214" s="47" t="s">
        <v>56</v>
      </c>
      <c r="Z214" s="6"/>
    </row>
    <row r="215" spans="1:26" s="11" customFormat="1" ht="19.5" customHeight="1">
      <c r="A215" s="50"/>
      <c r="B215" s="80"/>
      <c r="C215" s="38"/>
      <c r="D215" s="38"/>
      <c r="E215" s="40"/>
      <c r="F215" s="40"/>
      <c r="G215" s="41"/>
      <c r="H215" s="60"/>
      <c r="I215" s="57" t="s">
        <v>239</v>
      </c>
      <c r="J215" s="288"/>
      <c r="K215" s="287"/>
      <c r="L215" s="287"/>
      <c r="M215" s="287"/>
      <c r="N215" s="287"/>
      <c r="O215" s="287"/>
      <c r="P215" s="287"/>
      <c r="Q215" s="44"/>
      <c r="R215" s="44"/>
      <c r="S215" s="44"/>
      <c r="T215" s="287"/>
      <c r="U215" s="287"/>
      <c r="V215" s="287"/>
      <c r="W215" s="58"/>
      <c r="X215" s="58">
        <v>0</v>
      </c>
      <c r="Y215" s="47" t="s">
        <v>56</v>
      </c>
      <c r="Z215" s="6"/>
    </row>
    <row r="216" spans="1:26" s="11" customFormat="1" ht="19.5" customHeight="1">
      <c r="A216" s="50"/>
      <c r="B216" s="80"/>
      <c r="C216" s="38"/>
      <c r="D216" s="38"/>
      <c r="E216" s="40"/>
      <c r="F216" s="40"/>
      <c r="G216" s="41"/>
      <c r="H216" s="60"/>
      <c r="I216" s="57" t="s">
        <v>241</v>
      </c>
      <c r="J216" s="288"/>
      <c r="K216" s="287"/>
      <c r="L216" s="287"/>
      <c r="M216" s="287"/>
      <c r="N216" s="287"/>
      <c r="O216" s="287"/>
      <c r="P216" s="287"/>
      <c r="Q216" s="44"/>
      <c r="R216" s="44"/>
      <c r="S216" s="44"/>
      <c r="T216" s="287"/>
      <c r="U216" s="287"/>
      <c r="V216" s="287"/>
      <c r="W216" s="58"/>
      <c r="X216" s="58">
        <v>2000</v>
      </c>
      <c r="Y216" s="47" t="s">
        <v>56</v>
      </c>
      <c r="Z216" s="6"/>
    </row>
    <row r="217" spans="1:26" s="11" customFormat="1" ht="19.5" customHeight="1">
      <c r="A217" s="50"/>
      <c r="B217" s="80"/>
      <c r="C217" s="38"/>
      <c r="D217" s="38"/>
      <c r="E217" s="40"/>
      <c r="F217" s="40"/>
      <c r="G217" s="41"/>
      <c r="H217" s="60"/>
      <c r="I217" s="57" t="s">
        <v>243</v>
      </c>
      <c r="J217" s="288"/>
      <c r="K217" s="287"/>
      <c r="L217" s="287"/>
      <c r="M217" s="287"/>
      <c r="N217" s="287"/>
      <c r="O217" s="287"/>
      <c r="P217" s="287"/>
      <c r="Q217" s="44"/>
      <c r="R217" s="44"/>
      <c r="S217" s="44"/>
      <c r="T217" s="287"/>
      <c r="U217" s="287"/>
      <c r="V217" s="287"/>
      <c r="W217" s="58"/>
      <c r="X217" s="58">
        <v>1000</v>
      </c>
      <c r="Y217" s="47" t="s">
        <v>56</v>
      </c>
      <c r="Z217" s="6"/>
    </row>
    <row r="218" spans="1:26" s="11" customFormat="1" ht="19.5" customHeight="1">
      <c r="A218" s="50"/>
      <c r="B218" s="80"/>
      <c r="C218" s="28" t="s">
        <v>145</v>
      </c>
      <c r="D218" s="255" t="s">
        <v>261</v>
      </c>
      <c r="E218" s="188">
        <f>E219</f>
        <v>1890</v>
      </c>
      <c r="F218" s="188">
        <f>F219</f>
        <v>1695</v>
      </c>
      <c r="G218" s="189">
        <f t="shared" ref="G218:G219" si="69">F218-E218</f>
        <v>-195</v>
      </c>
      <c r="H218" s="190">
        <f t="shared" ref="H218:H219" si="70">IF(E218=0,0,G218/E218)</f>
        <v>-0.10317460317460317</v>
      </c>
      <c r="I218" s="172" t="s">
        <v>244</v>
      </c>
      <c r="J218" s="173"/>
      <c r="K218" s="174"/>
      <c r="L218" s="174"/>
      <c r="M218" s="174"/>
      <c r="N218" s="174"/>
      <c r="O218" s="174"/>
      <c r="P218" s="175"/>
      <c r="Q218" s="175"/>
      <c r="R218" s="175"/>
      <c r="S218" s="175"/>
      <c r="T218" s="175"/>
      <c r="U218" s="175"/>
      <c r="V218" s="209" t="s">
        <v>250</v>
      </c>
      <c r="W218" s="210"/>
      <c r="X218" s="210">
        <f>SUM(X219:X219)</f>
        <v>1695000</v>
      </c>
      <c r="Y218" s="258" t="s">
        <v>245</v>
      </c>
      <c r="Z218" s="6"/>
    </row>
    <row r="219" spans="1:26" s="11" customFormat="1" ht="19.5" customHeight="1">
      <c r="A219" s="50"/>
      <c r="B219" s="80"/>
      <c r="C219" s="38" t="s">
        <v>187</v>
      </c>
      <c r="D219" s="38" t="s">
        <v>188</v>
      </c>
      <c r="E219" s="40">
        <v>1890</v>
      </c>
      <c r="F219" s="40">
        <f>ROUND(X219/1000,0)</f>
        <v>1695</v>
      </c>
      <c r="G219" s="30">
        <f t="shared" si="69"/>
        <v>-195</v>
      </c>
      <c r="H219" s="31">
        <f t="shared" si="70"/>
        <v>-0.10317460317460317</v>
      </c>
      <c r="I219" s="126" t="s">
        <v>244</v>
      </c>
      <c r="J219" s="138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580"/>
      <c r="W219" s="580"/>
      <c r="X219" s="128">
        <f>ROUNDUP(SUM(W220:X224),-3)</f>
        <v>1695000</v>
      </c>
      <c r="Y219" s="129" t="s">
        <v>56</v>
      </c>
      <c r="Z219" s="6"/>
    </row>
    <row r="220" spans="1:26" s="11" customFormat="1" ht="19.5" customHeight="1">
      <c r="A220" s="50"/>
      <c r="B220" s="80"/>
      <c r="C220" s="38"/>
      <c r="D220" s="38"/>
      <c r="E220" s="40"/>
      <c r="F220" s="40"/>
      <c r="G220" s="41"/>
      <c r="H220" s="25"/>
      <c r="I220" s="483" t="s">
        <v>541</v>
      </c>
      <c r="J220" s="486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7"/>
      <c r="X220" s="487">
        <v>8000</v>
      </c>
      <c r="Y220" s="485" t="s">
        <v>25</v>
      </c>
      <c r="Z220" s="6"/>
    </row>
    <row r="221" spans="1:26" s="11" customFormat="1" ht="19.5" customHeight="1">
      <c r="A221" s="50"/>
      <c r="B221" s="80"/>
      <c r="C221" s="38"/>
      <c r="D221" s="38"/>
      <c r="E221" s="40"/>
      <c r="F221" s="40"/>
      <c r="G221" s="41"/>
      <c r="H221" s="25"/>
      <c r="I221" s="483" t="s">
        <v>542</v>
      </c>
      <c r="J221" s="486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7"/>
      <c r="X221" s="487">
        <v>2000</v>
      </c>
      <c r="Y221" s="485" t="s">
        <v>25</v>
      </c>
      <c r="Z221" s="6"/>
    </row>
    <row r="222" spans="1:26" s="11" customFormat="1" ht="19.5" customHeight="1">
      <c r="A222" s="50"/>
      <c r="B222" s="80"/>
      <c r="C222" s="38"/>
      <c r="D222" s="38"/>
      <c r="E222" s="40"/>
      <c r="F222" s="40"/>
      <c r="G222" s="41"/>
      <c r="H222" s="25"/>
      <c r="I222" s="483" t="s">
        <v>543</v>
      </c>
      <c r="J222" s="486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7"/>
      <c r="X222" s="487">
        <v>5000</v>
      </c>
      <c r="Y222" s="485" t="s">
        <v>56</v>
      </c>
      <c r="Z222" s="6"/>
    </row>
    <row r="223" spans="1:26" s="11" customFormat="1" ht="19.5" customHeight="1">
      <c r="A223" s="50"/>
      <c r="B223" s="80"/>
      <c r="C223" s="38"/>
      <c r="D223" s="38"/>
      <c r="E223" s="40"/>
      <c r="F223" s="40"/>
      <c r="G223" s="41"/>
      <c r="H223" s="25"/>
      <c r="I223" s="57" t="s">
        <v>321</v>
      </c>
      <c r="J223" s="195"/>
      <c r="K223" s="195"/>
      <c r="L223" s="195"/>
      <c r="M223" s="195">
        <v>70000</v>
      </c>
      <c r="N223" s="195" t="s">
        <v>245</v>
      </c>
      <c r="O223" s="196" t="s">
        <v>246</v>
      </c>
      <c r="P223" s="195">
        <v>2</v>
      </c>
      <c r="Q223" s="196" t="s">
        <v>247</v>
      </c>
      <c r="R223" s="196" t="s">
        <v>246</v>
      </c>
      <c r="S223" s="195">
        <v>12</v>
      </c>
      <c r="T223" s="195" t="s">
        <v>248</v>
      </c>
      <c r="U223" s="228" t="s">
        <v>249</v>
      </c>
      <c r="V223" s="228"/>
      <c r="W223" s="196"/>
      <c r="X223" s="195">
        <f>ROUND(M223*P223*S223,-3)</f>
        <v>1680000</v>
      </c>
      <c r="Y223" s="47" t="s">
        <v>245</v>
      </c>
      <c r="Z223" s="6"/>
    </row>
    <row r="224" spans="1:26" s="11" customFormat="1" ht="19.5" customHeight="1" thickBot="1">
      <c r="A224" s="88"/>
      <c r="B224" s="89"/>
      <c r="C224" s="90"/>
      <c r="D224" s="90"/>
      <c r="E224" s="91"/>
      <c r="F224" s="91"/>
      <c r="G224" s="92"/>
      <c r="H224" s="93"/>
      <c r="I224" s="53" t="s">
        <v>322</v>
      </c>
      <c r="J224" s="55"/>
      <c r="K224" s="55"/>
      <c r="L224" s="55"/>
      <c r="M224" s="475">
        <v>0</v>
      </c>
      <c r="N224" s="55" t="s">
        <v>245</v>
      </c>
      <c r="O224" s="54" t="s">
        <v>246</v>
      </c>
      <c r="P224" s="55">
        <v>0</v>
      </c>
      <c r="Q224" s="55" t="s">
        <v>248</v>
      </c>
      <c r="R224" s="54"/>
      <c r="S224" s="55"/>
      <c r="T224" s="55"/>
      <c r="U224" s="94" t="s">
        <v>249</v>
      </c>
      <c r="V224" s="94"/>
      <c r="W224" s="54"/>
      <c r="X224" s="391">
        <f>ROUND(M224*P224,-3)</f>
        <v>0</v>
      </c>
      <c r="Y224" s="56" t="s">
        <v>245</v>
      </c>
      <c r="Z224" s="6"/>
    </row>
    <row r="235" spans="26:26" ht="19.5" customHeight="1">
      <c r="Z235" s="6" t="s">
        <v>61</v>
      </c>
    </row>
  </sheetData>
  <mergeCells count="30">
    <mergeCell ref="V219:W219"/>
    <mergeCell ref="V153:W153"/>
    <mergeCell ref="V173:W173"/>
    <mergeCell ref="V181:W181"/>
    <mergeCell ref="V199:W199"/>
    <mergeCell ref="V185:W185"/>
    <mergeCell ref="V189:W189"/>
    <mergeCell ref="V211:W211"/>
    <mergeCell ref="V156:W156"/>
    <mergeCell ref="V178:W178"/>
    <mergeCell ref="C206:D206"/>
    <mergeCell ref="V208:W208"/>
    <mergeCell ref="F2:F3"/>
    <mergeCell ref="C12:D12"/>
    <mergeCell ref="C147:D147"/>
    <mergeCell ref="C160:D160"/>
    <mergeCell ref="V162:W162"/>
    <mergeCell ref="C167:D167"/>
    <mergeCell ref="G2:H2"/>
    <mergeCell ref="I2:Y3"/>
    <mergeCell ref="V149:W149"/>
    <mergeCell ref="V169:W169"/>
    <mergeCell ref="V64:W64"/>
    <mergeCell ref="V128:W128"/>
    <mergeCell ref="V65:W65"/>
    <mergeCell ref="A1:D1"/>
    <mergeCell ref="A2:D2"/>
    <mergeCell ref="E2:E3"/>
    <mergeCell ref="A4:D4"/>
    <mergeCell ref="C176:D176"/>
  </mergeCells>
  <phoneticPr fontId="9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firstPageNumber="16" orientation="landscape" r:id="rId1"/>
  <headerFooter>
    <oddFooter>&amp;R장애인공동생활가정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1"/>
  <sheetViews>
    <sheetView tabSelected="1" topLeftCell="A7" workbookViewId="0">
      <selection activeCell="G20" sqref="G20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7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6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70" t="s">
        <v>532</v>
      </c>
      <c r="B1" s="570"/>
      <c r="C1" s="570"/>
      <c r="D1" s="570"/>
      <c r="E1" s="95"/>
      <c r="F1" s="95"/>
      <c r="G1" s="95"/>
      <c r="H1" s="95"/>
      <c r="I1" s="95"/>
      <c r="J1" s="95"/>
      <c r="K1" s="95"/>
      <c r="L1" s="95"/>
      <c r="M1" s="95"/>
      <c r="N1" s="141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71" t="s">
        <v>22</v>
      </c>
      <c r="B2" s="572"/>
      <c r="C2" s="572"/>
      <c r="D2" s="573" t="s">
        <v>535</v>
      </c>
      <c r="E2" s="597" t="s">
        <v>536</v>
      </c>
      <c r="F2" s="598"/>
      <c r="G2" s="598"/>
      <c r="H2" s="598"/>
      <c r="I2" s="598"/>
      <c r="J2" s="598"/>
      <c r="K2" s="598"/>
      <c r="L2" s="599"/>
      <c r="M2" s="581" t="s">
        <v>23</v>
      </c>
      <c r="N2" s="581"/>
      <c r="O2" s="600" t="s">
        <v>325</v>
      </c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1"/>
      <c r="AA2" s="601"/>
      <c r="AB2" s="601"/>
      <c r="AC2" s="601"/>
      <c r="AD2" s="601"/>
      <c r="AE2" s="602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4"/>
      <c r="E3" s="148" t="s">
        <v>326</v>
      </c>
      <c r="F3" s="148" t="s">
        <v>323</v>
      </c>
      <c r="G3" s="148" t="s">
        <v>324</v>
      </c>
      <c r="H3" s="148" t="s">
        <v>435</v>
      </c>
      <c r="I3" s="148" t="s">
        <v>327</v>
      </c>
      <c r="J3" s="148" t="s">
        <v>328</v>
      </c>
      <c r="K3" s="148" t="s">
        <v>329</v>
      </c>
      <c r="L3" s="148" t="s">
        <v>330</v>
      </c>
      <c r="M3" s="131" t="s">
        <v>331</v>
      </c>
      <c r="N3" s="96" t="s">
        <v>4</v>
      </c>
      <c r="O3" s="603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5"/>
    </row>
    <row r="4" spans="1:31" s="11" customFormat="1" ht="21" customHeight="1">
      <c r="A4" s="606" t="s">
        <v>31</v>
      </c>
      <c r="B4" s="607"/>
      <c r="C4" s="607"/>
      <c r="D4" s="301">
        <f>SUM(D5,D110,D132,D187,D190)</f>
        <v>148962</v>
      </c>
      <c r="E4" s="301">
        <f>SUM(E5,E110,E132,E187+E190)</f>
        <v>147667</v>
      </c>
      <c r="F4" s="301">
        <f t="shared" ref="F4:L4" ca="1" si="0">SUM(F5,F110,F132,F187,F190)</f>
        <v>119171</v>
      </c>
      <c r="G4" s="301">
        <f t="shared" si="0"/>
        <v>1367</v>
      </c>
      <c r="H4" s="301">
        <f t="shared" si="0"/>
        <v>3300</v>
      </c>
      <c r="I4" s="301">
        <f>SUM(I5,I110,I132,I187,I190)</f>
        <v>907</v>
      </c>
      <c r="J4" s="301">
        <f t="shared" si="0"/>
        <v>20596</v>
      </c>
      <c r="K4" s="301">
        <f t="shared" si="0"/>
        <v>0</v>
      </c>
      <c r="L4" s="301">
        <f t="shared" si="0"/>
        <v>2326</v>
      </c>
      <c r="M4" s="302">
        <f>E4-D4</f>
        <v>-1295</v>
      </c>
      <c r="N4" s="303">
        <f>IF(D4=0,0,M4/D4)</f>
        <v>-8.6934923000496767E-3</v>
      </c>
      <c r="O4" s="304" t="s">
        <v>332</v>
      </c>
      <c r="P4" s="305"/>
      <c r="Q4" s="305"/>
      <c r="R4" s="305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>
        <f>SUM(AD5,AD110,AD132,AD187,AD190)</f>
        <v>147667000</v>
      </c>
      <c r="AE4" s="307" t="s">
        <v>25</v>
      </c>
    </row>
    <row r="5" spans="1:31" s="11" customFormat="1" ht="21" customHeight="1">
      <c r="A5" s="101" t="s">
        <v>6</v>
      </c>
      <c r="B5" s="608" t="s">
        <v>7</v>
      </c>
      <c r="C5" s="609"/>
      <c r="D5" s="308">
        <f t="shared" ref="D5:L5" si="1">SUM(D6,D62,D71)</f>
        <v>120849</v>
      </c>
      <c r="E5" s="308">
        <f t="shared" si="1"/>
        <v>123705</v>
      </c>
      <c r="F5" s="308">
        <f t="shared" si="1"/>
        <v>114785</v>
      </c>
      <c r="G5" s="308">
        <f t="shared" si="1"/>
        <v>0</v>
      </c>
      <c r="H5" s="308">
        <f t="shared" si="1"/>
        <v>300</v>
      </c>
      <c r="I5" s="308">
        <f t="shared" si="1"/>
        <v>352</v>
      </c>
      <c r="J5" s="308">
        <f>SUM(J6,J62,J71)</f>
        <v>5942</v>
      </c>
      <c r="K5" s="308">
        <f t="shared" si="1"/>
        <v>0</v>
      </c>
      <c r="L5" s="308">
        <f t="shared" si="1"/>
        <v>2326</v>
      </c>
      <c r="M5" s="309">
        <f>E5-D5</f>
        <v>2856</v>
      </c>
      <c r="N5" s="310">
        <f>IF(D5=0,0,M5/D5)</f>
        <v>2.363279795447211E-2</v>
      </c>
      <c r="O5" s="311" t="s">
        <v>296</v>
      </c>
      <c r="P5" s="311"/>
      <c r="Q5" s="311"/>
      <c r="R5" s="311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>
        <f>SUM(AD6,AD62,AD71)</f>
        <v>123705000</v>
      </c>
      <c r="AE5" s="313" t="s">
        <v>25</v>
      </c>
    </row>
    <row r="6" spans="1:31" s="11" customFormat="1" ht="21" customHeight="1">
      <c r="A6" s="37"/>
      <c r="B6" s="28" t="s">
        <v>8</v>
      </c>
      <c r="C6" s="314" t="s">
        <v>5</v>
      </c>
      <c r="D6" s="402">
        <f t="shared" ref="D6:L6" si="2">SUM(D7,D10,D13,D30,D38,D57)</f>
        <v>108065</v>
      </c>
      <c r="E6" s="315">
        <f t="shared" si="2"/>
        <v>111212</v>
      </c>
      <c r="F6" s="315">
        <f t="shared" si="2"/>
        <v>110562</v>
      </c>
      <c r="G6" s="315">
        <f t="shared" si="2"/>
        <v>0</v>
      </c>
      <c r="H6" s="315">
        <f t="shared" si="2"/>
        <v>300</v>
      </c>
      <c r="I6" s="315">
        <f t="shared" si="2"/>
        <v>350</v>
      </c>
      <c r="J6" s="315">
        <f t="shared" si="2"/>
        <v>0</v>
      </c>
      <c r="K6" s="315">
        <f t="shared" si="2"/>
        <v>0</v>
      </c>
      <c r="L6" s="315">
        <f t="shared" si="2"/>
        <v>0</v>
      </c>
      <c r="M6" s="316">
        <f>E6-D6</f>
        <v>3147</v>
      </c>
      <c r="N6" s="317">
        <f>IF(D6=0,0,M6/D6)</f>
        <v>2.9121362143154583E-2</v>
      </c>
      <c r="O6" s="318" t="s">
        <v>306</v>
      </c>
      <c r="P6" s="318"/>
      <c r="Q6" s="318"/>
      <c r="R6" s="318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>
        <f>SUM(AD7,AD10,AD13,AD30,AD38,AD57)</f>
        <v>111212000</v>
      </c>
      <c r="AE6" s="320" t="s">
        <v>25</v>
      </c>
    </row>
    <row r="7" spans="1:31" s="11" customFormat="1" ht="21" customHeight="1">
      <c r="A7" s="37"/>
      <c r="B7" s="38"/>
      <c r="C7" s="28" t="s">
        <v>32</v>
      </c>
      <c r="D7" s="134">
        <v>63674</v>
      </c>
      <c r="E7" s="103">
        <f>ROUND(AD7/1000,0)</f>
        <v>65584</v>
      </c>
      <c r="F7" s="103">
        <f>SUMIF($AB$8:$AB$9,"보조",$AD$8:$AD$9)/1000</f>
        <v>65584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1910</v>
      </c>
      <c r="N7" s="276">
        <f>IF(D7=0,0,M7/D7)</f>
        <v>2.9996544900587369E-2</v>
      </c>
      <c r="O7" s="105" t="s">
        <v>333</v>
      </c>
      <c r="P7" s="105"/>
      <c r="Q7" s="150"/>
      <c r="R7" s="150"/>
      <c r="S7" s="150"/>
      <c r="T7" s="149"/>
      <c r="U7" s="149"/>
      <c r="V7" s="149"/>
      <c r="W7" s="87" t="s">
        <v>60</v>
      </c>
      <c r="X7" s="473"/>
      <c r="Y7" s="87"/>
      <c r="Z7" s="87"/>
      <c r="AA7" s="87"/>
      <c r="AB7" s="87"/>
      <c r="AC7" s="107"/>
      <c r="AD7" s="107">
        <f>SUM(AD8:AD9)</f>
        <v>65584000</v>
      </c>
      <c r="AE7" s="108" t="s">
        <v>334</v>
      </c>
    </row>
    <row r="8" spans="1:31" s="11" customFormat="1" ht="21" customHeight="1">
      <c r="A8" s="37"/>
      <c r="B8" s="38"/>
      <c r="C8" s="38"/>
      <c r="D8" s="422"/>
      <c r="E8" s="423"/>
      <c r="F8" s="423"/>
      <c r="G8" s="423"/>
      <c r="H8" s="423"/>
      <c r="I8" s="423"/>
      <c r="J8" s="423"/>
      <c r="K8" s="423"/>
      <c r="L8" s="423"/>
      <c r="M8" s="97"/>
      <c r="N8" s="60"/>
      <c r="O8" s="366" t="s">
        <v>491</v>
      </c>
      <c r="P8" s="366"/>
      <c r="Q8" s="366"/>
      <c r="R8" s="366"/>
      <c r="S8" s="272"/>
      <c r="T8" s="269"/>
      <c r="U8" s="269"/>
      <c r="V8" s="269"/>
      <c r="W8" s="269"/>
      <c r="X8" s="269"/>
      <c r="Y8" s="269"/>
      <c r="Z8" s="269"/>
      <c r="AA8" s="331"/>
      <c r="AB8" s="331" t="s">
        <v>335</v>
      </c>
      <c r="AC8" s="332"/>
      <c r="AD8" s="388">
        <v>65584000</v>
      </c>
      <c r="AE8" s="333" t="s">
        <v>334</v>
      </c>
    </row>
    <row r="9" spans="1:31" s="11" customFormat="1" ht="21" customHeight="1">
      <c r="A9" s="37"/>
      <c r="B9" s="38"/>
      <c r="C9" s="38"/>
      <c r="D9" s="132"/>
      <c r="E9" s="97"/>
      <c r="F9" s="97"/>
      <c r="G9" s="97"/>
      <c r="H9" s="97"/>
      <c r="I9" s="97"/>
      <c r="J9" s="97"/>
      <c r="K9" s="97"/>
      <c r="L9" s="97"/>
      <c r="M9" s="97"/>
      <c r="N9" s="60"/>
      <c r="O9" s="366"/>
      <c r="P9" s="366"/>
      <c r="Q9" s="366"/>
      <c r="R9" s="366"/>
      <c r="S9" s="272"/>
      <c r="T9" s="269"/>
      <c r="U9" s="269"/>
      <c r="V9" s="269"/>
      <c r="W9" s="269"/>
      <c r="X9" s="269"/>
      <c r="Y9" s="269"/>
      <c r="Z9" s="269"/>
      <c r="AA9" s="331"/>
      <c r="AB9" s="331"/>
      <c r="AC9" s="332"/>
      <c r="AD9" s="388"/>
      <c r="AE9" s="333"/>
    </row>
    <row r="10" spans="1:31" s="11" customFormat="1" ht="21" customHeight="1">
      <c r="A10" s="37"/>
      <c r="B10" s="38"/>
      <c r="C10" s="28" t="s">
        <v>340</v>
      </c>
      <c r="D10" s="134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341</v>
      </c>
      <c r="P10" s="407"/>
      <c r="Q10" s="152"/>
      <c r="R10" s="152"/>
      <c r="S10" s="152"/>
      <c r="T10" s="151"/>
      <c r="U10" s="151"/>
      <c r="V10" s="149"/>
      <c r="W10" s="87" t="s">
        <v>342</v>
      </c>
      <c r="X10" s="87"/>
      <c r="Y10" s="87"/>
      <c r="Z10" s="87"/>
      <c r="AA10" s="87"/>
      <c r="AB10" s="87"/>
      <c r="AC10" s="107"/>
      <c r="AD10" s="107">
        <v>0</v>
      </c>
      <c r="AE10" s="108" t="s">
        <v>343</v>
      </c>
    </row>
    <row r="11" spans="1:31" s="11" customFormat="1" ht="21" customHeight="1">
      <c r="A11" s="37"/>
      <c r="B11" s="38"/>
      <c r="C11" s="38"/>
      <c r="D11" s="132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0"/>
      <c r="P11" s="150"/>
      <c r="Q11" s="150"/>
      <c r="R11" s="150"/>
      <c r="S11" s="150"/>
      <c r="T11" s="149"/>
      <c r="U11" s="149"/>
      <c r="V11" s="149"/>
      <c r="W11" s="149"/>
      <c r="X11" s="149"/>
      <c r="Y11" s="149"/>
      <c r="Z11" s="149"/>
      <c r="AA11" s="149"/>
      <c r="AB11" s="149"/>
      <c r="AC11" s="42"/>
      <c r="AD11" s="42"/>
      <c r="AE11" s="26"/>
    </row>
    <row r="12" spans="1:31" s="11" customFormat="1" ht="21" customHeight="1">
      <c r="A12" s="37"/>
      <c r="B12" s="38"/>
      <c r="C12" s="38"/>
      <c r="D12" s="132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88"/>
      <c r="P12" s="288"/>
      <c r="Q12" s="288"/>
      <c r="R12" s="288"/>
      <c r="S12" s="287"/>
      <c r="T12" s="287"/>
      <c r="U12" s="288"/>
      <c r="V12" s="287"/>
      <c r="W12" s="287"/>
      <c r="X12" s="288"/>
      <c r="Y12" s="81"/>
      <c r="Z12" s="287"/>
      <c r="AA12" s="287"/>
      <c r="AB12" s="287"/>
      <c r="AC12" s="58"/>
      <c r="AD12" s="287"/>
      <c r="AE12" s="47"/>
    </row>
    <row r="13" spans="1:31" s="11" customFormat="1" ht="21" customHeight="1">
      <c r="A13" s="37"/>
      <c r="B13" s="38"/>
      <c r="C13" s="28" t="s">
        <v>33</v>
      </c>
      <c r="D13" s="134">
        <v>26934</v>
      </c>
      <c r="E13" s="103">
        <f>ROUND(AD13/1000,0)</f>
        <v>27671</v>
      </c>
      <c r="F13" s="103">
        <f>SUMIF($AB$14:$AB$29,"보조",$AD$14:$AD$29)/1000</f>
        <v>27521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150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737</v>
      </c>
      <c r="N13" s="109">
        <f>IF(D13=0,0,M13/D13)</f>
        <v>2.736318407960199E-2</v>
      </c>
      <c r="O13" s="85" t="s">
        <v>34</v>
      </c>
      <c r="P13" s="407"/>
      <c r="Q13" s="152"/>
      <c r="R13" s="152"/>
      <c r="S13" s="152"/>
      <c r="T13" s="151"/>
      <c r="U13" s="151"/>
      <c r="V13" s="151"/>
      <c r="W13" s="406" t="s">
        <v>342</v>
      </c>
      <c r="X13" s="406"/>
      <c r="Y13" s="406"/>
      <c r="Z13" s="406"/>
      <c r="AA13" s="406"/>
      <c r="AB13" s="406"/>
      <c r="AC13" s="146"/>
      <c r="AD13" s="146">
        <f>명절휴가비+가족수당+연장근로수당+AD23+AD26</f>
        <v>27671000</v>
      </c>
      <c r="AE13" s="145" t="s">
        <v>334</v>
      </c>
    </row>
    <row r="14" spans="1:31" s="11" customFormat="1" ht="21" customHeight="1">
      <c r="A14" s="37"/>
      <c r="B14" s="38"/>
      <c r="C14" s="38"/>
      <c r="D14" s="420"/>
      <c r="E14" s="421"/>
      <c r="F14" s="421"/>
      <c r="G14" s="421"/>
      <c r="H14" s="421"/>
      <c r="I14" s="421"/>
      <c r="J14" s="421"/>
      <c r="K14" s="421"/>
      <c r="L14" s="421"/>
      <c r="M14" s="97"/>
      <c r="N14" s="60"/>
      <c r="O14" s="366" t="s">
        <v>344</v>
      </c>
      <c r="P14" s="272"/>
      <c r="Q14" s="272"/>
      <c r="R14" s="272"/>
      <c r="S14" s="272"/>
      <c r="T14" s="269"/>
      <c r="U14" s="269"/>
      <c r="V14" s="269"/>
      <c r="W14" s="331" t="s">
        <v>345</v>
      </c>
      <c r="X14" s="331"/>
      <c r="Y14" s="331"/>
      <c r="Z14" s="331"/>
      <c r="AA14" s="331"/>
      <c r="AB14" s="331"/>
      <c r="AC14" s="332" t="s">
        <v>346</v>
      </c>
      <c r="AD14" s="332">
        <f>AD15</f>
        <v>6529000</v>
      </c>
      <c r="AE14" s="333" t="s">
        <v>334</v>
      </c>
    </row>
    <row r="15" spans="1:31" s="11" customFormat="1" ht="21" customHeight="1">
      <c r="A15" s="37"/>
      <c r="B15" s="38"/>
      <c r="C15" s="38"/>
      <c r="D15" s="422"/>
      <c r="E15" s="423"/>
      <c r="F15" s="423"/>
      <c r="G15" s="423"/>
      <c r="H15" s="423"/>
      <c r="I15" s="423"/>
      <c r="J15" s="423"/>
      <c r="K15" s="423"/>
      <c r="L15" s="423"/>
      <c r="M15" s="97"/>
      <c r="N15" s="60"/>
      <c r="O15" s="272" t="s">
        <v>492</v>
      </c>
      <c r="P15" s="272"/>
      <c r="Q15" s="272"/>
      <c r="R15" s="272"/>
      <c r="S15" s="272"/>
      <c r="T15" s="269"/>
      <c r="U15" s="269"/>
      <c r="V15" s="269"/>
      <c r="W15" s="269"/>
      <c r="X15" s="269"/>
      <c r="Y15" s="269"/>
      <c r="Z15" s="269"/>
      <c r="AA15" s="269"/>
      <c r="AB15" s="269" t="s">
        <v>335</v>
      </c>
      <c r="AC15" s="273"/>
      <c r="AD15" s="120">
        <v>6529000</v>
      </c>
      <c r="AE15" s="291" t="s">
        <v>334</v>
      </c>
    </row>
    <row r="16" spans="1:31" s="11" customFormat="1" ht="21" customHeight="1">
      <c r="A16" s="37"/>
      <c r="B16" s="38"/>
      <c r="C16" s="38"/>
      <c r="D16" s="132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2"/>
      <c r="P16" s="272"/>
      <c r="Q16" s="272"/>
      <c r="R16" s="272"/>
      <c r="S16" s="272"/>
      <c r="T16" s="269"/>
      <c r="U16" s="269"/>
      <c r="V16" s="269"/>
      <c r="W16" s="269"/>
      <c r="X16" s="269"/>
      <c r="Y16" s="269"/>
      <c r="Z16" s="269"/>
      <c r="AA16" s="269"/>
      <c r="AB16" s="269"/>
      <c r="AC16" s="273"/>
      <c r="AD16" s="120"/>
      <c r="AE16" s="291"/>
    </row>
    <row r="17" spans="1:31" s="11" customFormat="1" ht="21" customHeight="1">
      <c r="A17" s="37"/>
      <c r="B17" s="38"/>
      <c r="C17" s="38"/>
      <c r="D17" s="132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66" t="s">
        <v>347</v>
      </c>
      <c r="P17" s="272"/>
      <c r="Q17" s="272"/>
      <c r="R17" s="272"/>
      <c r="S17" s="272"/>
      <c r="T17" s="269"/>
      <c r="U17" s="269"/>
      <c r="V17" s="269"/>
      <c r="W17" s="331" t="s">
        <v>345</v>
      </c>
      <c r="X17" s="331"/>
      <c r="Y17" s="331"/>
      <c r="Z17" s="331"/>
      <c r="AA17" s="331"/>
      <c r="AB17" s="331"/>
      <c r="AC17" s="332" t="s">
        <v>346</v>
      </c>
      <c r="AD17" s="332">
        <f>AD18</f>
        <v>2160000</v>
      </c>
      <c r="AE17" s="333" t="s">
        <v>334</v>
      </c>
    </row>
    <row r="18" spans="1:31" s="11" customFormat="1" ht="21" customHeight="1">
      <c r="A18" s="37"/>
      <c r="B18" s="38"/>
      <c r="C18" s="38"/>
      <c r="D18" s="132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2" t="s">
        <v>424</v>
      </c>
      <c r="P18" s="272"/>
      <c r="Q18" s="272"/>
      <c r="R18" s="272"/>
      <c r="S18" s="272"/>
      <c r="T18" s="269"/>
      <c r="U18" s="269"/>
      <c r="V18" s="269"/>
      <c r="W18" s="269"/>
      <c r="X18" s="269"/>
      <c r="Y18" s="269"/>
      <c r="Z18" s="269"/>
      <c r="AA18" s="269"/>
      <c r="AB18" s="269" t="s">
        <v>335</v>
      </c>
      <c r="AC18" s="273"/>
      <c r="AD18" s="273">
        <v>2160000</v>
      </c>
      <c r="AE18" s="291" t="s">
        <v>334</v>
      </c>
    </row>
    <row r="19" spans="1:31" s="11" customFormat="1" ht="21" customHeight="1">
      <c r="A19" s="37"/>
      <c r="B19" s="38"/>
      <c r="C19" s="38"/>
      <c r="D19" s="132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2"/>
      <c r="P19" s="272"/>
      <c r="Q19" s="272"/>
      <c r="R19" s="272"/>
      <c r="S19" s="272"/>
      <c r="T19" s="269"/>
      <c r="U19" s="269"/>
      <c r="V19" s="269"/>
      <c r="W19" s="269"/>
      <c r="X19" s="269"/>
      <c r="Y19" s="269"/>
      <c r="Z19" s="269"/>
      <c r="AA19" s="269"/>
      <c r="AB19" s="269"/>
      <c r="AC19" s="273"/>
      <c r="AD19" s="273"/>
      <c r="AE19" s="291"/>
    </row>
    <row r="20" spans="1:31" s="11" customFormat="1" ht="21" customHeight="1">
      <c r="A20" s="37"/>
      <c r="B20" s="38"/>
      <c r="C20" s="38"/>
      <c r="D20" s="132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66" t="s">
        <v>348</v>
      </c>
      <c r="P20" s="272"/>
      <c r="Q20" s="272"/>
      <c r="R20" s="272"/>
      <c r="S20" s="272"/>
      <c r="T20" s="269"/>
      <c r="U20" s="269"/>
      <c r="V20" s="269"/>
      <c r="W20" s="331" t="s">
        <v>345</v>
      </c>
      <c r="X20" s="331"/>
      <c r="Y20" s="331"/>
      <c r="Z20" s="331"/>
      <c r="AA20" s="331"/>
      <c r="AB20" s="331"/>
      <c r="AC20" s="332" t="s">
        <v>346</v>
      </c>
      <c r="AD20" s="332">
        <f>AD21</f>
        <v>14124000</v>
      </c>
      <c r="AE20" s="333" t="s">
        <v>334</v>
      </c>
    </row>
    <row r="21" spans="1:31" s="11" customFormat="1" ht="21" customHeight="1">
      <c r="A21" s="37"/>
      <c r="B21" s="38"/>
      <c r="C21" s="38"/>
      <c r="D21" s="132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2" t="s">
        <v>492</v>
      </c>
      <c r="P21" s="272"/>
      <c r="Q21" s="272"/>
      <c r="R21" s="272"/>
      <c r="S21" s="272"/>
      <c r="T21" s="269"/>
      <c r="U21" s="269"/>
      <c r="V21" s="269"/>
      <c r="W21" s="269"/>
      <c r="X21" s="269"/>
      <c r="Y21" s="269"/>
      <c r="Z21" s="269"/>
      <c r="AA21" s="269"/>
      <c r="AB21" s="269" t="s">
        <v>335</v>
      </c>
      <c r="AC21" s="273"/>
      <c r="AD21" s="120">
        <v>14124000</v>
      </c>
      <c r="AE21" s="291" t="s">
        <v>334</v>
      </c>
    </row>
    <row r="22" spans="1:31" s="11" customFormat="1" ht="21" customHeight="1">
      <c r="A22" s="37"/>
      <c r="B22" s="38"/>
      <c r="C22" s="38"/>
      <c r="D22" s="132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2"/>
      <c r="P22" s="272"/>
      <c r="Q22" s="272"/>
      <c r="R22" s="272"/>
      <c r="S22" s="272"/>
      <c r="T22" s="269"/>
      <c r="U22" s="269"/>
      <c r="V22" s="269"/>
      <c r="W22" s="269"/>
      <c r="X22" s="269"/>
      <c r="Y22" s="269"/>
      <c r="Z22" s="269"/>
      <c r="AA22" s="269"/>
      <c r="AB22" s="269"/>
      <c r="AC22" s="273"/>
      <c r="AD22" s="120"/>
      <c r="AE22" s="291"/>
    </row>
    <row r="23" spans="1:31" s="11" customFormat="1" ht="21" customHeight="1">
      <c r="A23" s="37"/>
      <c r="B23" s="38"/>
      <c r="C23" s="38"/>
      <c r="D23" s="132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66" t="s">
        <v>425</v>
      </c>
      <c r="P23" s="272"/>
      <c r="Q23" s="272"/>
      <c r="R23" s="272"/>
      <c r="S23" s="272"/>
      <c r="T23" s="269"/>
      <c r="U23" s="269"/>
      <c r="V23" s="269"/>
      <c r="W23" s="331" t="s">
        <v>345</v>
      </c>
      <c r="X23" s="331"/>
      <c r="Y23" s="331"/>
      <c r="Z23" s="331"/>
      <c r="AA23" s="331"/>
      <c r="AB23" s="331"/>
      <c r="AC23" s="332" t="s">
        <v>346</v>
      </c>
      <c r="AD23" s="332">
        <f>AD24</f>
        <v>4708000</v>
      </c>
      <c r="AE23" s="333" t="s">
        <v>334</v>
      </c>
    </row>
    <row r="24" spans="1:31" s="11" customFormat="1" ht="21" customHeight="1">
      <c r="A24" s="37"/>
      <c r="B24" s="38"/>
      <c r="C24" s="38"/>
      <c r="D24" s="132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2" t="s">
        <v>492</v>
      </c>
      <c r="P24" s="272"/>
      <c r="Q24" s="272"/>
      <c r="R24" s="272"/>
      <c r="S24" s="272"/>
      <c r="T24" s="269"/>
      <c r="U24" s="269"/>
      <c r="V24" s="269"/>
      <c r="W24" s="269"/>
      <c r="X24" s="269"/>
      <c r="Y24" s="269"/>
      <c r="Z24" s="269"/>
      <c r="AA24" s="269"/>
      <c r="AB24" s="269" t="s">
        <v>335</v>
      </c>
      <c r="AC24" s="273"/>
      <c r="AD24" s="120">
        <v>4708000</v>
      </c>
      <c r="AE24" s="291" t="s">
        <v>334</v>
      </c>
    </row>
    <row r="25" spans="1:31" s="11" customFormat="1" ht="21" customHeight="1">
      <c r="A25" s="37"/>
      <c r="B25" s="38"/>
      <c r="C25" s="38"/>
      <c r="D25" s="132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2"/>
      <c r="P25" s="272"/>
      <c r="Q25" s="272"/>
      <c r="R25" s="272"/>
      <c r="S25" s="272"/>
      <c r="T25" s="269"/>
      <c r="U25" s="269"/>
      <c r="V25" s="269"/>
      <c r="W25" s="269"/>
      <c r="X25" s="269"/>
      <c r="Y25" s="269"/>
      <c r="Z25" s="269"/>
      <c r="AA25" s="269"/>
      <c r="AB25" s="269"/>
      <c r="AC25" s="273"/>
      <c r="AD25" s="120"/>
      <c r="AE25" s="291"/>
    </row>
    <row r="26" spans="1:31" s="11" customFormat="1" ht="21" customHeight="1">
      <c r="A26" s="37"/>
      <c r="B26" s="38"/>
      <c r="C26" s="38"/>
      <c r="D26" s="132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66" t="s">
        <v>426</v>
      </c>
      <c r="P26" s="272"/>
      <c r="Q26" s="272"/>
      <c r="R26" s="272"/>
      <c r="S26" s="272"/>
      <c r="T26" s="269"/>
      <c r="U26" s="269"/>
      <c r="V26" s="269"/>
      <c r="W26" s="331" t="s">
        <v>345</v>
      </c>
      <c r="X26" s="331"/>
      <c r="Y26" s="331"/>
      <c r="Z26" s="331"/>
      <c r="AA26" s="331"/>
      <c r="AB26" s="331"/>
      <c r="AC26" s="332" t="s">
        <v>346</v>
      </c>
      <c r="AD26" s="332">
        <f>SUM(AD27:AD28)</f>
        <v>150000</v>
      </c>
      <c r="AE26" s="333" t="s">
        <v>334</v>
      </c>
    </row>
    <row r="27" spans="1:31" s="11" customFormat="1" ht="21" customHeight="1">
      <c r="A27" s="37"/>
      <c r="B27" s="38"/>
      <c r="C27" s="38"/>
      <c r="D27" s="132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2" t="s">
        <v>503</v>
      </c>
      <c r="P27" s="272"/>
      <c r="Q27" s="272"/>
      <c r="R27" s="272"/>
      <c r="S27" s="287"/>
      <c r="T27" s="287"/>
      <c r="U27" s="288"/>
      <c r="V27" s="287"/>
      <c r="W27" s="287"/>
      <c r="X27" s="288"/>
      <c r="Y27" s="290"/>
      <c r="Z27" s="403"/>
      <c r="AA27" s="403"/>
      <c r="AB27" s="269" t="s">
        <v>365</v>
      </c>
      <c r="AC27" s="273"/>
      <c r="AD27" s="120">
        <v>150000</v>
      </c>
      <c r="AE27" s="291" t="s">
        <v>334</v>
      </c>
    </row>
    <row r="28" spans="1:31" s="11" customFormat="1" ht="21" customHeight="1">
      <c r="A28" s="37"/>
      <c r="B28" s="38"/>
      <c r="C28" s="38"/>
      <c r="D28" s="132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2" t="s">
        <v>427</v>
      </c>
      <c r="P28" s="272"/>
      <c r="Q28" s="272"/>
      <c r="R28" s="272"/>
      <c r="S28" s="287"/>
      <c r="T28" s="287"/>
      <c r="U28" s="288"/>
      <c r="V28" s="287"/>
      <c r="W28" s="287"/>
      <c r="X28" s="288"/>
      <c r="Y28" s="290"/>
      <c r="Z28" s="403"/>
      <c r="AA28" s="403"/>
      <c r="AB28" s="269" t="s">
        <v>339</v>
      </c>
      <c r="AC28" s="273"/>
      <c r="AD28" s="120">
        <v>0</v>
      </c>
      <c r="AE28" s="291" t="s">
        <v>334</v>
      </c>
    </row>
    <row r="29" spans="1:31" s="11" customFormat="1" ht="21" customHeight="1">
      <c r="A29" s="37"/>
      <c r="B29" s="38"/>
      <c r="C29" s="38"/>
      <c r="D29" s="132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2"/>
      <c r="P29" s="272"/>
      <c r="Q29" s="272"/>
      <c r="R29" s="272"/>
      <c r="S29" s="269"/>
      <c r="T29" s="325"/>
      <c r="U29" s="367"/>
      <c r="V29" s="325"/>
      <c r="W29" s="368"/>
      <c r="X29" s="368"/>
      <c r="Y29" s="269"/>
      <c r="Z29" s="269"/>
      <c r="AA29" s="269"/>
      <c r="AB29" s="269"/>
      <c r="AC29" s="269"/>
      <c r="AD29" s="269"/>
      <c r="AE29" s="291"/>
    </row>
    <row r="30" spans="1:31" s="11" customFormat="1" ht="21" customHeight="1">
      <c r="A30" s="37"/>
      <c r="B30" s="38"/>
      <c r="C30" s="28" t="s">
        <v>9</v>
      </c>
      <c r="D30" s="134">
        <v>7539</v>
      </c>
      <c r="E30" s="103">
        <f>ROUND(AD30/1000,0)</f>
        <v>7759</v>
      </c>
      <c r="F30" s="103">
        <f>SUMIF($AB$31:$AB$37,"보조",$AD$31:$AD$37)/1000</f>
        <v>7759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220</v>
      </c>
      <c r="N30" s="109">
        <f>IF(D30=0,0,M30/D30)</f>
        <v>2.9181589070168459E-2</v>
      </c>
      <c r="O30" s="85" t="s">
        <v>35</v>
      </c>
      <c r="P30" s="407"/>
      <c r="Q30" s="152"/>
      <c r="R30" s="152"/>
      <c r="S30" s="152"/>
      <c r="T30" s="151"/>
      <c r="U30" s="151"/>
      <c r="V30" s="151"/>
      <c r="W30" s="406" t="s">
        <v>345</v>
      </c>
      <c r="X30" s="406"/>
      <c r="Y30" s="406"/>
      <c r="Z30" s="406"/>
      <c r="AA30" s="406"/>
      <c r="AB30" s="406"/>
      <c r="AC30" s="146" t="s">
        <v>346</v>
      </c>
      <c r="AD30" s="146">
        <f>SUM(AD31,AD34)</f>
        <v>7759000</v>
      </c>
      <c r="AE30" s="145" t="s">
        <v>334</v>
      </c>
    </row>
    <row r="31" spans="1:31" s="11" customFormat="1" ht="21" customHeight="1">
      <c r="A31" s="37"/>
      <c r="B31" s="38"/>
      <c r="C31" s="38"/>
      <c r="D31" s="420"/>
      <c r="E31" s="421"/>
      <c r="F31" s="421"/>
      <c r="G31" s="421"/>
      <c r="H31" s="421"/>
      <c r="I31" s="421"/>
      <c r="J31" s="421"/>
      <c r="K31" s="421"/>
      <c r="L31" s="421"/>
      <c r="M31" s="104"/>
      <c r="N31" s="60"/>
      <c r="O31" s="366" t="s">
        <v>428</v>
      </c>
      <c r="P31" s="272"/>
      <c r="Q31" s="272"/>
      <c r="R31" s="272"/>
      <c r="S31" s="272"/>
      <c r="T31" s="269"/>
      <c r="U31" s="269"/>
      <c r="V31" s="269"/>
      <c r="W31" s="331" t="s">
        <v>345</v>
      </c>
      <c r="X31" s="331"/>
      <c r="Y31" s="331"/>
      <c r="Z31" s="331"/>
      <c r="AA31" s="331"/>
      <c r="AB31" s="331"/>
      <c r="AC31" s="332"/>
      <c r="AD31" s="332">
        <f>SUM(AD32)</f>
        <v>7759000</v>
      </c>
      <c r="AE31" s="333" t="s">
        <v>334</v>
      </c>
    </row>
    <row r="32" spans="1:31" s="11" customFormat="1" ht="21" customHeight="1">
      <c r="A32" s="37"/>
      <c r="B32" s="38"/>
      <c r="C32" s="38"/>
      <c r="D32" s="422"/>
      <c r="E32" s="423"/>
      <c r="F32" s="423"/>
      <c r="G32" s="423"/>
      <c r="H32" s="423"/>
      <c r="I32" s="423"/>
      <c r="J32" s="423"/>
      <c r="K32" s="423"/>
      <c r="L32" s="423"/>
      <c r="M32" s="104"/>
      <c r="N32" s="60"/>
      <c r="O32" s="272" t="s">
        <v>493</v>
      </c>
      <c r="P32" s="272"/>
      <c r="Q32" s="272"/>
      <c r="R32" s="272"/>
      <c r="S32" s="269">
        <f>SUM(AD8,AD15,AD18,AD21,AD23)</f>
        <v>93105000</v>
      </c>
      <c r="T32" s="322" t="s">
        <v>334</v>
      </c>
      <c r="U32" s="322" t="s">
        <v>349</v>
      </c>
      <c r="V32" s="369">
        <v>12</v>
      </c>
      <c r="W32" s="321" t="s">
        <v>337</v>
      </c>
      <c r="X32" s="269"/>
      <c r="Y32" s="269"/>
      <c r="Z32" s="269"/>
      <c r="AA32" s="269" t="s">
        <v>338</v>
      </c>
      <c r="AB32" s="269" t="s">
        <v>335</v>
      </c>
      <c r="AC32" s="273"/>
      <c r="AD32" s="120">
        <f>ROUNDUP(S32/V32,-3)</f>
        <v>7759000</v>
      </c>
      <c r="AE32" s="291" t="s">
        <v>334</v>
      </c>
    </row>
    <row r="33" spans="1:31" s="11" customFormat="1" ht="21" customHeight="1">
      <c r="A33" s="37"/>
      <c r="B33" s="38"/>
      <c r="C33" s="38"/>
      <c r="D33" s="135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2"/>
      <c r="P33" s="272"/>
      <c r="Q33" s="272"/>
      <c r="R33" s="272"/>
      <c r="S33" s="269"/>
      <c r="T33" s="322"/>
      <c r="U33" s="322"/>
      <c r="V33" s="369"/>
      <c r="W33" s="321"/>
      <c r="X33" s="269"/>
      <c r="Y33" s="269"/>
      <c r="Z33" s="269"/>
      <c r="AA33" s="269"/>
      <c r="AB33" s="269"/>
      <c r="AC33" s="273"/>
      <c r="AD33" s="120"/>
      <c r="AE33" s="291"/>
    </row>
    <row r="34" spans="1:31" s="11" customFormat="1" ht="21" customHeight="1">
      <c r="A34" s="37"/>
      <c r="B34" s="38"/>
      <c r="C34" s="38"/>
      <c r="D34" s="135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66" t="s">
        <v>429</v>
      </c>
      <c r="P34" s="272"/>
      <c r="Q34" s="272"/>
      <c r="R34" s="272"/>
      <c r="S34" s="272"/>
      <c r="T34" s="269"/>
      <c r="U34" s="269"/>
      <c r="V34" s="269"/>
      <c r="W34" s="331" t="s">
        <v>350</v>
      </c>
      <c r="X34" s="331"/>
      <c r="Y34" s="331"/>
      <c r="Z34" s="331"/>
      <c r="AA34" s="331"/>
      <c r="AB34" s="331"/>
      <c r="AC34" s="332" t="s">
        <v>351</v>
      </c>
      <c r="AD34" s="332">
        <f>SUM(AD35:AD36)</f>
        <v>0</v>
      </c>
      <c r="AE34" s="333" t="s">
        <v>352</v>
      </c>
    </row>
    <row r="35" spans="1:31" s="11" customFormat="1" ht="21" customHeight="1">
      <c r="A35" s="37"/>
      <c r="B35" s="38"/>
      <c r="C35" s="38"/>
      <c r="D35" s="135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10" t="s">
        <v>430</v>
      </c>
      <c r="P35" s="410"/>
      <c r="Q35" s="410"/>
      <c r="R35" s="410"/>
      <c r="S35" s="409">
        <v>0</v>
      </c>
      <c r="T35" s="284" t="s">
        <v>334</v>
      </c>
      <c r="U35" s="284" t="s">
        <v>349</v>
      </c>
      <c r="V35" s="424">
        <v>12</v>
      </c>
      <c r="W35" s="376" t="s">
        <v>337</v>
      </c>
      <c r="X35" s="409"/>
      <c r="Y35" s="409"/>
      <c r="Z35" s="409"/>
      <c r="AA35" s="409" t="s">
        <v>338</v>
      </c>
      <c r="AB35" s="409" t="s">
        <v>339</v>
      </c>
      <c r="AC35" s="120"/>
      <c r="AD35" s="120">
        <f>ROUNDUP(S35/V35,-3)</f>
        <v>0</v>
      </c>
      <c r="AE35" s="121" t="s">
        <v>334</v>
      </c>
    </row>
    <row r="36" spans="1:31" s="11" customFormat="1" ht="21" customHeight="1">
      <c r="A36" s="37"/>
      <c r="B36" s="38"/>
      <c r="C36" s="38"/>
      <c r="D36" s="135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10" t="s">
        <v>353</v>
      </c>
      <c r="P36" s="410"/>
      <c r="Q36" s="410"/>
      <c r="R36" s="410"/>
      <c r="S36" s="409">
        <f>($K$7+$K$13)*1000</f>
        <v>0</v>
      </c>
      <c r="T36" s="284" t="s">
        <v>334</v>
      </c>
      <c r="U36" s="284" t="s">
        <v>349</v>
      </c>
      <c r="V36" s="424">
        <v>12</v>
      </c>
      <c r="W36" s="376" t="s">
        <v>337</v>
      </c>
      <c r="X36" s="409"/>
      <c r="Y36" s="409"/>
      <c r="Z36" s="409"/>
      <c r="AA36" s="409" t="s">
        <v>338</v>
      </c>
      <c r="AB36" s="409" t="s">
        <v>339</v>
      </c>
      <c r="AC36" s="120"/>
      <c r="AD36" s="120">
        <f>ROUND(S36/V36,-3)</f>
        <v>0</v>
      </c>
      <c r="AE36" s="121" t="s">
        <v>334</v>
      </c>
    </row>
    <row r="37" spans="1:31" s="11" customFormat="1" ht="21" customHeight="1">
      <c r="A37" s="37"/>
      <c r="B37" s="38"/>
      <c r="C37" s="38"/>
      <c r="D37" s="136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88"/>
      <c r="P37" s="150"/>
      <c r="Q37" s="150"/>
      <c r="R37" s="150"/>
      <c r="S37" s="150"/>
      <c r="T37" s="149"/>
      <c r="U37" s="149"/>
      <c r="V37" s="149"/>
      <c r="W37" s="149"/>
      <c r="X37" s="149"/>
      <c r="Y37" s="149"/>
      <c r="Z37" s="149"/>
      <c r="AA37" s="149"/>
      <c r="AB37" s="409"/>
      <c r="AC37" s="42"/>
      <c r="AD37" s="58"/>
      <c r="AE37" s="26"/>
    </row>
    <row r="38" spans="1:31" s="11" customFormat="1" ht="21" customHeight="1">
      <c r="A38" s="37"/>
      <c r="B38" s="38"/>
      <c r="C38" s="111" t="s">
        <v>354</v>
      </c>
      <c r="D38" s="134">
        <v>9418</v>
      </c>
      <c r="E38" s="103">
        <f>ROUND(AD38/1000,0)</f>
        <v>9698</v>
      </c>
      <c r="F38" s="103">
        <f>SUMIF($AB$39:$AB$56,"보조",$AD$39:$AD$56)/1000</f>
        <v>9698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280</v>
      </c>
      <c r="N38" s="109">
        <f>IF(D38=0,0,M38/D38)</f>
        <v>2.9730303673816096E-2</v>
      </c>
      <c r="O38" s="85" t="s">
        <v>36</v>
      </c>
      <c r="P38" s="407"/>
      <c r="Q38" s="152"/>
      <c r="R38" s="152"/>
      <c r="S38" s="152"/>
      <c r="T38" s="151"/>
      <c r="U38" s="151"/>
      <c r="V38" s="151"/>
      <c r="W38" s="406" t="s">
        <v>355</v>
      </c>
      <c r="X38" s="406"/>
      <c r="Y38" s="406"/>
      <c r="Z38" s="406"/>
      <c r="AA38" s="406"/>
      <c r="AB38" s="406"/>
      <c r="AC38" s="146"/>
      <c r="AD38" s="146">
        <f>SUM(AD40,AD43,AD46,AD49,AD52,AD55)</f>
        <v>9698000</v>
      </c>
      <c r="AE38" s="145" t="s">
        <v>25</v>
      </c>
    </row>
    <row r="39" spans="1:31" s="11" customFormat="1" ht="21" customHeight="1">
      <c r="A39" s="37"/>
      <c r="B39" s="38"/>
      <c r="C39" s="38" t="s">
        <v>356</v>
      </c>
      <c r="D39" s="420"/>
      <c r="E39" s="421"/>
      <c r="F39" s="421"/>
      <c r="G39" s="421"/>
      <c r="H39" s="421"/>
      <c r="I39" s="421"/>
      <c r="J39" s="421"/>
      <c r="K39" s="421"/>
      <c r="L39" s="421"/>
      <c r="M39" s="104"/>
      <c r="N39" s="60"/>
      <c r="O39" s="150"/>
      <c r="P39" s="150"/>
      <c r="Q39" s="150"/>
      <c r="R39" s="150"/>
      <c r="S39" s="150"/>
      <c r="T39" s="149"/>
      <c r="U39" s="149"/>
      <c r="V39" s="149"/>
      <c r="W39" s="149"/>
      <c r="X39" s="149"/>
      <c r="Y39" s="149"/>
      <c r="Z39" s="149"/>
      <c r="AA39" s="149"/>
      <c r="AB39" s="149"/>
      <c r="AC39" s="42"/>
      <c r="AD39" s="42"/>
      <c r="AE39" s="26"/>
    </row>
    <row r="40" spans="1:31" s="11" customFormat="1" ht="21" customHeight="1">
      <c r="A40" s="37"/>
      <c r="B40" s="38"/>
      <c r="C40" s="38"/>
      <c r="D40" s="422"/>
      <c r="E40" s="423"/>
      <c r="F40" s="423"/>
      <c r="G40" s="423"/>
      <c r="H40" s="423"/>
      <c r="I40" s="423"/>
      <c r="J40" s="423"/>
      <c r="K40" s="423"/>
      <c r="L40" s="423"/>
      <c r="M40" s="104"/>
      <c r="N40" s="60"/>
      <c r="O40" s="366" t="s">
        <v>357</v>
      </c>
      <c r="P40" s="272"/>
      <c r="Q40" s="272"/>
      <c r="R40" s="272"/>
      <c r="S40" s="272"/>
      <c r="T40" s="269"/>
      <c r="U40" s="269"/>
      <c r="V40" s="269"/>
      <c r="W40" s="331" t="s">
        <v>345</v>
      </c>
      <c r="X40" s="331"/>
      <c r="Y40" s="331"/>
      <c r="Z40" s="331"/>
      <c r="AA40" s="331"/>
      <c r="AB40" s="331"/>
      <c r="AC40" s="332"/>
      <c r="AD40" s="332">
        <f>ROUND(SUM(AD41:AD42),-3)</f>
        <v>4190000</v>
      </c>
      <c r="AE40" s="333" t="s">
        <v>334</v>
      </c>
    </row>
    <row r="41" spans="1:31" s="11" customFormat="1" ht="21" customHeight="1">
      <c r="A41" s="37"/>
      <c r="B41" s="38"/>
      <c r="C41" s="38"/>
      <c r="D41" s="132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2" t="s">
        <v>492</v>
      </c>
      <c r="P41" s="272"/>
      <c r="Q41" s="272"/>
      <c r="R41" s="272"/>
      <c r="S41" s="269">
        <f>S32</f>
        <v>93105000</v>
      </c>
      <c r="T41" s="322" t="s">
        <v>334</v>
      </c>
      <c r="U41" s="321" t="s">
        <v>336</v>
      </c>
      <c r="V41" s="370">
        <v>0.09</v>
      </c>
      <c r="W41" s="322" t="s">
        <v>349</v>
      </c>
      <c r="X41" s="371">
        <v>2</v>
      </c>
      <c r="Y41" s="324"/>
      <c r="Z41" s="324"/>
      <c r="AA41" s="322" t="s">
        <v>338</v>
      </c>
      <c r="AB41" s="269" t="s">
        <v>335</v>
      </c>
      <c r="AC41" s="273"/>
      <c r="AD41" s="120">
        <f>ROUNDUP(S41*V41/X41,-3)</f>
        <v>4190000</v>
      </c>
      <c r="AE41" s="291" t="s">
        <v>334</v>
      </c>
    </row>
    <row r="42" spans="1:31" s="11" customFormat="1" ht="21" customHeight="1">
      <c r="A42" s="37"/>
      <c r="B42" s="38"/>
      <c r="C42" s="38"/>
      <c r="D42" s="132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2"/>
      <c r="P42" s="272"/>
      <c r="Q42" s="272"/>
      <c r="R42" s="272"/>
      <c r="S42" s="269"/>
      <c r="T42" s="322"/>
      <c r="U42" s="321"/>
      <c r="V42" s="370"/>
      <c r="W42" s="322"/>
      <c r="X42" s="371"/>
      <c r="Y42" s="324"/>
      <c r="Z42" s="324"/>
      <c r="AA42" s="322"/>
      <c r="AB42" s="269"/>
      <c r="AC42" s="273"/>
      <c r="AD42" s="120"/>
      <c r="AE42" s="291"/>
    </row>
    <row r="43" spans="1:31" s="11" customFormat="1" ht="21" customHeight="1">
      <c r="A43" s="37"/>
      <c r="B43" s="38"/>
      <c r="C43" s="38"/>
      <c r="D43" s="132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66" t="s">
        <v>358</v>
      </c>
      <c r="P43" s="272"/>
      <c r="Q43" s="272"/>
      <c r="R43" s="272"/>
      <c r="S43" s="272"/>
      <c r="T43" s="269"/>
      <c r="U43" s="269"/>
      <c r="V43" s="269"/>
      <c r="W43" s="331" t="s">
        <v>345</v>
      </c>
      <c r="X43" s="331"/>
      <c r="Y43" s="331"/>
      <c r="Z43" s="331"/>
      <c r="AA43" s="331"/>
      <c r="AB43" s="331"/>
      <c r="AC43" s="332" t="s">
        <v>346</v>
      </c>
      <c r="AD43" s="332">
        <f>ROUND(SUM(AD44:AD45),-3)</f>
        <v>3301000</v>
      </c>
      <c r="AE43" s="333" t="s">
        <v>334</v>
      </c>
    </row>
    <row r="44" spans="1:31" s="11" customFormat="1" ht="21" customHeight="1">
      <c r="A44" s="37"/>
      <c r="B44" s="38"/>
      <c r="C44" s="38"/>
      <c r="D44" s="132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2" t="s">
        <v>492</v>
      </c>
      <c r="P44" s="272"/>
      <c r="Q44" s="272"/>
      <c r="R44" s="272"/>
      <c r="S44" s="269">
        <f>S41</f>
        <v>93105000</v>
      </c>
      <c r="T44" s="322" t="s">
        <v>334</v>
      </c>
      <c r="U44" s="321" t="s">
        <v>336</v>
      </c>
      <c r="V44" s="372">
        <v>7.0900000000000005E-2</v>
      </c>
      <c r="W44" s="322" t="s">
        <v>349</v>
      </c>
      <c r="X44" s="373">
        <v>2</v>
      </c>
      <c r="Y44" s="324"/>
      <c r="Z44" s="324"/>
      <c r="AA44" s="322" t="s">
        <v>338</v>
      </c>
      <c r="AB44" s="269" t="s">
        <v>335</v>
      </c>
      <c r="AC44" s="273"/>
      <c r="AD44" s="120">
        <f>ROUNDUP(S44*V44/X44,-3)</f>
        <v>3301000</v>
      </c>
      <c r="AE44" s="291" t="s">
        <v>334</v>
      </c>
    </row>
    <row r="45" spans="1:31" s="11" customFormat="1" ht="21" customHeight="1">
      <c r="A45" s="37"/>
      <c r="B45" s="38"/>
      <c r="C45" s="38"/>
      <c r="D45" s="132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2"/>
      <c r="P45" s="272"/>
      <c r="Q45" s="272"/>
      <c r="R45" s="272"/>
      <c r="S45" s="269"/>
      <c r="T45" s="269"/>
      <c r="U45" s="322"/>
      <c r="V45" s="372"/>
      <c r="W45" s="269"/>
      <c r="X45" s="322"/>
      <c r="Y45" s="269"/>
      <c r="Z45" s="269"/>
      <c r="AA45" s="269"/>
      <c r="AB45" s="269"/>
      <c r="AC45" s="273"/>
      <c r="AD45" s="120"/>
      <c r="AE45" s="291"/>
    </row>
    <row r="46" spans="1:31" s="11" customFormat="1" ht="21" customHeight="1">
      <c r="A46" s="37"/>
      <c r="B46" s="38"/>
      <c r="C46" s="38"/>
      <c r="D46" s="132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66" t="s">
        <v>359</v>
      </c>
      <c r="P46" s="272"/>
      <c r="Q46" s="272"/>
      <c r="R46" s="272"/>
      <c r="S46" s="272"/>
      <c r="T46" s="269"/>
      <c r="U46" s="269"/>
      <c r="V46" s="269"/>
      <c r="W46" s="331" t="s">
        <v>345</v>
      </c>
      <c r="X46" s="331"/>
      <c r="Y46" s="331"/>
      <c r="Z46" s="331"/>
      <c r="AA46" s="331"/>
      <c r="AB46" s="331"/>
      <c r="AC46" s="332" t="s">
        <v>346</v>
      </c>
      <c r="AD46" s="332">
        <f>ROUND(SUM(AD47:AD48),-3)</f>
        <v>428000</v>
      </c>
      <c r="AE46" s="333" t="s">
        <v>334</v>
      </c>
    </row>
    <row r="47" spans="1:31" s="11" customFormat="1" ht="21" customHeight="1">
      <c r="A47" s="37"/>
      <c r="B47" s="38"/>
      <c r="C47" s="38"/>
      <c r="D47" s="132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2" t="s">
        <v>492</v>
      </c>
      <c r="P47" s="272"/>
      <c r="Q47" s="272"/>
      <c r="R47" s="272"/>
      <c r="S47" s="374">
        <f>AD44</f>
        <v>3301000</v>
      </c>
      <c r="T47" s="322" t="s">
        <v>334</v>
      </c>
      <c r="U47" s="321" t="s">
        <v>336</v>
      </c>
      <c r="V47" s="372">
        <v>0.1295</v>
      </c>
      <c r="W47" s="321"/>
      <c r="X47" s="323"/>
      <c r="Y47" s="324"/>
      <c r="Z47" s="324"/>
      <c r="AA47" s="322" t="s">
        <v>338</v>
      </c>
      <c r="AB47" s="269" t="s">
        <v>335</v>
      </c>
      <c r="AC47" s="273"/>
      <c r="AD47" s="120">
        <f>ROUNDUP(S47*V47,-3)</f>
        <v>428000</v>
      </c>
      <c r="AE47" s="291" t="s">
        <v>334</v>
      </c>
    </row>
    <row r="48" spans="1:31" s="11" customFormat="1" ht="21" customHeight="1">
      <c r="A48" s="37"/>
      <c r="B48" s="38"/>
      <c r="C48" s="38"/>
      <c r="D48" s="132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2"/>
      <c r="P48" s="272"/>
      <c r="Q48" s="272"/>
      <c r="R48" s="272"/>
      <c r="S48" s="374"/>
      <c r="T48" s="322"/>
      <c r="U48" s="321"/>
      <c r="V48" s="372"/>
      <c r="W48" s="321"/>
      <c r="X48" s="323"/>
      <c r="Y48" s="324"/>
      <c r="Z48" s="324"/>
      <c r="AA48" s="322"/>
      <c r="AB48" s="269"/>
      <c r="AC48" s="273"/>
      <c r="AD48" s="120"/>
      <c r="AE48" s="291"/>
    </row>
    <row r="49" spans="1:31" s="11" customFormat="1" ht="21" customHeight="1">
      <c r="A49" s="37"/>
      <c r="B49" s="38"/>
      <c r="C49" s="38"/>
      <c r="D49" s="132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66" t="s">
        <v>360</v>
      </c>
      <c r="P49" s="272"/>
      <c r="Q49" s="272"/>
      <c r="R49" s="272"/>
      <c r="S49" s="272"/>
      <c r="T49" s="269"/>
      <c r="U49" s="269"/>
      <c r="V49" s="269"/>
      <c r="W49" s="331" t="s">
        <v>345</v>
      </c>
      <c r="X49" s="331"/>
      <c r="Y49" s="331"/>
      <c r="Z49" s="331"/>
      <c r="AA49" s="331"/>
      <c r="AB49" s="331"/>
      <c r="AC49" s="332" t="s">
        <v>346</v>
      </c>
      <c r="AD49" s="332">
        <f>ROUND(SUM(AD50:AD51),-3)</f>
        <v>1071000</v>
      </c>
      <c r="AE49" s="333" t="s">
        <v>334</v>
      </c>
    </row>
    <row r="50" spans="1:31" s="11" customFormat="1" ht="21" customHeight="1">
      <c r="A50" s="37"/>
      <c r="B50" s="38"/>
      <c r="C50" s="38"/>
      <c r="D50" s="132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2" t="s">
        <v>492</v>
      </c>
      <c r="P50" s="272"/>
      <c r="Q50" s="272"/>
      <c r="R50" s="272"/>
      <c r="S50" s="269">
        <f>S44</f>
        <v>93105000</v>
      </c>
      <c r="T50" s="322" t="s">
        <v>334</v>
      </c>
      <c r="U50" s="321" t="s">
        <v>336</v>
      </c>
      <c r="V50" s="372">
        <v>1.15E-2</v>
      </c>
      <c r="W50" s="321"/>
      <c r="X50" s="323"/>
      <c r="Y50" s="324"/>
      <c r="Z50" s="324"/>
      <c r="AA50" s="322" t="s">
        <v>338</v>
      </c>
      <c r="AB50" s="269" t="s">
        <v>335</v>
      </c>
      <c r="AC50" s="273"/>
      <c r="AD50" s="120">
        <f>ROUNDUP(S50*V50,-3)</f>
        <v>1071000</v>
      </c>
      <c r="AE50" s="291" t="s">
        <v>334</v>
      </c>
    </row>
    <row r="51" spans="1:31" s="11" customFormat="1" ht="21" customHeight="1">
      <c r="A51" s="37"/>
      <c r="B51" s="38"/>
      <c r="C51" s="38"/>
      <c r="D51" s="132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2"/>
      <c r="P51" s="272"/>
      <c r="Q51" s="272"/>
      <c r="R51" s="272"/>
      <c r="S51" s="269"/>
      <c r="T51" s="322"/>
      <c r="U51" s="321"/>
      <c r="V51" s="372"/>
      <c r="W51" s="321"/>
      <c r="X51" s="323"/>
      <c r="Y51" s="324"/>
      <c r="Z51" s="324"/>
      <c r="AA51" s="322"/>
      <c r="AB51" s="269"/>
      <c r="AC51" s="273"/>
      <c r="AD51" s="120"/>
      <c r="AE51" s="291"/>
    </row>
    <row r="52" spans="1:31" s="11" customFormat="1" ht="21" customHeight="1">
      <c r="A52" s="37"/>
      <c r="B52" s="38"/>
      <c r="C52" s="38"/>
      <c r="D52" s="132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66" t="s">
        <v>361</v>
      </c>
      <c r="P52" s="272"/>
      <c r="Q52" s="272"/>
      <c r="R52" s="272"/>
      <c r="S52" s="272"/>
      <c r="T52" s="269"/>
      <c r="U52" s="269"/>
      <c r="V52" s="269"/>
      <c r="W52" s="331" t="s">
        <v>345</v>
      </c>
      <c r="X52" s="331"/>
      <c r="Y52" s="331"/>
      <c r="Z52" s="331"/>
      <c r="AA52" s="331"/>
      <c r="AB52" s="331"/>
      <c r="AC52" s="332" t="s">
        <v>346</v>
      </c>
      <c r="AD52" s="332">
        <f>ROUND(SUM(AD53:AD54),-3)</f>
        <v>708000</v>
      </c>
      <c r="AE52" s="333" t="s">
        <v>334</v>
      </c>
    </row>
    <row r="53" spans="1:31" s="11" customFormat="1" ht="21" customHeight="1">
      <c r="A53" s="37"/>
      <c r="B53" s="38"/>
      <c r="C53" s="38"/>
      <c r="D53" s="132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2" t="s">
        <v>492</v>
      </c>
      <c r="P53" s="272"/>
      <c r="Q53" s="272"/>
      <c r="R53" s="272"/>
      <c r="S53" s="269">
        <f>S50</f>
        <v>93105000</v>
      </c>
      <c r="T53" s="322" t="s">
        <v>334</v>
      </c>
      <c r="U53" s="321" t="s">
        <v>336</v>
      </c>
      <c r="V53" s="375">
        <v>7.6E-3</v>
      </c>
      <c r="W53" s="321"/>
      <c r="X53" s="323"/>
      <c r="Y53" s="324"/>
      <c r="Z53" s="324"/>
      <c r="AA53" s="322" t="s">
        <v>338</v>
      </c>
      <c r="AB53" s="269" t="s">
        <v>335</v>
      </c>
      <c r="AC53" s="273"/>
      <c r="AD53" s="120">
        <f>ROUNDUP(S53*V53,-3)</f>
        <v>708000</v>
      </c>
      <c r="AE53" s="291" t="s">
        <v>334</v>
      </c>
    </row>
    <row r="54" spans="1:31" s="11" customFormat="1" ht="21" customHeight="1">
      <c r="A54" s="37"/>
      <c r="B54" s="38"/>
      <c r="C54" s="38"/>
      <c r="D54" s="132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2"/>
      <c r="P54" s="272"/>
      <c r="Q54" s="272"/>
      <c r="R54" s="272"/>
      <c r="S54" s="269"/>
      <c r="T54" s="322"/>
      <c r="U54" s="321"/>
      <c r="V54" s="375"/>
      <c r="W54" s="321"/>
      <c r="X54" s="323"/>
      <c r="Y54" s="324"/>
      <c r="Z54" s="324"/>
      <c r="AA54" s="322"/>
      <c r="AB54" s="269"/>
      <c r="AC54" s="273"/>
      <c r="AD54" s="120"/>
      <c r="AE54" s="291"/>
    </row>
    <row r="55" spans="1:31" s="11" customFormat="1" ht="21" customHeight="1">
      <c r="A55" s="37"/>
      <c r="B55" s="38"/>
      <c r="C55" s="38"/>
      <c r="D55" s="132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30" t="s">
        <v>431</v>
      </c>
      <c r="P55" s="272"/>
      <c r="Q55" s="272"/>
      <c r="R55" s="272"/>
      <c r="S55" s="269"/>
      <c r="T55" s="322"/>
      <c r="U55" s="321"/>
      <c r="V55" s="375"/>
      <c r="W55" s="440"/>
      <c r="X55" s="441"/>
      <c r="Y55" s="442"/>
      <c r="Z55" s="442"/>
      <c r="AA55" s="364"/>
      <c r="AB55" s="331" t="s">
        <v>339</v>
      </c>
      <c r="AC55" s="332"/>
      <c r="AD55" s="388">
        <v>0</v>
      </c>
      <c r="AE55" s="333" t="s">
        <v>334</v>
      </c>
    </row>
    <row r="56" spans="1:31" s="11" customFormat="1" ht="21" customHeight="1">
      <c r="A56" s="37"/>
      <c r="B56" s="38"/>
      <c r="C56" s="38"/>
      <c r="D56" s="132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2"/>
      <c r="P56" s="272"/>
      <c r="Q56" s="272"/>
      <c r="R56" s="272"/>
      <c r="S56" s="272"/>
      <c r="T56" s="269"/>
      <c r="U56" s="269"/>
      <c r="V56" s="269"/>
      <c r="W56" s="269"/>
      <c r="X56" s="269"/>
      <c r="Y56" s="269"/>
      <c r="Z56" s="269"/>
      <c r="AA56" s="269"/>
      <c r="AB56" s="269"/>
      <c r="AC56" s="273"/>
      <c r="AD56" s="273"/>
      <c r="AE56" s="291"/>
    </row>
    <row r="57" spans="1:31" s="11" customFormat="1" ht="21" customHeight="1">
      <c r="A57" s="37"/>
      <c r="B57" s="38"/>
      <c r="C57" s="28" t="s">
        <v>362</v>
      </c>
      <c r="D57" s="134">
        <v>500</v>
      </c>
      <c r="E57" s="103">
        <f>ROUND(AD57/1000,0)</f>
        <v>500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200</v>
      </c>
      <c r="J57" s="103">
        <f>SUMIF($AB$58:$AB$61,"입소",$AD$58:$AD$61)/1000</f>
        <v>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0</v>
      </c>
      <c r="N57" s="109">
        <f>IF(D57=0,0,M57/D57)</f>
        <v>0</v>
      </c>
      <c r="O57" s="85" t="s">
        <v>363</v>
      </c>
      <c r="P57" s="407"/>
      <c r="Q57" s="152"/>
      <c r="R57" s="152"/>
      <c r="S57" s="152"/>
      <c r="T57" s="151"/>
      <c r="U57" s="151"/>
      <c r="V57" s="151"/>
      <c r="W57" s="406" t="s">
        <v>355</v>
      </c>
      <c r="X57" s="406"/>
      <c r="Y57" s="406"/>
      <c r="Z57" s="406"/>
      <c r="AA57" s="406"/>
      <c r="AB57" s="406"/>
      <c r="AC57" s="146"/>
      <c r="AD57" s="146">
        <f>SUM(AD58:AD60)</f>
        <v>500000</v>
      </c>
      <c r="AE57" s="145" t="s">
        <v>25</v>
      </c>
    </row>
    <row r="58" spans="1:31" s="11" customFormat="1" ht="21" customHeight="1">
      <c r="A58" s="37"/>
      <c r="B58" s="38"/>
      <c r="C58" s="38"/>
      <c r="D58" s="420"/>
      <c r="E58" s="421"/>
      <c r="F58" s="421"/>
      <c r="G58" s="421"/>
      <c r="H58" s="421"/>
      <c r="I58" s="421"/>
      <c r="J58" s="421"/>
      <c r="K58" s="421"/>
      <c r="L58" s="421"/>
      <c r="M58" s="97"/>
      <c r="N58" s="60"/>
      <c r="O58" s="450" t="s">
        <v>364</v>
      </c>
      <c r="P58" s="450"/>
      <c r="Q58" s="450"/>
      <c r="R58" s="450"/>
      <c r="S58" s="449"/>
      <c r="T58" s="449"/>
      <c r="U58" s="376"/>
      <c r="V58" s="449"/>
      <c r="W58" s="449"/>
      <c r="X58" s="376"/>
      <c r="Y58" s="449"/>
      <c r="Z58" s="449"/>
      <c r="AA58" s="449"/>
      <c r="AB58" s="449" t="s">
        <v>309</v>
      </c>
      <c r="AC58" s="377"/>
      <c r="AD58" s="449">
        <v>300000</v>
      </c>
      <c r="AE58" s="378" t="s">
        <v>25</v>
      </c>
    </row>
    <row r="59" spans="1:31" s="11" customFormat="1" ht="21" customHeight="1">
      <c r="A59" s="37"/>
      <c r="B59" s="38"/>
      <c r="C59" s="38"/>
      <c r="D59" s="422"/>
      <c r="E59" s="423"/>
      <c r="F59" s="423"/>
      <c r="G59" s="423"/>
      <c r="H59" s="423"/>
      <c r="I59" s="423"/>
      <c r="J59" s="423"/>
      <c r="K59" s="423"/>
      <c r="L59" s="423"/>
      <c r="M59" s="97"/>
      <c r="N59" s="60"/>
      <c r="O59" s="450" t="s">
        <v>501</v>
      </c>
      <c r="P59" s="383"/>
      <c r="Q59" s="450"/>
      <c r="R59" s="450"/>
      <c r="S59" s="287">
        <v>50000</v>
      </c>
      <c r="T59" s="44" t="s">
        <v>56</v>
      </c>
      <c r="U59" s="234">
        <v>2</v>
      </c>
      <c r="V59" s="287" t="s">
        <v>55</v>
      </c>
      <c r="W59" s="64"/>
      <c r="X59" s="64"/>
      <c r="Y59" s="67"/>
      <c r="Z59" s="65"/>
      <c r="AA59" s="465" t="s">
        <v>53</v>
      </c>
      <c r="AB59" s="287" t="s">
        <v>365</v>
      </c>
      <c r="AC59" s="58"/>
      <c r="AD59" s="58">
        <v>100000</v>
      </c>
      <c r="AE59" s="121" t="s">
        <v>56</v>
      </c>
    </row>
    <row r="60" spans="1:31" s="11" customFormat="1" ht="21" customHeight="1">
      <c r="A60" s="37"/>
      <c r="B60" s="38"/>
      <c r="C60" s="38"/>
      <c r="D60" s="132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50" t="s">
        <v>502</v>
      </c>
      <c r="P60" s="449"/>
      <c r="Q60" s="450"/>
      <c r="R60" s="450"/>
      <c r="S60" s="287">
        <v>50000</v>
      </c>
      <c r="T60" s="44" t="s">
        <v>56</v>
      </c>
      <c r="U60" s="234">
        <v>2</v>
      </c>
      <c r="V60" s="287" t="s">
        <v>55</v>
      </c>
      <c r="W60" s="64"/>
      <c r="X60" s="64"/>
      <c r="Y60" s="67"/>
      <c r="Z60" s="65"/>
      <c r="AA60" s="465" t="s">
        <v>53</v>
      </c>
      <c r="AB60" s="287" t="s">
        <v>365</v>
      </c>
      <c r="AC60" s="58"/>
      <c r="AD60" s="58">
        <v>100000</v>
      </c>
      <c r="AE60" s="121" t="s">
        <v>56</v>
      </c>
    </row>
    <row r="61" spans="1:31" s="11" customFormat="1" ht="21" customHeight="1">
      <c r="A61" s="37"/>
      <c r="B61" s="38"/>
      <c r="C61" s="38"/>
      <c r="D61" s="132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10"/>
      <c r="P61" s="409"/>
      <c r="Q61" s="410"/>
      <c r="R61" s="410"/>
      <c r="S61" s="287"/>
      <c r="T61" s="44"/>
      <c r="U61" s="234"/>
      <c r="V61" s="287"/>
      <c r="W61" s="64"/>
      <c r="X61" s="64"/>
      <c r="Y61" s="67"/>
      <c r="Z61" s="65"/>
      <c r="AA61" s="403"/>
      <c r="AB61" s="287"/>
      <c r="AC61" s="58"/>
      <c r="AD61" s="58"/>
      <c r="AE61" s="121"/>
    </row>
    <row r="62" spans="1:31" s="11" customFormat="1" ht="21" customHeight="1">
      <c r="A62" s="37"/>
      <c r="B62" s="28" t="s">
        <v>366</v>
      </c>
      <c r="C62" s="28" t="s">
        <v>5</v>
      </c>
      <c r="D62" s="102">
        <f t="shared" ref="D62:L62" si="3">SUM(D63,D65,D67)</f>
        <v>70</v>
      </c>
      <c r="E62" s="102">
        <f t="shared" si="3"/>
        <v>70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70</v>
      </c>
      <c r="K62" s="102">
        <f t="shared" si="3"/>
        <v>0</v>
      </c>
      <c r="L62" s="102">
        <f t="shared" si="3"/>
        <v>0</v>
      </c>
      <c r="M62" s="102">
        <f>E62-D62</f>
        <v>0</v>
      </c>
      <c r="N62" s="109">
        <f>IF(D62=0,0,M62/D62)</f>
        <v>0</v>
      </c>
      <c r="O62" s="152" t="s">
        <v>367</v>
      </c>
      <c r="P62" s="152"/>
      <c r="Q62" s="152"/>
      <c r="R62" s="152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82"/>
      <c r="AD62" s="82">
        <f>SUM(AD63,AD65,AD67)</f>
        <v>70000</v>
      </c>
      <c r="AE62" s="83" t="s">
        <v>25</v>
      </c>
    </row>
    <row r="63" spans="1:31" s="11" customFormat="1" ht="21" customHeight="1">
      <c r="A63" s="37"/>
      <c r="B63" s="38" t="s">
        <v>368</v>
      </c>
      <c r="C63" s="28" t="s">
        <v>10</v>
      </c>
      <c r="D63" s="134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0"/>
      <c r="Q63" s="138"/>
      <c r="R63" s="138"/>
      <c r="S63" s="138"/>
      <c r="T63" s="79"/>
      <c r="U63" s="79"/>
      <c r="V63" s="79"/>
      <c r="W63" s="79"/>
      <c r="X63" s="79"/>
      <c r="Y63" s="406" t="s">
        <v>369</v>
      </c>
      <c r="Z63" s="406"/>
      <c r="AA63" s="406"/>
      <c r="AB63" s="406"/>
      <c r="AC63" s="146"/>
      <c r="AD63" s="146">
        <f>AD64</f>
        <v>0</v>
      </c>
      <c r="AE63" s="145" t="s">
        <v>25</v>
      </c>
    </row>
    <row r="64" spans="1:31" s="11" customFormat="1" ht="21" customHeight="1">
      <c r="A64" s="37"/>
      <c r="B64" s="38"/>
      <c r="C64" s="38"/>
      <c r="D64" s="132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10" t="s">
        <v>370</v>
      </c>
      <c r="P64" s="410"/>
      <c r="Q64" s="410"/>
      <c r="R64" s="410"/>
      <c r="S64" s="409"/>
      <c r="T64" s="289"/>
      <c r="U64" s="289"/>
      <c r="V64" s="409"/>
      <c r="W64" s="410"/>
      <c r="X64" s="409"/>
      <c r="Y64" s="409"/>
      <c r="Z64" s="409"/>
      <c r="AA64" s="409"/>
      <c r="AB64" s="409" t="s">
        <v>339</v>
      </c>
      <c r="AC64" s="409"/>
      <c r="AD64" s="409">
        <v>0</v>
      </c>
      <c r="AE64" s="121" t="s">
        <v>334</v>
      </c>
    </row>
    <row r="65" spans="1:31" s="11" customFormat="1" ht="21" customHeight="1">
      <c r="A65" s="37"/>
      <c r="B65" s="38"/>
      <c r="C65" s="28" t="s">
        <v>11</v>
      </c>
      <c r="D65" s="134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371</v>
      </c>
      <c r="P65" s="407"/>
      <c r="Q65" s="152"/>
      <c r="R65" s="152"/>
      <c r="S65" s="152"/>
      <c r="T65" s="151"/>
      <c r="U65" s="151"/>
      <c r="V65" s="151"/>
      <c r="W65" s="151"/>
      <c r="X65" s="151"/>
      <c r="Y65" s="406" t="s">
        <v>369</v>
      </c>
      <c r="Z65" s="406"/>
      <c r="AA65" s="406"/>
      <c r="AB65" s="406"/>
      <c r="AC65" s="146"/>
      <c r="AD65" s="146">
        <v>0</v>
      </c>
      <c r="AE65" s="145" t="s">
        <v>25</v>
      </c>
    </row>
    <row r="66" spans="1:31" s="11" customFormat="1" ht="21" customHeight="1">
      <c r="A66" s="37"/>
      <c r="B66" s="38"/>
      <c r="C66" s="49"/>
      <c r="D66" s="133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38"/>
      <c r="P66" s="338"/>
      <c r="Q66" s="338"/>
      <c r="R66" s="338"/>
      <c r="S66" s="337"/>
      <c r="T66" s="76"/>
      <c r="U66" s="76"/>
      <c r="V66" s="337"/>
      <c r="W66" s="338"/>
      <c r="X66" s="337"/>
      <c r="Y66" s="337"/>
      <c r="Z66" s="337"/>
      <c r="AA66" s="337"/>
      <c r="AB66" s="337"/>
      <c r="AC66" s="337"/>
      <c r="AD66" s="337"/>
      <c r="AE66" s="63"/>
    </row>
    <row r="67" spans="1:31" s="11" customFormat="1" ht="21" customHeight="1">
      <c r="A67" s="37"/>
      <c r="B67" s="38"/>
      <c r="C67" s="38" t="s">
        <v>372</v>
      </c>
      <c r="D67" s="132">
        <v>70</v>
      </c>
      <c r="E67" s="97">
        <f>AD67/1000</f>
        <v>70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70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0</v>
      </c>
      <c r="N67" s="60">
        <f>IF(D67=0,0,M67/D67)</f>
        <v>0</v>
      </c>
      <c r="O67" s="105" t="s">
        <v>38</v>
      </c>
      <c r="P67" s="150"/>
      <c r="Q67" s="150"/>
      <c r="R67" s="150"/>
      <c r="S67" s="150"/>
      <c r="T67" s="149"/>
      <c r="U67" s="149"/>
      <c r="V67" s="149"/>
      <c r="W67" s="149"/>
      <c r="X67" s="149"/>
      <c r="Y67" s="406" t="s">
        <v>369</v>
      </c>
      <c r="Z67" s="406"/>
      <c r="AA67" s="406"/>
      <c r="AB67" s="406"/>
      <c r="AC67" s="146"/>
      <c r="AD67" s="146">
        <f>SUM(AD68:AD69)</f>
        <v>70000</v>
      </c>
      <c r="AE67" s="145" t="s">
        <v>25</v>
      </c>
    </row>
    <row r="68" spans="1:31" s="13" customFormat="1" ht="21" customHeight="1">
      <c r="A68" s="37"/>
      <c r="B68" s="38"/>
      <c r="C68" s="38"/>
      <c r="D68" s="132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44" t="s">
        <v>433</v>
      </c>
      <c r="P68" s="410"/>
      <c r="Q68" s="410"/>
      <c r="R68" s="410"/>
      <c r="S68" s="443">
        <v>50000</v>
      </c>
      <c r="T68" s="443" t="s">
        <v>25</v>
      </c>
      <c r="U68" s="444" t="s">
        <v>26</v>
      </c>
      <c r="V68" s="445">
        <v>1</v>
      </c>
      <c r="W68" s="444" t="s">
        <v>26</v>
      </c>
      <c r="X68" s="446">
        <v>1</v>
      </c>
      <c r="Y68" s="447"/>
      <c r="Z68" s="448"/>
      <c r="AA68" s="448" t="s">
        <v>27</v>
      </c>
      <c r="AB68" s="448" t="s">
        <v>432</v>
      </c>
      <c r="AC68" s="409"/>
      <c r="AD68" s="449">
        <v>50000</v>
      </c>
      <c r="AE68" s="121" t="s">
        <v>334</v>
      </c>
    </row>
    <row r="69" spans="1:31" s="13" customFormat="1" ht="21" customHeight="1">
      <c r="A69" s="37"/>
      <c r="B69" s="38"/>
      <c r="C69" s="38"/>
      <c r="D69" s="132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44" t="s">
        <v>434</v>
      </c>
      <c r="P69" s="410"/>
      <c r="Q69" s="410"/>
      <c r="R69" s="410"/>
      <c r="S69" s="443">
        <v>20000</v>
      </c>
      <c r="T69" s="443" t="s">
        <v>25</v>
      </c>
      <c r="U69" s="444" t="s">
        <v>26</v>
      </c>
      <c r="V69" s="445">
        <v>1</v>
      </c>
      <c r="W69" s="443"/>
      <c r="X69" s="444"/>
      <c r="Y69" s="447"/>
      <c r="Z69" s="448"/>
      <c r="AA69" s="448" t="s">
        <v>27</v>
      </c>
      <c r="AB69" s="448" t="s">
        <v>432</v>
      </c>
      <c r="AC69" s="410"/>
      <c r="AD69" s="449">
        <v>20000</v>
      </c>
      <c r="AE69" s="121" t="s">
        <v>334</v>
      </c>
    </row>
    <row r="70" spans="1:31" s="13" customFormat="1" ht="21" customHeight="1">
      <c r="A70" s="37"/>
      <c r="B70" s="38"/>
      <c r="C70" s="38"/>
      <c r="D70" s="132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10"/>
      <c r="P70" s="410"/>
      <c r="Q70" s="410"/>
      <c r="R70" s="410"/>
      <c r="S70" s="409"/>
      <c r="T70" s="289"/>
      <c r="U70" s="289"/>
      <c r="V70" s="409"/>
      <c r="W70" s="410"/>
      <c r="X70" s="409"/>
      <c r="Y70" s="409"/>
      <c r="Z70" s="409"/>
      <c r="AA70" s="409"/>
      <c r="AB70" s="409"/>
      <c r="AC70" s="409"/>
      <c r="AD70" s="409"/>
      <c r="AE70" s="121"/>
    </row>
    <row r="71" spans="1:31" s="11" customFormat="1" ht="21" customHeight="1">
      <c r="A71" s="37"/>
      <c r="B71" s="28" t="s">
        <v>12</v>
      </c>
      <c r="C71" s="142" t="s">
        <v>5</v>
      </c>
      <c r="D71" s="143">
        <v>12714</v>
      </c>
      <c r="E71" s="143">
        <f t="shared" ref="E71:L71" si="4">SUM(E72,E75,E85,E93,E99,E103)</f>
        <v>12423</v>
      </c>
      <c r="F71" s="143">
        <f t="shared" si="4"/>
        <v>4223</v>
      </c>
      <c r="G71" s="143">
        <f t="shared" si="4"/>
        <v>0</v>
      </c>
      <c r="H71" s="143">
        <f t="shared" si="4"/>
        <v>0</v>
      </c>
      <c r="I71" s="143">
        <f t="shared" si="4"/>
        <v>2</v>
      </c>
      <c r="J71" s="143">
        <f t="shared" si="4"/>
        <v>5872</v>
      </c>
      <c r="K71" s="143">
        <f t="shared" si="4"/>
        <v>0</v>
      </c>
      <c r="L71" s="143">
        <f t="shared" si="4"/>
        <v>2326</v>
      </c>
      <c r="M71" s="425">
        <f>E71-D71</f>
        <v>-291</v>
      </c>
      <c r="N71" s="144">
        <f>IF(D71=0,0,M71/D71)</f>
        <v>-2.2888154789995282E-2</v>
      </c>
      <c r="O71" s="407" t="s">
        <v>374</v>
      </c>
      <c r="P71" s="407"/>
      <c r="Q71" s="407"/>
      <c r="R71" s="407"/>
      <c r="S71" s="406"/>
      <c r="T71" s="153"/>
      <c r="U71" s="406"/>
      <c r="V71" s="610"/>
      <c r="W71" s="611"/>
      <c r="X71" s="406"/>
      <c r="Y71" s="406"/>
      <c r="Z71" s="406"/>
      <c r="AA71" s="406"/>
      <c r="AB71" s="406"/>
      <c r="AC71" s="406"/>
      <c r="AD71" s="406">
        <f>SUM(AD72,AD75,AD85,AD93,AD99,AD103)</f>
        <v>12423000</v>
      </c>
      <c r="AE71" s="145" t="s">
        <v>25</v>
      </c>
    </row>
    <row r="72" spans="1:31" s="11" customFormat="1" ht="21" customHeight="1">
      <c r="A72" s="37"/>
      <c r="B72" s="38"/>
      <c r="C72" s="38" t="s">
        <v>375</v>
      </c>
      <c r="D72" s="132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0"/>
      <c r="Q72" s="150"/>
      <c r="R72" s="150"/>
      <c r="S72" s="383"/>
      <c r="T72" s="500"/>
      <c r="U72" s="500"/>
      <c r="V72" s="500"/>
      <c r="W72" s="500"/>
      <c r="X72" s="500"/>
      <c r="Y72" s="295" t="s">
        <v>369</v>
      </c>
      <c r="Z72" s="295"/>
      <c r="AA72" s="295"/>
      <c r="AB72" s="295"/>
      <c r="AC72" s="296"/>
      <c r="AD72" s="296">
        <f>SUM(AD73:AD74)</f>
        <v>60000</v>
      </c>
      <c r="AE72" s="501" t="s">
        <v>25</v>
      </c>
    </row>
    <row r="73" spans="1:31" s="11" customFormat="1" ht="21" customHeight="1">
      <c r="A73" s="37"/>
      <c r="B73" s="38"/>
      <c r="C73" s="38"/>
      <c r="D73" s="132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10" t="s">
        <v>376</v>
      </c>
      <c r="P73" s="410"/>
      <c r="Q73" s="410"/>
      <c r="R73" s="410"/>
      <c r="S73" s="489">
        <v>30000</v>
      </c>
      <c r="T73" s="502" t="s">
        <v>25</v>
      </c>
      <c r="U73" s="502" t="s">
        <v>26</v>
      </c>
      <c r="V73" s="503">
        <v>2</v>
      </c>
      <c r="W73" s="504" t="s">
        <v>495</v>
      </c>
      <c r="X73" s="503" t="s">
        <v>27</v>
      </c>
      <c r="Y73" s="489"/>
      <c r="Z73" s="489"/>
      <c r="AA73" s="489"/>
      <c r="AB73" s="489" t="s">
        <v>496</v>
      </c>
      <c r="AC73" s="489"/>
      <c r="AD73" s="489">
        <f>S73*V73</f>
        <v>60000</v>
      </c>
      <c r="AE73" s="505" t="s">
        <v>25</v>
      </c>
    </row>
    <row r="74" spans="1:31" s="11" customFormat="1" ht="21" customHeight="1">
      <c r="A74" s="37"/>
      <c r="B74" s="38"/>
      <c r="C74" s="38"/>
      <c r="D74" s="132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10" t="s">
        <v>377</v>
      </c>
      <c r="P74" s="410"/>
      <c r="Q74" s="410"/>
      <c r="R74" s="410"/>
      <c r="S74" s="449"/>
      <c r="T74" s="289"/>
      <c r="U74" s="289"/>
      <c r="V74" s="449"/>
      <c r="W74" s="289"/>
      <c r="X74" s="449"/>
      <c r="Y74" s="449"/>
      <c r="Z74" s="449"/>
      <c r="AA74" s="449"/>
      <c r="AB74" s="449" t="s">
        <v>339</v>
      </c>
      <c r="AC74" s="449"/>
      <c r="AD74" s="449">
        <v>0</v>
      </c>
      <c r="AE74" s="121" t="s">
        <v>334</v>
      </c>
    </row>
    <row r="75" spans="1:31" s="11" customFormat="1" ht="21" customHeight="1">
      <c r="A75" s="37"/>
      <c r="B75" s="38"/>
      <c r="C75" s="28" t="s">
        <v>41</v>
      </c>
      <c r="D75" s="134">
        <v>2513</v>
      </c>
      <c r="E75" s="102">
        <f>ROUND(AD75/1000,0)</f>
        <v>2719</v>
      </c>
      <c r="F75" s="103">
        <f>SUMIF($AB$76:$AB$83,"보조",$AD$76:$AD$83)/1000</f>
        <v>573</v>
      </c>
      <c r="G75" s="103">
        <f>SUMIF($AB$76:$AB$83,"4종",$AD$76:$AD$83)/1000</f>
        <v>0</v>
      </c>
      <c r="H75" s="103">
        <f>SUMIF($AB$76:$AB$83,"6종",$AD$76:$AD$83)/1000</f>
        <v>0</v>
      </c>
      <c r="I75" s="103">
        <f>SUMIF($AB$76:$AB$83,"후원",$AD$76:$AD$83)/1000</f>
        <v>0</v>
      </c>
      <c r="J75" s="103">
        <f>SUMIF($AB$76:$AB$83,"입소",$AD$76:$AD$83)/1000</f>
        <v>2146</v>
      </c>
      <c r="K75" s="103">
        <f>SUMIF($AB$76:$AB$83,"법인",$AD$76:$AD$83)/1000</f>
        <v>0</v>
      </c>
      <c r="L75" s="103">
        <f>SUMIF($AB$76:$AB$83,"잡수",$AD$76:$AD$83)/1000</f>
        <v>0</v>
      </c>
      <c r="M75" s="112">
        <f>E75-D75</f>
        <v>206</v>
      </c>
      <c r="N75" s="109">
        <f>IF(D75=0,0,M75/D75)</f>
        <v>8.197373656983685E-2</v>
      </c>
      <c r="O75" s="292" t="s">
        <v>42</v>
      </c>
      <c r="P75" s="293"/>
      <c r="Q75" s="293"/>
      <c r="R75" s="293"/>
      <c r="S75" s="293"/>
      <c r="T75" s="294"/>
      <c r="U75" s="294"/>
      <c r="V75" s="294"/>
      <c r="W75" s="294"/>
      <c r="X75" s="294"/>
      <c r="Y75" s="295" t="s">
        <v>28</v>
      </c>
      <c r="Z75" s="295"/>
      <c r="AA75" s="295"/>
      <c r="AB75" s="295"/>
      <c r="AC75" s="296"/>
      <c r="AD75" s="296">
        <f>SUM(AD76:AD83)</f>
        <v>2719000</v>
      </c>
      <c r="AE75" s="501" t="s">
        <v>25</v>
      </c>
    </row>
    <row r="76" spans="1:31" s="11" customFormat="1" ht="21" customHeight="1">
      <c r="A76" s="37"/>
      <c r="B76" s="38"/>
      <c r="C76" s="38" t="s">
        <v>378</v>
      </c>
      <c r="D76" s="420"/>
      <c r="E76" s="421"/>
      <c r="F76" s="421"/>
      <c r="G76" s="421"/>
      <c r="H76" s="421"/>
      <c r="I76" s="421"/>
      <c r="J76" s="421"/>
      <c r="K76" s="421"/>
      <c r="L76" s="421"/>
      <c r="M76" s="97"/>
      <c r="N76" s="60"/>
      <c r="O76" s="297" t="s">
        <v>442</v>
      </c>
      <c r="P76" s="410"/>
      <c r="Q76" s="410"/>
      <c r="R76" s="410"/>
      <c r="S76" s="449"/>
      <c r="T76" s="289"/>
      <c r="U76" s="449"/>
      <c r="V76" s="298"/>
      <c r="W76" s="299"/>
      <c r="X76" s="299"/>
      <c r="Y76" s="298"/>
      <c r="Z76" s="300"/>
      <c r="AA76" s="298"/>
      <c r="AB76" s="285" t="s">
        <v>335</v>
      </c>
      <c r="AC76" s="285"/>
      <c r="AD76" s="449">
        <v>232000</v>
      </c>
      <c r="AE76" s="379" t="s">
        <v>25</v>
      </c>
    </row>
    <row r="77" spans="1:31" s="11" customFormat="1" ht="21" customHeight="1">
      <c r="A77" s="37"/>
      <c r="B77" s="38"/>
      <c r="C77" s="38"/>
      <c r="D77" s="422"/>
      <c r="E77" s="423"/>
      <c r="F77" s="423"/>
      <c r="G77" s="423"/>
      <c r="H77" s="423"/>
      <c r="I77" s="423"/>
      <c r="J77" s="423"/>
      <c r="K77" s="423"/>
      <c r="L77" s="423"/>
      <c r="M77" s="97"/>
      <c r="N77" s="60"/>
      <c r="O77" s="444" t="s">
        <v>440</v>
      </c>
      <c r="P77" s="444"/>
      <c r="Q77" s="444"/>
      <c r="R77" s="444"/>
      <c r="S77" s="489"/>
      <c r="T77" s="506"/>
      <c r="U77" s="506"/>
      <c r="V77" s="489">
        <v>31000</v>
      </c>
      <c r="W77" s="489" t="s">
        <v>25</v>
      </c>
      <c r="X77" s="489" t="s">
        <v>26</v>
      </c>
      <c r="Y77" s="489">
        <v>11</v>
      </c>
      <c r="Z77" s="489" t="s">
        <v>29</v>
      </c>
      <c r="AA77" s="489" t="s">
        <v>27</v>
      </c>
      <c r="AB77" s="489" t="s">
        <v>441</v>
      </c>
      <c r="AC77" s="489"/>
      <c r="AD77" s="489">
        <f>V77*Y77</f>
        <v>341000</v>
      </c>
      <c r="AE77" s="505" t="s">
        <v>25</v>
      </c>
    </row>
    <row r="78" spans="1:31" s="11" customFormat="1" ht="21" customHeight="1">
      <c r="A78" s="37"/>
      <c r="B78" s="38"/>
      <c r="C78" s="38"/>
      <c r="D78" s="132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44"/>
      <c r="P78" s="444"/>
      <c r="Q78" s="444"/>
      <c r="R78" s="444"/>
      <c r="S78" s="489"/>
      <c r="T78" s="506"/>
      <c r="U78" s="506"/>
      <c r="V78" s="489">
        <v>31000</v>
      </c>
      <c r="W78" s="489" t="s">
        <v>25</v>
      </c>
      <c r="X78" s="489" t="s">
        <v>26</v>
      </c>
      <c r="Y78" s="489">
        <v>1</v>
      </c>
      <c r="Z78" s="489" t="s">
        <v>29</v>
      </c>
      <c r="AA78" s="489" t="s">
        <v>27</v>
      </c>
      <c r="AB78" s="489" t="s">
        <v>379</v>
      </c>
      <c r="AC78" s="489"/>
      <c r="AD78" s="489">
        <f>V78*Y78</f>
        <v>31000</v>
      </c>
      <c r="AE78" s="505" t="s">
        <v>25</v>
      </c>
    </row>
    <row r="79" spans="1:31" s="11" customFormat="1" ht="21" customHeight="1">
      <c r="A79" s="37"/>
      <c r="B79" s="38"/>
      <c r="C79" s="38"/>
      <c r="D79" s="132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44" t="s">
        <v>507</v>
      </c>
      <c r="P79" s="444"/>
      <c r="Q79" s="444"/>
      <c r="R79" s="444"/>
      <c r="S79" s="489"/>
      <c r="T79" s="506"/>
      <c r="U79" s="506"/>
      <c r="V79" s="489">
        <v>20000</v>
      </c>
      <c r="W79" s="489" t="s">
        <v>25</v>
      </c>
      <c r="X79" s="489" t="s">
        <v>26</v>
      </c>
      <c r="Y79" s="489">
        <v>12</v>
      </c>
      <c r="Z79" s="489" t="s">
        <v>29</v>
      </c>
      <c r="AA79" s="489" t="s">
        <v>27</v>
      </c>
      <c r="AB79" s="489" t="s">
        <v>379</v>
      </c>
      <c r="AC79" s="489"/>
      <c r="AD79" s="489">
        <f>V79*Y79</f>
        <v>240000</v>
      </c>
      <c r="AE79" s="505" t="s">
        <v>25</v>
      </c>
    </row>
    <row r="80" spans="1:31" s="11" customFormat="1" ht="21" customHeight="1">
      <c r="A80" s="37"/>
      <c r="B80" s="38"/>
      <c r="C80" s="38"/>
      <c r="D80" s="132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10" t="s">
        <v>443</v>
      </c>
      <c r="P80" s="410"/>
      <c r="Q80" s="410"/>
      <c r="R80" s="410"/>
      <c r="S80" s="449"/>
      <c r="T80" s="289"/>
      <c r="U80" s="289"/>
      <c r="V80" s="298">
        <v>55000</v>
      </c>
      <c r="W80" s="299" t="s">
        <v>334</v>
      </c>
      <c r="X80" s="299" t="s">
        <v>26</v>
      </c>
      <c r="Y80" s="298">
        <v>4</v>
      </c>
      <c r="Z80" s="300" t="s">
        <v>373</v>
      </c>
      <c r="AA80" s="298" t="s">
        <v>27</v>
      </c>
      <c r="AB80" s="489" t="s">
        <v>379</v>
      </c>
      <c r="AC80" s="449"/>
      <c r="AD80" s="449">
        <f>V80*Y80</f>
        <v>220000</v>
      </c>
      <c r="AE80" s="121" t="s">
        <v>334</v>
      </c>
    </row>
    <row r="81" spans="1:31" s="11" customFormat="1" ht="21" customHeight="1">
      <c r="A81" s="37"/>
      <c r="B81" s="38"/>
      <c r="C81" s="38"/>
      <c r="D81" s="132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44" t="s">
        <v>444</v>
      </c>
      <c r="P81" s="444"/>
      <c r="Q81" s="444"/>
      <c r="R81" s="444"/>
      <c r="S81" s="489"/>
      <c r="T81" s="506"/>
      <c r="U81" s="506"/>
      <c r="V81" s="489"/>
      <c r="W81" s="489"/>
      <c r="X81" s="489"/>
      <c r="Y81" s="489"/>
      <c r="Z81" s="489"/>
      <c r="AA81" s="489"/>
      <c r="AB81" s="489" t="s">
        <v>432</v>
      </c>
      <c r="AC81" s="489"/>
      <c r="AD81" s="489">
        <v>400000</v>
      </c>
      <c r="AE81" s="505" t="s">
        <v>25</v>
      </c>
    </row>
    <row r="82" spans="1:31" s="11" customFormat="1" ht="21" customHeight="1">
      <c r="A82" s="37"/>
      <c r="B82" s="38"/>
      <c r="C82" s="38"/>
      <c r="D82" s="132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44" t="s">
        <v>445</v>
      </c>
      <c r="P82" s="444"/>
      <c r="Q82" s="444"/>
      <c r="R82" s="444"/>
      <c r="S82" s="489"/>
      <c r="T82" s="506"/>
      <c r="U82" s="506"/>
      <c r="V82" s="489"/>
      <c r="W82" s="489"/>
      <c r="X82" s="489"/>
      <c r="Y82" s="489"/>
      <c r="Z82" s="489"/>
      <c r="AA82" s="489"/>
      <c r="AB82" s="489" t="s">
        <v>432</v>
      </c>
      <c r="AC82" s="489"/>
      <c r="AD82" s="489">
        <v>657000</v>
      </c>
      <c r="AE82" s="505" t="s">
        <v>25</v>
      </c>
    </row>
    <row r="83" spans="1:31" s="11" customFormat="1" ht="21" customHeight="1">
      <c r="A83" s="37"/>
      <c r="B83" s="38"/>
      <c r="C83" s="38"/>
      <c r="D83" s="132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44" t="s">
        <v>446</v>
      </c>
      <c r="P83" s="444"/>
      <c r="Q83" s="444"/>
      <c r="R83" s="444"/>
      <c r="S83" s="489"/>
      <c r="T83" s="506"/>
      <c r="U83" s="506"/>
      <c r="V83" s="503"/>
      <c r="W83" s="502"/>
      <c r="X83" s="502"/>
      <c r="Y83" s="503"/>
      <c r="Z83" s="504"/>
      <c r="AA83" s="503"/>
      <c r="AB83" s="489" t="s">
        <v>432</v>
      </c>
      <c r="AC83" s="489"/>
      <c r="AD83" s="489">
        <v>598000</v>
      </c>
      <c r="AE83" s="505" t="s">
        <v>25</v>
      </c>
    </row>
    <row r="84" spans="1:31" s="11" customFormat="1" ht="21" customHeight="1">
      <c r="A84" s="37"/>
      <c r="B84" s="38"/>
      <c r="C84" s="49"/>
      <c r="D84" s="133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26"/>
      <c r="P84" s="426"/>
      <c r="Q84" s="426"/>
      <c r="R84" s="426"/>
      <c r="S84" s="426"/>
      <c r="T84" s="426"/>
      <c r="U84" s="426"/>
      <c r="V84" s="426"/>
      <c r="W84" s="426"/>
      <c r="X84" s="426"/>
      <c r="Y84" s="426"/>
      <c r="Z84" s="426"/>
      <c r="AA84" s="426"/>
      <c r="AB84" s="426"/>
      <c r="AC84" s="426"/>
      <c r="AD84" s="427"/>
      <c r="AE84" s="428"/>
    </row>
    <row r="85" spans="1:31" s="11" customFormat="1" ht="21" customHeight="1">
      <c r="A85" s="37"/>
      <c r="B85" s="38"/>
      <c r="C85" s="38" t="s">
        <v>39</v>
      </c>
      <c r="D85" s="132">
        <v>5961</v>
      </c>
      <c r="E85" s="97">
        <f>ROUND(AD85/1000,0)</f>
        <v>6364</v>
      </c>
      <c r="F85" s="103">
        <f>SUMIF($AB$86:$AB$92,"보조",$AD$86:$AD$92)/1000</f>
        <v>3650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2</v>
      </c>
      <c r="J85" s="103">
        <f>SUMIF($AB$86:$AB$92,"입소",$AD$86:$AD$92)/1000</f>
        <v>2066</v>
      </c>
      <c r="K85" s="103">
        <f>SUMIF($AB$86:$AB$92,"법인",$AD$86:$AD$92)/1000</f>
        <v>0</v>
      </c>
      <c r="L85" s="103">
        <f>SUMIF($AB$86:$AB$92,"잡수",$AD$86:$AD$92)/1000</f>
        <v>646</v>
      </c>
      <c r="M85" s="399">
        <f>E85-D85</f>
        <v>403</v>
      </c>
      <c r="N85" s="60">
        <f>IF(D85=0,0,M85/D85)</f>
        <v>6.760610635799362E-2</v>
      </c>
      <c r="O85" s="326" t="s">
        <v>43</v>
      </c>
      <c r="P85" s="327"/>
      <c r="Q85" s="327"/>
      <c r="R85" s="327"/>
      <c r="S85" s="383"/>
      <c r="T85" s="500"/>
      <c r="U85" s="500"/>
      <c r="V85" s="500"/>
      <c r="W85" s="500"/>
      <c r="X85" s="500"/>
      <c r="Y85" s="295" t="s">
        <v>369</v>
      </c>
      <c r="Z85" s="295"/>
      <c r="AA85" s="295"/>
      <c r="AB85" s="295"/>
      <c r="AC85" s="296"/>
      <c r="AD85" s="296">
        <f>ROUND(SUM(AD86:AD92),-3)</f>
        <v>6364000</v>
      </c>
      <c r="AE85" s="501" t="s">
        <v>25</v>
      </c>
    </row>
    <row r="86" spans="1:31" s="11" customFormat="1" ht="21" customHeight="1">
      <c r="A86" s="37"/>
      <c r="B86" s="38"/>
      <c r="C86" s="38"/>
      <c r="D86" s="420"/>
      <c r="E86" s="421"/>
      <c r="F86" s="421"/>
      <c r="G86" s="421"/>
      <c r="H86" s="421"/>
      <c r="I86" s="421"/>
      <c r="J86" s="421"/>
      <c r="K86" s="421"/>
      <c r="L86" s="421"/>
      <c r="M86" s="97"/>
      <c r="N86" s="60"/>
      <c r="O86" s="452" t="s">
        <v>447</v>
      </c>
      <c r="P86" s="444"/>
      <c r="Q86" s="444"/>
      <c r="R86" s="444"/>
      <c r="S86" s="489">
        <v>35000</v>
      </c>
      <c r="T86" s="502" t="s">
        <v>25</v>
      </c>
      <c r="U86" s="502" t="s">
        <v>26</v>
      </c>
      <c r="V86" s="503">
        <v>10</v>
      </c>
      <c r="W86" s="504" t="s">
        <v>29</v>
      </c>
      <c r="X86" s="503" t="s">
        <v>27</v>
      </c>
      <c r="Y86" s="489"/>
      <c r="Z86" s="489"/>
      <c r="AA86" s="489"/>
      <c r="AB86" s="489" t="s">
        <v>441</v>
      </c>
      <c r="AC86" s="489"/>
      <c r="AD86" s="489">
        <f>S86*V86</f>
        <v>350000</v>
      </c>
      <c r="AE86" s="505" t="s">
        <v>25</v>
      </c>
    </row>
    <row r="87" spans="1:31" s="11" customFormat="1" ht="21" customHeight="1">
      <c r="A87" s="37"/>
      <c r="B87" s="38"/>
      <c r="C87" s="38"/>
      <c r="D87" s="422"/>
      <c r="E87" s="423"/>
      <c r="F87" s="423"/>
      <c r="G87" s="423"/>
      <c r="H87" s="423"/>
      <c r="I87" s="423"/>
      <c r="J87" s="423"/>
      <c r="K87" s="423"/>
      <c r="L87" s="423"/>
      <c r="M87" s="97"/>
      <c r="N87" s="60"/>
      <c r="O87" s="444"/>
      <c r="P87" s="444"/>
      <c r="Q87" s="444"/>
      <c r="R87" s="444"/>
      <c r="S87" s="489">
        <v>35000</v>
      </c>
      <c r="T87" s="502" t="s">
        <v>25</v>
      </c>
      <c r="U87" s="502" t="s">
        <v>26</v>
      </c>
      <c r="V87" s="503">
        <v>2</v>
      </c>
      <c r="W87" s="504" t="s">
        <v>29</v>
      </c>
      <c r="X87" s="503" t="s">
        <v>27</v>
      </c>
      <c r="Y87" s="489"/>
      <c r="Z87" s="489"/>
      <c r="AA87" s="489"/>
      <c r="AB87" s="489" t="s">
        <v>384</v>
      </c>
      <c r="AC87" s="489"/>
      <c r="AD87" s="489">
        <f>S87*V87</f>
        <v>70000</v>
      </c>
      <c r="AE87" s="505" t="s">
        <v>25</v>
      </c>
    </row>
    <row r="88" spans="1:31" s="13" customFormat="1" ht="21" customHeight="1">
      <c r="A88" s="37"/>
      <c r="B88" s="38"/>
      <c r="C88" s="38"/>
      <c r="D88" s="132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44" t="s">
        <v>448</v>
      </c>
      <c r="P88" s="444"/>
      <c r="Q88" s="444"/>
      <c r="R88" s="444"/>
      <c r="S88" s="489">
        <v>330000</v>
      </c>
      <c r="T88" s="506" t="s">
        <v>25</v>
      </c>
      <c r="U88" s="506" t="s">
        <v>26</v>
      </c>
      <c r="V88" s="489">
        <v>10</v>
      </c>
      <c r="W88" s="507" t="s">
        <v>29</v>
      </c>
      <c r="X88" s="489" t="s">
        <v>27</v>
      </c>
      <c r="Y88" s="489"/>
      <c r="Z88" s="489"/>
      <c r="AA88" s="489"/>
      <c r="AB88" s="489" t="s">
        <v>441</v>
      </c>
      <c r="AC88" s="489"/>
      <c r="AD88" s="489">
        <f>S88*V88</f>
        <v>3300000</v>
      </c>
      <c r="AE88" s="505" t="s">
        <v>25</v>
      </c>
    </row>
    <row r="89" spans="1:31" s="13" customFormat="1" ht="21" customHeight="1">
      <c r="A89" s="37"/>
      <c r="B89" s="38"/>
      <c r="C89" s="38"/>
      <c r="D89" s="132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44"/>
      <c r="P89" s="444"/>
      <c r="Q89" s="444"/>
      <c r="R89" s="444"/>
      <c r="S89" s="489">
        <v>690000</v>
      </c>
      <c r="T89" s="506" t="s">
        <v>25</v>
      </c>
      <c r="U89" s="506" t="s">
        <v>26</v>
      </c>
      <c r="V89" s="489">
        <v>3</v>
      </c>
      <c r="W89" s="507" t="s">
        <v>29</v>
      </c>
      <c r="X89" s="489" t="s">
        <v>27</v>
      </c>
      <c r="Y89" s="489"/>
      <c r="Z89" s="489"/>
      <c r="AA89" s="489"/>
      <c r="AB89" s="489" t="s">
        <v>506</v>
      </c>
      <c r="AC89" s="489"/>
      <c r="AD89" s="489">
        <f>S89*V89-4000</f>
        <v>2066000</v>
      </c>
      <c r="AE89" s="505" t="s">
        <v>25</v>
      </c>
    </row>
    <row r="90" spans="1:31" s="13" customFormat="1" ht="21" customHeight="1">
      <c r="A90" s="37"/>
      <c r="B90" s="38"/>
      <c r="C90" s="38"/>
      <c r="D90" s="132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44"/>
      <c r="P90" s="444"/>
      <c r="Q90" s="444"/>
      <c r="R90" s="444"/>
      <c r="S90" s="489">
        <v>340000</v>
      </c>
      <c r="T90" s="506" t="s">
        <v>25</v>
      </c>
      <c r="U90" s="506" t="s">
        <v>26</v>
      </c>
      <c r="V90" s="489">
        <v>1</v>
      </c>
      <c r="W90" s="507" t="s">
        <v>29</v>
      </c>
      <c r="X90" s="489" t="s">
        <v>27</v>
      </c>
      <c r="Y90" s="489"/>
      <c r="Z90" s="489"/>
      <c r="AA90" s="489"/>
      <c r="AB90" s="489" t="s">
        <v>449</v>
      </c>
      <c r="AC90" s="489"/>
      <c r="AD90" s="489">
        <f>S90*V90</f>
        <v>340000</v>
      </c>
      <c r="AE90" s="505" t="s">
        <v>25</v>
      </c>
    </row>
    <row r="91" spans="1:31" s="13" customFormat="1" ht="21" customHeight="1">
      <c r="A91" s="37"/>
      <c r="B91" s="38"/>
      <c r="C91" s="38"/>
      <c r="D91" s="132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44" t="s">
        <v>450</v>
      </c>
      <c r="P91" s="444"/>
      <c r="Q91" s="444"/>
      <c r="R91" s="444"/>
      <c r="S91" s="489"/>
      <c r="T91" s="506"/>
      <c r="U91" s="508"/>
      <c r="V91" s="489"/>
      <c r="W91" s="507"/>
      <c r="X91" s="489"/>
      <c r="Y91" s="489"/>
      <c r="Z91" s="489"/>
      <c r="AA91" s="489"/>
      <c r="AB91" s="489" t="s">
        <v>384</v>
      </c>
      <c r="AC91" s="489"/>
      <c r="AD91" s="489">
        <v>236000</v>
      </c>
      <c r="AE91" s="505" t="s">
        <v>25</v>
      </c>
    </row>
    <row r="92" spans="1:31" s="13" customFormat="1" ht="21" customHeight="1">
      <c r="A92" s="37"/>
      <c r="B92" s="38"/>
      <c r="C92" s="38"/>
      <c r="D92" s="132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44"/>
      <c r="P92" s="444"/>
      <c r="Q92" s="444"/>
      <c r="R92" s="444"/>
      <c r="S92" s="489"/>
      <c r="T92" s="506"/>
      <c r="U92" s="508"/>
      <c r="V92" s="489"/>
      <c r="W92" s="507"/>
      <c r="X92" s="489"/>
      <c r="Y92" s="489"/>
      <c r="Z92" s="489"/>
      <c r="AA92" s="489"/>
      <c r="AB92" s="489" t="s">
        <v>365</v>
      </c>
      <c r="AC92" s="489"/>
      <c r="AD92" s="489">
        <v>2000</v>
      </c>
      <c r="AE92" s="505" t="s">
        <v>25</v>
      </c>
    </row>
    <row r="93" spans="1:31" ht="21" customHeight="1">
      <c r="A93" s="37"/>
      <c r="B93" s="38"/>
      <c r="C93" s="28" t="s">
        <v>15</v>
      </c>
      <c r="D93" s="134">
        <v>520</v>
      </c>
      <c r="E93" s="102">
        <f>ROUND(AD93/1000,0)</f>
        <v>520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520</v>
      </c>
      <c r="K93" s="103">
        <f>SUMIF($AB$94:$AB$98,"법인",$AD$94:$AD$98)/1000</f>
        <v>0</v>
      </c>
      <c r="L93" s="103">
        <f>SUMIF($AB$94:$AB$98,"잡수",$AD$94:$AD$98)/1000</f>
        <v>0</v>
      </c>
      <c r="M93" s="154">
        <f>E93-D93</f>
        <v>0</v>
      </c>
      <c r="N93" s="109">
        <f>IF(D93=0,0,M93/D93)</f>
        <v>0</v>
      </c>
      <c r="O93" s="328" t="s">
        <v>44</v>
      </c>
      <c r="P93" s="329"/>
      <c r="Q93" s="329"/>
      <c r="R93" s="329"/>
      <c r="S93" s="293"/>
      <c r="T93" s="294"/>
      <c r="U93" s="294"/>
      <c r="V93" s="294"/>
      <c r="W93" s="294"/>
      <c r="X93" s="294"/>
      <c r="Y93" s="295" t="s">
        <v>369</v>
      </c>
      <c r="Z93" s="295"/>
      <c r="AA93" s="295"/>
      <c r="AB93" s="295"/>
      <c r="AC93" s="296"/>
      <c r="AD93" s="296">
        <f>SUM(AD94:AD97)</f>
        <v>520000</v>
      </c>
      <c r="AE93" s="501" t="s">
        <v>25</v>
      </c>
    </row>
    <row r="94" spans="1:31" s="11" customFormat="1" ht="21" customHeight="1">
      <c r="A94" s="37"/>
      <c r="B94" s="38"/>
      <c r="C94" s="38"/>
      <c r="D94" s="420"/>
      <c r="E94" s="421"/>
      <c r="F94" s="421"/>
      <c r="G94" s="421"/>
      <c r="H94" s="421"/>
      <c r="I94" s="421"/>
      <c r="J94" s="421"/>
      <c r="K94" s="421"/>
      <c r="L94" s="421"/>
      <c r="M94" s="97"/>
      <c r="N94" s="60"/>
      <c r="O94" s="444" t="s">
        <v>451</v>
      </c>
      <c r="P94" s="453"/>
      <c r="Q94" s="453"/>
      <c r="R94" s="453"/>
      <c r="S94" s="489">
        <v>20000</v>
      </c>
      <c r="T94" s="506" t="s">
        <v>25</v>
      </c>
      <c r="U94" s="506" t="s">
        <v>26</v>
      </c>
      <c r="V94" s="489">
        <v>1</v>
      </c>
      <c r="W94" s="507" t="s">
        <v>498</v>
      </c>
      <c r="X94" s="509"/>
      <c r="Y94" s="510"/>
      <c r="Z94" s="489"/>
      <c r="AA94" s="489" t="s">
        <v>27</v>
      </c>
      <c r="AB94" s="489" t="s">
        <v>432</v>
      </c>
      <c r="AC94" s="489"/>
      <c r="AD94" s="489">
        <f>S94*V94</f>
        <v>20000</v>
      </c>
      <c r="AE94" s="505" t="s">
        <v>25</v>
      </c>
    </row>
    <row r="95" spans="1:31" s="11" customFormat="1" ht="21" customHeight="1">
      <c r="A95" s="37"/>
      <c r="B95" s="38"/>
      <c r="C95" s="38"/>
      <c r="D95" s="422"/>
      <c r="E95" s="423"/>
      <c r="F95" s="423"/>
      <c r="G95" s="423"/>
      <c r="H95" s="423"/>
      <c r="I95" s="423"/>
      <c r="J95" s="423"/>
      <c r="K95" s="423"/>
      <c r="L95" s="423"/>
      <c r="M95" s="97"/>
      <c r="N95" s="60"/>
      <c r="O95" s="444" t="s">
        <v>453</v>
      </c>
      <c r="P95" s="453"/>
      <c r="Q95" s="453"/>
      <c r="R95" s="453"/>
      <c r="S95" s="489">
        <v>600000</v>
      </c>
      <c r="T95" s="506" t="s">
        <v>25</v>
      </c>
      <c r="U95" s="506" t="s">
        <v>26</v>
      </c>
      <c r="V95" s="489">
        <v>1</v>
      </c>
      <c r="W95" s="507" t="s">
        <v>452</v>
      </c>
      <c r="X95" s="509" t="s">
        <v>106</v>
      </c>
      <c r="Y95" s="510">
        <v>3</v>
      </c>
      <c r="Z95" s="489"/>
      <c r="AA95" s="489" t="s">
        <v>27</v>
      </c>
      <c r="AB95" s="489" t="s">
        <v>432</v>
      </c>
      <c r="AC95" s="489"/>
      <c r="AD95" s="489">
        <f>ROUNDDOWN(S95*V95/Y95,-4)</f>
        <v>200000</v>
      </c>
      <c r="AE95" s="505" t="s">
        <v>25</v>
      </c>
    </row>
    <row r="96" spans="1:31" s="11" customFormat="1" ht="21" customHeight="1">
      <c r="A96" s="37"/>
      <c r="B96" s="38"/>
      <c r="C96" s="38"/>
      <c r="D96" s="132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44" t="s">
        <v>454</v>
      </c>
      <c r="P96" s="453"/>
      <c r="Q96" s="453"/>
      <c r="R96" s="453"/>
      <c r="S96" s="489">
        <v>200000</v>
      </c>
      <c r="T96" s="506" t="s">
        <v>25</v>
      </c>
      <c r="U96" s="506" t="s">
        <v>26</v>
      </c>
      <c r="V96" s="489">
        <v>1</v>
      </c>
      <c r="W96" s="507" t="s">
        <v>452</v>
      </c>
      <c r="X96" s="509"/>
      <c r="Y96" s="510"/>
      <c r="Z96" s="489"/>
      <c r="AA96" s="489" t="s">
        <v>27</v>
      </c>
      <c r="AB96" s="489" t="s">
        <v>432</v>
      </c>
      <c r="AC96" s="489"/>
      <c r="AD96" s="489">
        <f>S96*V96</f>
        <v>200000</v>
      </c>
      <c r="AE96" s="505" t="s">
        <v>25</v>
      </c>
    </row>
    <row r="97" spans="1:31" s="11" customFormat="1" ht="21" customHeight="1">
      <c r="A97" s="37"/>
      <c r="B97" s="38"/>
      <c r="C97" s="38"/>
      <c r="D97" s="132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44" t="s">
        <v>455</v>
      </c>
      <c r="P97" s="453"/>
      <c r="Q97" s="453"/>
      <c r="R97" s="453"/>
      <c r="S97" s="507"/>
      <c r="T97" s="492"/>
      <c r="U97" s="511"/>
      <c r="V97" s="503"/>
      <c r="W97" s="502"/>
      <c r="X97" s="502"/>
      <c r="Y97" s="503"/>
      <c r="Z97" s="504"/>
      <c r="AA97" s="503" t="s">
        <v>27</v>
      </c>
      <c r="AB97" s="489" t="s">
        <v>379</v>
      </c>
      <c r="AC97" s="489"/>
      <c r="AD97" s="489">
        <v>100000</v>
      </c>
      <c r="AE97" s="505" t="s">
        <v>25</v>
      </c>
    </row>
    <row r="98" spans="1:31" s="11" customFormat="1" ht="21" customHeight="1">
      <c r="A98" s="37"/>
      <c r="B98" s="38"/>
      <c r="C98" s="38"/>
      <c r="D98" s="132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2"/>
      <c r="P98" s="408"/>
      <c r="Q98" s="408"/>
      <c r="R98" s="408"/>
      <c r="S98" s="512"/>
      <c r="T98" s="120"/>
      <c r="U98" s="513"/>
      <c r="V98" s="450"/>
      <c r="W98" s="289"/>
      <c r="X98" s="449"/>
      <c r="Y98" s="449"/>
      <c r="Z98" s="449"/>
      <c r="AA98" s="450"/>
      <c r="AB98" s="450"/>
      <c r="AC98" s="449"/>
      <c r="AD98" s="449"/>
      <c r="AE98" s="121"/>
    </row>
    <row r="99" spans="1:31" s="11" customFormat="1" ht="21" customHeight="1">
      <c r="A99" s="37"/>
      <c r="B99" s="38"/>
      <c r="C99" s="28" t="s">
        <v>45</v>
      </c>
      <c r="D99" s="134">
        <v>780</v>
      </c>
      <c r="E99" s="102">
        <f>ROUND(AD99/1000,0)</f>
        <v>780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780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4">
        <f>E99-D99</f>
        <v>0</v>
      </c>
      <c r="N99" s="109">
        <f>IF(D99=0,0,M99/D99)</f>
        <v>0</v>
      </c>
      <c r="O99" s="85" t="s">
        <v>46</v>
      </c>
      <c r="P99" s="152"/>
      <c r="Q99" s="152"/>
      <c r="R99" s="152"/>
      <c r="S99" s="293"/>
      <c r="T99" s="294"/>
      <c r="U99" s="294"/>
      <c r="V99" s="294"/>
      <c r="W99" s="294"/>
      <c r="X99" s="294"/>
      <c r="Y99" s="295" t="s">
        <v>369</v>
      </c>
      <c r="Z99" s="295"/>
      <c r="AA99" s="295"/>
      <c r="AB99" s="295"/>
      <c r="AC99" s="296"/>
      <c r="AD99" s="296">
        <f>SUM(AD100:AD101)</f>
        <v>780000</v>
      </c>
      <c r="AE99" s="501" t="s">
        <v>25</v>
      </c>
    </row>
    <row r="100" spans="1:31" s="11" customFormat="1" ht="21" customHeight="1">
      <c r="A100" s="37"/>
      <c r="B100" s="38"/>
      <c r="C100" s="38"/>
      <c r="D100" s="420"/>
      <c r="E100" s="421"/>
      <c r="F100" s="421"/>
      <c r="G100" s="421"/>
      <c r="H100" s="421"/>
      <c r="I100" s="421"/>
      <c r="J100" s="421"/>
      <c r="K100" s="421"/>
      <c r="L100" s="421"/>
      <c r="M100" s="97"/>
      <c r="N100" s="60"/>
      <c r="O100" s="444" t="s">
        <v>456</v>
      </c>
      <c r="P100" s="444"/>
      <c r="Q100" s="444"/>
      <c r="R100" s="444"/>
      <c r="S100" s="489">
        <v>40000</v>
      </c>
      <c r="T100" s="506" t="s">
        <v>25</v>
      </c>
      <c r="U100" s="506" t="s">
        <v>26</v>
      </c>
      <c r="V100" s="489">
        <v>12</v>
      </c>
      <c r="W100" s="507" t="s">
        <v>29</v>
      </c>
      <c r="X100" s="489" t="s">
        <v>27</v>
      </c>
      <c r="Y100" s="489"/>
      <c r="Z100" s="489"/>
      <c r="AA100" s="489"/>
      <c r="AB100" s="489" t="s">
        <v>432</v>
      </c>
      <c r="AC100" s="489"/>
      <c r="AD100" s="489">
        <f>S100*V100</f>
        <v>480000</v>
      </c>
      <c r="AE100" s="505" t="s">
        <v>25</v>
      </c>
    </row>
    <row r="101" spans="1:31" s="11" customFormat="1" ht="21" customHeight="1">
      <c r="A101" s="37"/>
      <c r="B101" s="38"/>
      <c r="C101" s="38"/>
      <c r="D101" s="422"/>
      <c r="E101" s="423"/>
      <c r="F101" s="423"/>
      <c r="G101" s="423"/>
      <c r="H101" s="423"/>
      <c r="I101" s="423"/>
      <c r="J101" s="423"/>
      <c r="K101" s="423"/>
      <c r="L101" s="423"/>
      <c r="M101" s="97"/>
      <c r="N101" s="60"/>
      <c r="O101" s="444" t="s">
        <v>457</v>
      </c>
      <c r="P101" s="444"/>
      <c r="Q101" s="444"/>
      <c r="R101" s="444"/>
      <c r="S101" s="489"/>
      <c r="T101" s="506"/>
      <c r="U101" s="506"/>
      <c r="V101" s="489"/>
      <c r="W101" s="507"/>
      <c r="X101" s="489"/>
      <c r="Y101" s="489"/>
      <c r="Z101" s="489"/>
      <c r="AA101" s="489"/>
      <c r="AB101" s="489" t="s">
        <v>432</v>
      </c>
      <c r="AC101" s="489"/>
      <c r="AD101" s="489">
        <v>300000</v>
      </c>
      <c r="AE101" s="505" t="s">
        <v>25</v>
      </c>
    </row>
    <row r="102" spans="1:31" s="11" customFormat="1" ht="21" customHeight="1">
      <c r="A102" s="37"/>
      <c r="B102" s="38"/>
      <c r="C102" s="49"/>
      <c r="D102" s="113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05"/>
      <c r="P102" s="405"/>
      <c r="Q102" s="405"/>
      <c r="R102" s="405"/>
      <c r="S102" s="498"/>
      <c r="T102" s="381"/>
      <c r="U102" s="498"/>
      <c r="V102" s="595"/>
      <c r="W102" s="596"/>
      <c r="X102" s="498"/>
      <c r="Y102" s="498"/>
      <c r="Z102" s="498"/>
      <c r="AA102" s="498"/>
      <c r="AB102" s="498"/>
      <c r="AC102" s="498"/>
      <c r="AD102" s="498"/>
      <c r="AE102" s="382"/>
    </row>
    <row r="103" spans="1:31" s="11" customFormat="1" ht="21" customHeight="1">
      <c r="A103" s="37"/>
      <c r="B103" s="38"/>
      <c r="C103" s="28" t="s">
        <v>380</v>
      </c>
      <c r="D103" s="114">
        <v>2880</v>
      </c>
      <c r="E103" s="102">
        <f>ROUND(AD103/1000,0)</f>
        <v>1980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300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-900</v>
      </c>
      <c r="N103" s="109">
        <f>IF(D103=0,0,M103/D103)</f>
        <v>-0.3125</v>
      </c>
      <c r="O103" s="105" t="s">
        <v>381</v>
      </c>
      <c r="P103" s="152"/>
      <c r="Q103" s="152"/>
      <c r="R103" s="152"/>
      <c r="S103" s="293"/>
      <c r="T103" s="294"/>
      <c r="U103" s="294"/>
      <c r="V103" s="294"/>
      <c r="W103" s="294"/>
      <c r="X103" s="294"/>
      <c r="Y103" s="295" t="s">
        <v>382</v>
      </c>
      <c r="Z103" s="295"/>
      <c r="AA103" s="295"/>
      <c r="AB103" s="295"/>
      <c r="AC103" s="296"/>
      <c r="AD103" s="296">
        <f>SUM(AD104,AD106)</f>
        <v>1980000</v>
      </c>
      <c r="AE103" s="501" t="s">
        <v>25</v>
      </c>
    </row>
    <row r="104" spans="1:31" s="11" customFormat="1" ht="21" customHeight="1">
      <c r="A104" s="37"/>
      <c r="B104" s="38"/>
      <c r="C104" s="38"/>
      <c r="D104" s="420"/>
      <c r="E104" s="421"/>
      <c r="F104" s="421"/>
      <c r="G104" s="421"/>
      <c r="H104" s="421"/>
      <c r="I104" s="421"/>
      <c r="J104" s="421"/>
      <c r="K104" s="421"/>
      <c r="L104" s="421"/>
      <c r="M104" s="97"/>
      <c r="N104" s="60"/>
      <c r="O104" s="444" t="s">
        <v>458</v>
      </c>
      <c r="P104" s="454"/>
      <c r="Q104" s="454"/>
      <c r="R104" s="454"/>
      <c r="S104" s="514"/>
      <c r="T104" s="515"/>
      <c r="U104" s="515"/>
      <c r="V104" s="515"/>
      <c r="W104" s="515"/>
      <c r="X104" s="515"/>
      <c r="Y104" s="516" t="s">
        <v>369</v>
      </c>
      <c r="Z104" s="516"/>
      <c r="AA104" s="516"/>
      <c r="AB104" s="516"/>
      <c r="AC104" s="517"/>
      <c r="AD104" s="517">
        <f>AD105</f>
        <v>200000</v>
      </c>
      <c r="AE104" s="518" t="s">
        <v>56</v>
      </c>
    </row>
    <row r="105" spans="1:31" s="11" customFormat="1" ht="20.25" customHeight="1">
      <c r="A105" s="37"/>
      <c r="B105" s="38"/>
      <c r="C105" s="38"/>
      <c r="D105" s="420"/>
      <c r="E105" s="421"/>
      <c r="F105" s="421"/>
      <c r="G105" s="423"/>
      <c r="H105" s="421"/>
      <c r="I105" s="421"/>
      <c r="J105" s="423"/>
      <c r="K105" s="421"/>
      <c r="L105" s="421"/>
      <c r="M105" s="97"/>
      <c r="N105" s="60"/>
      <c r="O105" s="444" t="s">
        <v>500</v>
      </c>
      <c r="P105" s="444"/>
      <c r="Q105" s="444"/>
      <c r="R105" s="444"/>
      <c r="S105" s="489">
        <v>50000</v>
      </c>
      <c r="T105" s="489" t="s">
        <v>25</v>
      </c>
      <c r="U105" s="519" t="s">
        <v>26</v>
      </c>
      <c r="V105" s="489">
        <v>4</v>
      </c>
      <c r="W105" s="489" t="s">
        <v>452</v>
      </c>
      <c r="X105" s="519"/>
      <c r="Y105" s="489"/>
      <c r="Z105" s="489"/>
      <c r="AA105" s="489" t="s">
        <v>27</v>
      </c>
      <c r="AB105" s="489" t="s">
        <v>432</v>
      </c>
      <c r="AC105" s="492"/>
      <c r="AD105" s="492">
        <f>S105*V105</f>
        <v>200000</v>
      </c>
      <c r="AE105" s="505" t="s">
        <v>25</v>
      </c>
    </row>
    <row r="106" spans="1:31" s="11" customFormat="1" ht="20.25" customHeight="1">
      <c r="A106" s="37"/>
      <c r="B106" s="38"/>
      <c r="C106" s="38"/>
      <c r="D106" s="422"/>
      <c r="E106" s="423"/>
      <c r="F106" s="423"/>
      <c r="G106" s="423"/>
      <c r="H106" s="423"/>
      <c r="I106" s="423"/>
      <c r="J106" s="423"/>
      <c r="K106" s="423"/>
      <c r="L106" s="423"/>
      <c r="M106" s="97"/>
      <c r="N106" s="60"/>
      <c r="O106" s="455" t="s">
        <v>459</v>
      </c>
      <c r="P106" s="444"/>
      <c r="Q106" s="444"/>
      <c r="R106" s="444"/>
      <c r="S106" s="489"/>
      <c r="T106" s="489"/>
      <c r="U106" s="519"/>
      <c r="V106" s="489"/>
      <c r="W106" s="489"/>
      <c r="X106" s="519"/>
      <c r="Y106" s="520" t="s">
        <v>369</v>
      </c>
      <c r="Z106" s="520"/>
      <c r="AA106" s="520"/>
      <c r="AB106" s="520"/>
      <c r="AC106" s="493"/>
      <c r="AD106" s="493">
        <f>SUM(AD107:AD108)</f>
        <v>1780000</v>
      </c>
      <c r="AE106" s="521" t="s">
        <v>56</v>
      </c>
    </row>
    <row r="107" spans="1:31" s="11" customFormat="1" ht="20.25" customHeight="1">
      <c r="A107" s="37"/>
      <c r="B107" s="38"/>
      <c r="C107" s="38"/>
      <c r="D107" s="115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44" t="s">
        <v>460</v>
      </c>
      <c r="P107" s="444"/>
      <c r="Q107" s="444"/>
      <c r="R107" s="444"/>
      <c r="S107" s="489">
        <v>140000</v>
      </c>
      <c r="T107" s="489" t="s">
        <v>25</v>
      </c>
      <c r="U107" s="519" t="s">
        <v>26</v>
      </c>
      <c r="V107" s="489">
        <v>12</v>
      </c>
      <c r="W107" s="489" t="s">
        <v>452</v>
      </c>
      <c r="X107" s="519"/>
      <c r="Y107" s="489"/>
      <c r="Z107" s="489"/>
      <c r="AA107" s="489" t="s">
        <v>27</v>
      </c>
      <c r="AB107" s="489" t="s">
        <v>384</v>
      </c>
      <c r="AC107" s="492"/>
      <c r="AD107" s="492">
        <f>S107*V107</f>
        <v>1680000</v>
      </c>
      <c r="AE107" s="505" t="s">
        <v>25</v>
      </c>
    </row>
    <row r="108" spans="1:31" s="11" customFormat="1" ht="20.25" customHeight="1">
      <c r="A108" s="37"/>
      <c r="B108" s="38"/>
      <c r="C108" s="39"/>
      <c r="D108" s="115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50" t="s">
        <v>526</v>
      </c>
      <c r="P108" s="449"/>
      <c r="Q108" s="450"/>
      <c r="R108" s="450"/>
      <c r="S108" s="449"/>
      <c r="T108" s="522"/>
      <c r="U108" s="523"/>
      <c r="V108" s="449"/>
      <c r="W108" s="376"/>
      <c r="X108" s="376"/>
      <c r="Y108" s="524"/>
      <c r="Z108" s="65"/>
      <c r="AA108" s="284"/>
      <c r="AB108" s="449" t="s">
        <v>379</v>
      </c>
      <c r="AC108" s="120"/>
      <c r="AD108" s="120">
        <v>100000</v>
      </c>
      <c r="AE108" s="121" t="s">
        <v>56</v>
      </c>
    </row>
    <row r="109" spans="1:31" s="11" customFormat="1" ht="21" customHeight="1">
      <c r="A109" s="37"/>
      <c r="B109" s="49"/>
      <c r="C109" s="99"/>
      <c r="D109" s="133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38"/>
      <c r="P109" s="338"/>
      <c r="Q109" s="338"/>
      <c r="R109" s="338"/>
      <c r="S109" s="498"/>
      <c r="T109" s="499"/>
      <c r="U109" s="498"/>
      <c r="V109" s="525"/>
      <c r="W109" s="525"/>
      <c r="X109" s="498"/>
      <c r="Y109" s="498"/>
      <c r="Z109" s="498"/>
      <c r="AA109" s="498"/>
      <c r="AB109" s="498"/>
      <c r="AC109" s="498"/>
      <c r="AD109" s="498"/>
      <c r="AE109" s="382"/>
    </row>
    <row r="110" spans="1:31" s="11" customFormat="1" ht="21" customHeight="1">
      <c r="A110" s="101" t="s">
        <v>47</v>
      </c>
      <c r="B110" s="588" t="s">
        <v>20</v>
      </c>
      <c r="C110" s="588"/>
      <c r="D110" s="157">
        <f>D111</f>
        <v>5412</v>
      </c>
      <c r="E110" s="157">
        <f>E111</f>
        <v>6030</v>
      </c>
      <c r="F110" s="157">
        <f t="shared" ref="F110:L110" si="5">F111</f>
        <v>0</v>
      </c>
      <c r="G110" s="157">
        <f t="shared" si="5"/>
        <v>0</v>
      </c>
      <c r="H110" s="157">
        <f t="shared" si="5"/>
        <v>3000</v>
      </c>
      <c r="I110" s="157">
        <f t="shared" si="5"/>
        <v>0</v>
      </c>
      <c r="J110" s="157">
        <f t="shared" si="5"/>
        <v>3030</v>
      </c>
      <c r="K110" s="157">
        <f t="shared" si="5"/>
        <v>0</v>
      </c>
      <c r="L110" s="157">
        <f t="shared" si="5"/>
        <v>0</v>
      </c>
      <c r="M110" s="429">
        <f>E110-D110</f>
        <v>618</v>
      </c>
      <c r="N110" s="140">
        <f>IF(D110=0,0,M110/D110)</f>
        <v>0.11419068736141907</v>
      </c>
      <c r="O110" s="150" t="s">
        <v>385</v>
      </c>
      <c r="P110" s="150"/>
      <c r="Q110" s="150"/>
      <c r="R110" s="150"/>
      <c r="S110" s="500"/>
      <c r="T110" s="500"/>
      <c r="U110" s="500"/>
      <c r="V110" s="500"/>
      <c r="W110" s="500"/>
      <c r="X110" s="500"/>
      <c r="Y110" s="500"/>
      <c r="Z110" s="500"/>
      <c r="AA110" s="500"/>
      <c r="AB110" s="500"/>
      <c r="AC110" s="500"/>
      <c r="AD110" s="500">
        <f>AD111</f>
        <v>6030000</v>
      </c>
      <c r="AE110" s="389" t="s">
        <v>25</v>
      </c>
    </row>
    <row r="111" spans="1:31" s="11" customFormat="1" ht="21" customHeight="1">
      <c r="A111" s="156" t="s">
        <v>386</v>
      </c>
      <c r="B111" s="38" t="s">
        <v>17</v>
      </c>
      <c r="C111" s="38" t="s">
        <v>387</v>
      </c>
      <c r="D111" s="97">
        <f t="shared" ref="D111:L111" si="6">SUM(D112,D114,D126)</f>
        <v>5412</v>
      </c>
      <c r="E111" s="97">
        <f t="shared" si="6"/>
        <v>6030</v>
      </c>
      <c r="F111" s="97">
        <f t="shared" si="6"/>
        <v>0</v>
      </c>
      <c r="G111" s="97">
        <f t="shared" si="6"/>
        <v>0</v>
      </c>
      <c r="H111" s="97">
        <f t="shared" si="6"/>
        <v>3000</v>
      </c>
      <c r="I111" s="97">
        <f t="shared" si="6"/>
        <v>0</v>
      </c>
      <c r="J111" s="97">
        <f t="shared" si="6"/>
        <v>3030</v>
      </c>
      <c r="K111" s="97">
        <f t="shared" si="6"/>
        <v>0</v>
      </c>
      <c r="L111" s="97">
        <f t="shared" si="6"/>
        <v>0</v>
      </c>
      <c r="M111" s="97">
        <f>E111-D111</f>
        <v>618</v>
      </c>
      <c r="N111" s="60">
        <f>IF(D111=0,0,M111/D111)</f>
        <v>0.11419068736141907</v>
      </c>
      <c r="O111" s="152" t="s">
        <v>388</v>
      </c>
      <c r="P111" s="152"/>
      <c r="Q111" s="152"/>
      <c r="R111" s="152"/>
      <c r="S111" s="293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431"/>
      <c r="AD111" s="431">
        <f>AD112+AD114+AD126</f>
        <v>6030000</v>
      </c>
      <c r="AE111" s="526" t="s">
        <v>25</v>
      </c>
    </row>
    <row r="112" spans="1:31" s="11" customFormat="1" ht="21" customHeight="1">
      <c r="A112" s="37"/>
      <c r="B112" s="38"/>
      <c r="C112" s="28" t="s">
        <v>388</v>
      </c>
      <c r="D112" s="154">
        <v>0</v>
      </c>
      <c r="E112" s="154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4">
        <f>E112-D112</f>
        <v>0</v>
      </c>
      <c r="N112" s="155">
        <f>IF(D112=0,0,M112/D112)</f>
        <v>0</v>
      </c>
      <c r="O112" s="85" t="s">
        <v>48</v>
      </c>
      <c r="P112" s="152"/>
      <c r="Q112" s="152"/>
      <c r="R112" s="152"/>
      <c r="S112" s="293"/>
      <c r="T112" s="294"/>
      <c r="U112" s="294"/>
      <c r="V112" s="294"/>
      <c r="W112" s="294"/>
      <c r="X112" s="294"/>
      <c r="Y112" s="295" t="s">
        <v>387</v>
      </c>
      <c r="Z112" s="295"/>
      <c r="AA112" s="295"/>
      <c r="AB112" s="295"/>
      <c r="AC112" s="296"/>
      <c r="AD112" s="296">
        <v>0</v>
      </c>
      <c r="AE112" s="501" t="s">
        <v>25</v>
      </c>
    </row>
    <row r="113" spans="1:31" s="11" customFormat="1" ht="21" customHeight="1">
      <c r="A113" s="37"/>
      <c r="B113" s="38"/>
      <c r="C113" s="38"/>
      <c r="D113" s="132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384"/>
      <c r="T113" s="384"/>
      <c r="U113" s="384"/>
      <c r="V113" s="384"/>
      <c r="W113" s="384"/>
      <c r="X113" s="384"/>
      <c r="Y113" s="384"/>
      <c r="Z113" s="384"/>
      <c r="AA113" s="384"/>
      <c r="AB113" s="384" t="s">
        <v>339</v>
      </c>
      <c r="AC113" s="384"/>
      <c r="AD113" s="385">
        <v>0</v>
      </c>
      <c r="AE113" s="389" t="s">
        <v>334</v>
      </c>
    </row>
    <row r="114" spans="1:31" s="11" customFormat="1" ht="21" customHeight="1">
      <c r="A114" s="37"/>
      <c r="B114" s="38"/>
      <c r="C114" s="28" t="s">
        <v>18</v>
      </c>
      <c r="D114" s="134">
        <v>5000</v>
      </c>
      <c r="E114" s="102">
        <f>ROUND(AD114/1000,0)</f>
        <v>5000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3000</v>
      </c>
      <c r="I114" s="103">
        <f>SUMIF($AB$115:$AB$125,"후원",$AD$115:$AD$125)/1000</f>
        <v>0</v>
      </c>
      <c r="J114" s="103">
        <f>SUMIF($AB$115:$AB$125,"입소",$AD$115:$AD$125)/1000</f>
        <v>2000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4">
        <f>E114-D114</f>
        <v>0</v>
      </c>
      <c r="N114" s="109">
        <f>IF(D114=0,0,M114/D114)</f>
        <v>0</v>
      </c>
      <c r="O114" s="85" t="s">
        <v>49</v>
      </c>
      <c r="P114" s="152"/>
      <c r="Q114" s="152"/>
      <c r="R114" s="152"/>
      <c r="S114" s="293"/>
      <c r="T114" s="294"/>
      <c r="U114" s="294"/>
      <c r="V114" s="294"/>
      <c r="W114" s="294"/>
      <c r="X114" s="294"/>
      <c r="Y114" s="295" t="s">
        <v>369</v>
      </c>
      <c r="Z114" s="295"/>
      <c r="AA114" s="295"/>
      <c r="AB114" s="295"/>
      <c r="AC114" s="296"/>
      <c r="AD114" s="296">
        <f>SUM(AD115:AD125)</f>
        <v>5000000</v>
      </c>
      <c r="AE114" s="501" t="s">
        <v>25</v>
      </c>
    </row>
    <row r="115" spans="1:31" s="11" customFormat="1" ht="21" customHeight="1">
      <c r="A115" s="37"/>
      <c r="B115" s="38"/>
      <c r="C115" s="38"/>
      <c r="D115" s="420"/>
      <c r="E115" s="421"/>
      <c r="F115" s="421"/>
      <c r="G115" s="421"/>
      <c r="H115" s="421"/>
      <c r="I115" s="421"/>
      <c r="J115" s="421"/>
      <c r="K115" s="421"/>
      <c r="L115" s="421"/>
      <c r="M115" s="97"/>
      <c r="N115" s="60"/>
      <c r="O115" s="593" t="s">
        <v>525</v>
      </c>
      <c r="P115" s="594"/>
      <c r="Q115" s="594"/>
      <c r="R115" s="594"/>
      <c r="S115" s="489"/>
      <c r="T115" s="506"/>
      <c r="U115" s="506"/>
      <c r="V115" s="489"/>
      <c r="W115" s="507"/>
      <c r="X115" s="489"/>
      <c r="Y115" s="489"/>
      <c r="Z115" s="489"/>
      <c r="AA115" s="489"/>
      <c r="AB115" s="489" t="s">
        <v>463</v>
      </c>
      <c r="AC115" s="489"/>
      <c r="AD115" s="489">
        <v>3000000</v>
      </c>
      <c r="AE115" s="505" t="s">
        <v>25</v>
      </c>
    </row>
    <row r="116" spans="1:31" s="11" customFormat="1" ht="21" customHeight="1">
      <c r="A116" s="37"/>
      <c r="B116" s="38"/>
      <c r="C116" s="38"/>
      <c r="D116" s="422"/>
      <c r="E116" s="423"/>
      <c r="F116" s="423"/>
      <c r="G116" s="423"/>
      <c r="H116" s="423"/>
      <c r="I116" s="423"/>
      <c r="J116" s="423"/>
      <c r="K116" s="423"/>
      <c r="L116" s="423"/>
      <c r="M116" s="97"/>
      <c r="N116" s="60"/>
      <c r="O116" s="444" t="s">
        <v>527</v>
      </c>
      <c r="P116" s="444"/>
      <c r="Q116" s="444"/>
      <c r="R116" s="454"/>
      <c r="S116" s="514"/>
      <c r="T116" s="515"/>
      <c r="U116" s="515"/>
      <c r="V116" s="515"/>
      <c r="W116" s="515"/>
      <c r="X116" s="515"/>
      <c r="Y116" s="515"/>
      <c r="Z116" s="515"/>
      <c r="AA116" s="515"/>
      <c r="AB116" s="489" t="s">
        <v>432</v>
      </c>
      <c r="AC116" s="527"/>
      <c r="AD116" s="492">
        <v>2000000</v>
      </c>
      <c r="AE116" s="505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10" t="s">
        <v>515</v>
      </c>
      <c r="P117" s="410"/>
      <c r="Q117" s="410"/>
      <c r="R117" s="410"/>
      <c r="S117" s="449"/>
      <c r="T117" s="384"/>
      <c r="U117" s="289"/>
      <c r="V117" s="120"/>
      <c r="W117" s="120"/>
      <c r="X117" s="449"/>
      <c r="Y117" s="449"/>
      <c r="Z117" s="449"/>
      <c r="AA117" s="449"/>
      <c r="AB117" s="449" t="s">
        <v>516</v>
      </c>
      <c r="AC117" s="449"/>
      <c r="AD117" s="449">
        <v>0</v>
      </c>
      <c r="AE117" s="121" t="s">
        <v>517</v>
      </c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10"/>
      <c r="P118" s="410"/>
      <c r="Q118" s="410"/>
      <c r="R118" s="410"/>
      <c r="S118" s="449"/>
      <c r="T118" s="289"/>
      <c r="U118" s="289"/>
      <c r="V118" s="449"/>
      <c r="W118" s="450"/>
      <c r="X118" s="449"/>
      <c r="Y118" s="449"/>
      <c r="Z118" s="449"/>
      <c r="AA118" s="449"/>
      <c r="AB118" s="449" t="s">
        <v>365</v>
      </c>
      <c r="AC118" s="449"/>
      <c r="AD118" s="449"/>
      <c r="AE118" s="121" t="s">
        <v>334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10"/>
      <c r="P119" s="410"/>
      <c r="Q119" s="410"/>
      <c r="R119" s="410"/>
      <c r="S119" s="449"/>
      <c r="T119" s="384"/>
      <c r="U119" s="289"/>
      <c r="V119" s="120"/>
      <c r="W119" s="120"/>
      <c r="X119" s="449"/>
      <c r="Y119" s="449"/>
      <c r="Z119" s="449"/>
      <c r="AA119" s="449"/>
      <c r="AB119" s="449" t="s">
        <v>365</v>
      </c>
      <c r="AC119" s="449"/>
      <c r="AD119" s="449"/>
      <c r="AE119" s="121" t="s">
        <v>334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10"/>
      <c r="P120" s="410"/>
      <c r="Q120" s="410"/>
      <c r="R120" s="410"/>
      <c r="S120" s="449"/>
      <c r="T120" s="384"/>
      <c r="U120" s="289"/>
      <c r="V120" s="120"/>
      <c r="W120" s="120"/>
      <c r="X120" s="449"/>
      <c r="Y120" s="449"/>
      <c r="Z120" s="449"/>
      <c r="AA120" s="449"/>
      <c r="AB120" s="449" t="s">
        <v>365</v>
      </c>
      <c r="AC120" s="449"/>
      <c r="AD120" s="449"/>
      <c r="AE120" s="121" t="s">
        <v>334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10"/>
      <c r="P121" s="410"/>
      <c r="Q121" s="410"/>
      <c r="R121" s="410"/>
      <c r="S121" s="449"/>
      <c r="T121" s="384"/>
      <c r="U121" s="289"/>
      <c r="V121" s="120"/>
      <c r="W121" s="120"/>
      <c r="X121" s="449"/>
      <c r="Y121" s="449"/>
      <c r="Z121" s="449"/>
      <c r="AA121" s="449"/>
      <c r="AB121" s="449" t="s">
        <v>365</v>
      </c>
      <c r="AC121" s="449"/>
      <c r="AD121" s="449"/>
      <c r="AE121" s="121" t="s">
        <v>334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10"/>
      <c r="P122" s="410"/>
      <c r="Q122" s="410"/>
      <c r="R122" s="410"/>
      <c r="S122" s="449"/>
      <c r="T122" s="384"/>
      <c r="U122" s="289"/>
      <c r="V122" s="120"/>
      <c r="W122" s="120"/>
      <c r="X122" s="449"/>
      <c r="Y122" s="449"/>
      <c r="Z122" s="449"/>
      <c r="AA122" s="449"/>
      <c r="AB122" s="449" t="s">
        <v>365</v>
      </c>
      <c r="AC122" s="449"/>
      <c r="AD122" s="449"/>
      <c r="AE122" s="121" t="s">
        <v>334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10"/>
      <c r="P123" s="410"/>
      <c r="Q123" s="410"/>
      <c r="R123" s="410"/>
      <c r="S123" s="449"/>
      <c r="T123" s="384"/>
      <c r="U123" s="289"/>
      <c r="V123" s="120"/>
      <c r="W123" s="120"/>
      <c r="X123" s="449"/>
      <c r="Y123" s="449"/>
      <c r="Z123" s="449"/>
      <c r="AA123" s="449"/>
      <c r="AB123" s="449" t="s">
        <v>365</v>
      </c>
      <c r="AC123" s="449"/>
      <c r="AD123" s="449"/>
      <c r="AE123" s="121" t="s">
        <v>334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10"/>
      <c r="P124" s="410"/>
      <c r="Q124" s="410"/>
      <c r="R124" s="410"/>
      <c r="S124" s="449"/>
      <c r="T124" s="384"/>
      <c r="U124" s="289"/>
      <c r="V124" s="120"/>
      <c r="W124" s="120"/>
      <c r="X124" s="449"/>
      <c r="Y124" s="449"/>
      <c r="Z124" s="449"/>
      <c r="AA124" s="449"/>
      <c r="AB124" s="449" t="s">
        <v>365</v>
      </c>
      <c r="AC124" s="449"/>
      <c r="AD124" s="449"/>
      <c r="AE124" s="121" t="s">
        <v>334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10"/>
      <c r="P125" s="410"/>
      <c r="Q125" s="410"/>
      <c r="R125" s="410"/>
      <c r="S125" s="449"/>
      <c r="T125" s="384"/>
      <c r="U125" s="289"/>
      <c r="V125" s="120"/>
      <c r="W125" s="120"/>
      <c r="X125" s="449"/>
      <c r="Y125" s="449"/>
      <c r="Z125" s="449"/>
      <c r="AA125" s="449"/>
      <c r="AB125" s="449" t="s">
        <v>365</v>
      </c>
      <c r="AC125" s="449"/>
      <c r="AD125" s="449"/>
      <c r="AE125" s="121" t="s">
        <v>334</v>
      </c>
    </row>
    <row r="126" spans="1:31" s="11" customFormat="1" ht="21" customHeight="1">
      <c r="A126" s="37"/>
      <c r="B126" s="38"/>
      <c r="C126" s="28" t="s">
        <v>50</v>
      </c>
      <c r="D126" s="134">
        <v>412</v>
      </c>
      <c r="E126" s="102">
        <f>ROUND(AD126/1000,0)</f>
        <v>1030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0</v>
      </c>
      <c r="I126" s="103">
        <f>SUMIF($AB$127:$AB$131,"후원",$AD$127:$AD$131)/1000</f>
        <v>0</v>
      </c>
      <c r="J126" s="103">
        <f>SUMIF($AB$127:$AB$131,"입소",$AD$127:$AD$131)/1000</f>
        <v>1030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618</v>
      </c>
      <c r="N126" s="109">
        <f>IF(D126=0,0,M126/D126)</f>
        <v>1.5</v>
      </c>
      <c r="O126" s="85" t="s">
        <v>51</v>
      </c>
      <c r="P126" s="152"/>
      <c r="Q126" s="152"/>
      <c r="R126" s="152"/>
      <c r="S126" s="293"/>
      <c r="T126" s="294"/>
      <c r="U126" s="294"/>
      <c r="V126" s="294"/>
      <c r="W126" s="294"/>
      <c r="X126" s="294"/>
      <c r="Y126" s="295" t="s">
        <v>369</v>
      </c>
      <c r="Z126" s="295"/>
      <c r="AA126" s="295"/>
      <c r="AB126" s="295"/>
      <c r="AC126" s="296"/>
      <c r="AD126" s="296">
        <f>SUM(AD127:AD130)</f>
        <v>1030000</v>
      </c>
      <c r="AE126" s="501" t="s">
        <v>25</v>
      </c>
    </row>
    <row r="127" spans="1:31" s="1" customFormat="1" ht="21" customHeight="1">
      <c r="A127" s="37"/>
      <c r="B127" s="38"/>
      <c r="C127" s="38" t="s">
        <v>389</v>
      </c>
      <c r="D127" s="420"/>
      <c r="E127" s="421"/>
      <c r="F127" s="421"/>
      <c r="G127" s="421"/>
      <c r="H127" s="421"/>
      <c r="I127" s="421"/>
      <c r="J127" s="421"/>
      <c r="K127" s="421"/>
      <c r="L127" s="421"/>
      <c r="M127" s="97"/>
      <c r="N127" s="60"/>
      <c r="O127" s="444" t="s">
        <v>489</v>
      </c>
      <c r="P127" s="444"/>
      <c r="Q127" s="444"/>
      <c r="R127" s="444"/>
      <c r="S127" s="489"/>
      <c r="T127" s="506"/>
      <c r="U127" s="506"/>
      <c r="V127" s="489"/>
      <c r="W127" s="507"/>
      <c r="X127" s="489"/>
      <c r="Y127" s="489"/>
      <c r="Z127" s="489"/>
      <c r="AA127" s="489"/>
      <c r="AB127" s="489" t="s">
        <v>463</v>
      </c>
      <c r="AC127" s="489"/>
      <c r="AD127" s="489">
        <v>0</v>
      </c>
      <c r="AE127" s="505" t="s">
        <v>25</v>
      </c>
    </row>
    <row r="128" spans="1:31" s="1" customFormat="1" ht="21" customHeight="1">
      <c r="A128" s="37"/>
      <c r="B128" s="38"/>
      <c r="C128" s="38"/>
      <c r="D128" s="422"/>
      <c r="E128" s="423"/>
      <c r="F128" s="423"/>
      <c r="G128" s="423"/>
      <c r="H128" s="423"/>
      <c r="I128" s="423"/>
      <c r="J128" s="423"/>
      <c r="K128" s="423"/>
      <c r="L128" s="423"/>
      <c r="M128" s="97"/>
      <c r="N128" s="60"/>
      <c r="O128" s="444" t="s">
        <v>528</v>
      </c>
      <c r="P128" s="444"/>
      <c r="Q128" s="444"/>
      <c r="R128" s="444"/>
      <c r="S128" s="489"/>
      <c r="T128" s="506"/>
      <c r="U128" s="506"/>
      <c r="V128" s="489"/>
      <c r="W128" s="507"/>
      <c r="X128" s="489"/>
      <c r="Y128" s="489"/>
      <c r="Z128" s="489"/>
      <c r="AA128" s="489"/>
      <c r="AB128" s="489" t="s">
        <v>432</v>
      </c>
      <c r="AC128" s="489"/>
      <c r="AD128" s="489">
        <v>970000</v>
      </c>
      <c r="AE128" s="505" t="s">
        <v>25</v>
      </c>
    </row>
    <row r="129" spans="1:31" s="1" customFormat="1" ht="21" customHeight="1">
      <c r="A129" s="37"/>
      <c r="B129" s="38"/>
      <c r="C129" s="38"/>
      <c r="D129" s="132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44" t="s">
        <v>461</v>
      </c>
      <c r="P129" s="444"/>
      <c r="Q129" s="444"/>
      <c r="R129" s="444"/>
      <c r="S129" s="489"/>
      <c r="T129" s="506"/>
      <c r="U129" s="506"/>
      <c r="V129" s="489">
        <v>60000</v>
      </c>
      <c r="W129" s="507" t="s">
        <v>25</v>
      </c>
      <c r="X129" s="489" t="s">
        <v>26</v>
      </c>
      <c r="Y129" s="489">
        <v>1</v>
      </c>
      <c r="Z129" s="489" t="s">
        <v>452</v>
      </c>
      <c r="AA129" s="489" t="s">
        <v>27</v>
      </c>
      <c r="AB129" s="489" t="s">
        <v>432</v>
      </c>
      <c r="AC129" s="489"/>
      <c r="AD129" s="489">
        <f>V129*Y129</f>
        <v>60000</v>
      </c>
      <c r="AE129" s="505" t="s">
        <v>25</v>
      </c>
    </row>
    <row r="130" spans="1:31" s="1" customFormat="1" ht="21" customHeight="1">
      <c r="A130" s="37"/>
      <c r="B130" s="38"/>
      <c r="C130" s="38"/>
      <c r="D130" s="132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44" t="s">
        <v>462</v>
      </c>
      <c r="P130" s="444"/>
      <c r="Q130" s="444"/>
      <c r="R130" s="444"/>
      <c r="S130" s="489"/>
      <c r="T130" s="506"/>
      <c r="U130" s="506"/>
      <c r="V130" s="489">
        <v>0</v>
      </c>
      <c r="W130" s="507" t="s">
        <v>25</v>
      </c>
      <c r="X130" s="489" t="s">
        <v>26</v>
      </c>
      <c r="Y130" s="489">
        <v>1</v>
      </c>
      <c r="Z130" s="489" t="s">
        <v>452</v>
      </c>
      <c r="AA130" s="489" t="s">
        <v>27</v>
      </c>
      <c r="AB130" s="489" t="s">
        <v>432</v>
      </c>
      <c r="AC130" s="489"/>
      <c r="AD130" s="489">
        <f>V130*Y130</f>
        <v>0</v>
      </c>
      <c r="AE130" s="505" t="s">
        <v>25</v>
      </c>
    </row>
    <row r="131" spans="1:31" s="1" customFormat="1" ht="21" customHeight="1">
      <c r="A131" s="37"/>
      <c r="B131" s="38"/>
      <c r="C131" s="38"/>
      <c r="D131" s="132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10"/>
      <c r="P131" s="410"/>
      <c r="Q131" s="410"/>
      <c r="R131" s="410"/>
      <c r="S131" s="449"/>
      <c r="T131" s="289"/>
      <c r="U131" s="289"/>
      <c r="V131" s="449"/>
      <c r="W131" s="450"/>
      <c r="X131" s="489"/>
      <c r="Y131" s="449"/>
      <c r="Z131" s="449"/>
      <c r="AA131" s="489"/>
      <c r="AB131" s="449"/>
      <c r="AC131" s="449"/>
      <c r="AD131" s="489"/>
      <c r="AE131" s="121"/>
    </row>
    <row r="132" spans="1:31" s="11" customFormat="1" ht="21" customHeight="1">
      <c r="A132" s="158" t="s">
        <v>19</v>
      </c>
      <c r="B132" s="589" t="s">
        <v>20</v>
      </c>
      <c r="C132" s="590"/>
      <c r="D132" s="159">
        <f t="shared" ref="D132:M132" si="7">SUM(D133,D158)</f>
        <v>22679</v>
      </c>
      <c r="E132" s="159">
        <f t="shared" si="7"/>
        <v>17910</v>
      </c>
      <c r="F132" s="159">
        <f t="shared" ca="1" si="7"/>
        <v>4366</v>
      </c>
      <c r="G132" s="159">
        <f t="shared" si="7"/>
        <v>1365</v>
      </c>
      <c r="H132" s="159">
        <f t="shared" si="7"/>
        <v>0</v>
      </c>
      <c r="I132" s="159">
        <f t="shared" si="7"/>
        <v>555</v>
      </c>
      <c r="J132" s="159">
        <f t="shared" si="7"/>
        <v>11624</v>
      </c>
      <c r="K132" s="159">
        <f t="shared" si="7"/>
        <v>0</v>
      </c>
      <c r="L132" s="159">
        <f t="shared" si="7"/>
        <v>0</v>
      </c>
      <c r="M132" s="159">
        <f t="shared" si="7"/>
        <v>-4769</v>
      </c>
      <c r="N132" s="160">
        <f>IF(D132=0,0,M132/D132)</f>
        <v>-0.2102826403280568</v>
      </c>
      <c r="O132" s="152" t="s">
        <v>390</v>
      </c>
      <c r="P132" s="152"/>
      <c r="Q132" s="152"/>
      <c r="R132" s="152"/>
      <c r="S132" s="293"/>
      <c r="T132" s="294"/>
      <c r="U132" s="294"/>
      <c r="V132" s="294"/>
      <c r="W132" s="294"/>
      <c r="X132" s="294"/>
      <c r="Y132" s="294"/>
      <c r="Z132" s="294"/>
      <c r="AA132" s="294"/>
      <c r="AB132" s="294"/>
      <c r="AC132" s="294"/>
      <c r="AD132" s="294">
        <f>SUM(AD133,AD158)</f>
        <v>17910000</v>
      </c>
      <c r="AE132" s="526" t="s">
        <v>25</v>
      </c>
    </row>
    <row r="133" spans="1:31" s="11" customFormat="1" ht="21" customHeight="1">
      <c r="A133" s="38"/>
      <c r="B133" s="28" t="s">
        <v>391</v>
      </c>
      <c r="C133" s="28" t="s">
        <v>392</v>
      </c>
      <c r="D133" s="102">
        <f t="shared" ref="D133:L133" si="8">SUM(D134,D143,D147,D150,D155)</f>
        <v>16609</v>
      </c>
      <c r="E133" s="102">
        <f t="shared" si="8"/>
        <v>13910</v>
      </c>
      <c r="F133" s="102">
        <f t="shared" si="8"/>
        <v>4366</v>
      </c>
      <c r="G133" s="102">
        <f t="shared" si="8"/>
        <v>1365</v>
      </c>
      <c r="H133" s="102">
        <f t="shared" si="8"/>
        <v>0</v>
      </c>
      <c r="I133" s="102">
        <f t="shared" si="8"/>
        <v>555</v>
      </c>
      <c r="J133" s="102">
        <f t="shared" si="8"/>
        <v>7624</v>
      </c>
      <c r="K133" s="102">
        <f t="shared" si="8"/>
        <v>0</v>
      </c>
      <c r="L133" s="102">
        <f t="shared" si="8"/>
        <v>0</v>
      </c>
      <c r="M133" s="102">
        <f>E133-D133</f>
        <v>-2699</v>
      </c>
      <c r="N133" s="109">
        <f>IF(D133=0,0,M133/D133)</f>
        <v>-0.16250225781202962</v>
      </c>
      <c r="O133" s="152"/>
      <c r="P133" s="152"/>
      <c r="Q133" s="152"/>
      <c r="R133" s="152"/>
      <c r="S133" s="293"/>
      <c r="T133" s="294"/>
      <c r="U133" s="294"/>
      <c r="V133" s="294"/>
      <c r="W133" s="294"/>
      <c r="X133" s="294"/>
      <c r="Y133" s="294" t="s">
        <v>28</v>
      </c>
      <c r="Z133" s="294"/>
      <c r="AA133" s="294"/>
      <c r="AB133" s="294"/>
      <c r="AC133" s="431"/>
      <c r="AD133" s="431">
        <f>SUM(AD134,AD143,AD147,AD150,AD155)</f>
        <v>13910000</v>
      </c>
      <c r="AE133" s="526" t="s">
        <v>25</v>
      </c>
    </row>
    <row r="134" spans="1:31" s="11" customFormat="1" ht="21" customHeight="1">
      <c r="A134" s="38"/>
      <c r="B134" s="38"/>
      <c r="C134" s="28" t="s">
        <v>393</v>
      </c>
      <c r="D134" s="134">
        <v>14131</v>
      </c>
      <c r="E134" s="102">
        <f>AD134/1000</f>
        <v>11682</v>
      </c>
      <c r="F134" s="103">
        <f>SUMIF($AB$135:$AB$142,"보조",$AD$135:$AD$142)/1000</f>
        <v>4366</v>
      </c>
      <c r="G134" s="103">
        <f>SUMIF($AB$135:$AB$142,"4종",$AD$135:$AD$142)/1000</f>
        <v>945</v>
      </c>
      <c r="H134" s="103">
        <f>SUMIF($AB$135:$AB$142,"6종",$AD$135:$AD$142)/1000</f>
        <v>0</v>
      </c>
      <c r="I134" s="103">
        <f>SUMIF($AB$135:$AB$142,"후원",$AD$135:$AD$142)/1000</f>
        <v>0</v>
      </c>
      <c r="J134" s="103">
        <f>SUMIF($AB$135:$AB$142,"입소",$AD$135:$AD$142)/1000</f>
        <v>6371</v>
      </c>
      <c r="K134" s="103">
        <f>SUMIF($AB$135:$AB$142,"법인",$AD$135:$AD$142)/1000</f>
        <v>0</v>
      </c>
      <c r="L134" s="103">
        <f>SUMIF($AB$135:$AB$142,"잡수",$AD$135:$AD$142)/1000</f>
        <v>0</v>
      </c>
      <c r="M134" s="154">
        <f>E134-D134</f>
        <v>-2449</v>
      </c>
      <c r="N134" s="109">
        <f>IF(D134=0,0,M134/D134)</f>
        <v>-0.17330691387729105</v>
      </c>
      <c r="O134" s="85" t="s">
        <v>394</v>
      </c>
      <c r="P134" s="152"/>
      <c r="Q134" s="152"/>
      <c r="R134" s="152"/>
      <c r="S134" s="293"/>
      <c r="T134" s="294"/>
      <c r="U134" s="294"/>
      <c r="V134" s="294"/>
      <c r="W134" s="294"/>
      <c r="X134" s="294"/>
      <c r="Y134" s="295" t="s">
        <v>395</v>
      </c>
      <c r="Z134" s="295"/>
      <c r="AA134" s="295"/>
      <c r="AB134" s="295"/>
      <c r="AC134" s="296"/>
      <c r="AD134" s="296">
        <f>ROUND(SUM(AD135:AD141),-3)</f>
        <v>11682000</v>
      </c>
      <c r="AE134" s="501" t="s">
        <v>25</v>
      </c>
    </row>
    <row r="135" spans="1:31" s="11" customFormat="1" ht="21" customHeight="1">
      <c r="A135" s="38"/>
      <c r="B135" s="38"/>
      <c r="C135" s="38"/>
      <c r="D135" s="420"/>
      <c r="E135" s="421"/>
      <c r="F135" s="421"/>
      <c r="G135" s="421"/>
      <c r="H135" s="421"/>
      <c r="I135" s="421"/>
      <c r="J135" s="421"/>
      <c r="K135" s="421"/>
      <c r="L135" s="421"/>
      <c r="M135" s="97"/>
      <c r="N135" s="60"/>
      <c r="O135" s="444" t="s">
        <v>464</v>
      </c>
      <c r="P135" s="444"/>
      <c r="Q135" s="443"/>
      <c r="R135" s="443"/>
      <c r="S135" s="489">
        <v>218300</v>
      </c>
      <c r="T135" s="506" t="s">
        <v>25</v>
      </c>
      <c r="U135" s="506" t="s">
        <v>26</v>
      </c>
      <c r="V135" s="489">
        <v>5</v>
      </c>
      <c r="W135" s="507" t="s">
        <v>29</v>
      </c>
      <c r="X135" s="507" t="s">
        <v>26</v>
      </c>
      <c r="Y135" s="528">
        <v>4</v>
      </c>
      <c r="Z135" s="509" t="s">
        <v>108</v>
      </c>
      <c r="AA135" s="509" t="s">
        <v>27</v>
      </c>
      <c r="AB135" s="489" t="s">
        <v>441</v>
      </c>
      <c r="AC135" s="492"/>
      <c r="AD135" s="492">
        <f>S135*V135*Y135</f>
        <v>4366000</v>
      </c>
      <c r="AE135" s="505" t="s">
        <v>25</v>
      </c>
    </row>
    <row r="136" spans="1:31" s="11" customFormat="1" ht="21" customHeight="1">
      <c r="A136" s="38"/>
      <c r="B136" s="38"/>
      <c r="C136" s="38"/>
      <c r="D136" s="422"/>
      <c r="E136" s="423"/>
      <c r="F136" s="423"/>
      <c r="G136" s="423"/>
      <c r="H136" s="423"/>
      <c r="I136" s="423"/>
      <c r="J136" s="423"/>
      <c r="K136" s="423"/>
      <c r="L136" s="423"/>
      <c r="M136" s="97"/>
      <c r="N136" s="60"/>
      <c r="O136" s="444" t="s">
        <v>464</v>
      </c>
      <c r="P136" s="444"/>
      <c r="Q136" s="444"/>
      <c r="R136" s="444"/>
      <c r="S136" s="489">
        <v>170000</v>
      </c>
      <c r="T136" s="506" t="s">
        <v>25</v>
      </c>
      <c r="U136" s="506" t="s">
        <v>26</v>
      </c>
      <c r="V136" s="489">
        <v>7</v>
      </c>
      <c r="W136" s="507" t="s">
        <v>29</v>
      </c>
      <c r="X136" s="507" t="s">
        <v>26</v>
      </c>
      <c r="Y136" s="528">
        <v>4</v>
      </c>
      <c r="Z136" s="509" t="s">
        <v>108</v>
      </c>
      <c r="AA136" s="509" t="s">
        <v>27</v>
      </c>
      <c r="AB136" s="489" t="s">
        <v>432</v>
      </c>
      <c r="AC136" s="492"/>
      <c r="AD136" s="492">
        <f>S136*V136*Y136</f>
        <v>4760000</v>
      </c>
      <c r="AE136" s="505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44" t="s">
        <v>465</v>
      </c>
      <c r="P137" s="444"/>
      <c r="Q137" s="443"/>
      <c r="R137" s="443"/>
      <c r="S137" s="489">
        <v>148500</v>
      </c>
      <c r="T137" s="506" t="s">
        <v>25</v>
      </c>
      <c r="U137" s="506" t="s">
        <v>26</v>
      </c>
      <c r="V137" s="489"/>
      <c r="W137" s="507"/>
      <c r="X137" s="507"/>
      <c r="Y137" s="528">
        <v>4</v>
      </c>
      <c r="Z137" s="509" t="s">
        <v>108</v>
      </c>
      <c r="AA137" s="509" t="s">
        <v>27</v>
      </c>
      <c r="AB137" s="489" t="s">
        <v>295</v>
      </c>
      <c r="AC137" s="492"/>
      <c r="AD137" s="492">
        <f>S137*Y137</f>
        <v>594000</v>
      </c>
      <c r="AE137" s="505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56" t="s">
        <v>466</v>
      </c>
      <c r="P138" s="456"/>
      <c r="Q138" s="456"/>
      <c r="R138" s="456"/>
      <c r="S138" s="489">
        <v>180000</v>
      </c>
      <c r="T138" s="506" t="s">
        <v>25</v>
      </c>
      <c r="U138" s="506" t="s">
        <v>26</v>
      </c>
      <c r="V138" s="489">
        <v>1</v>
      </c>
      <c r="W138" s="507"/>
      <c r="X138" s="507" t="s">
        <v>26</v>
      </c>
      <c r="Y138" s="528">
        <v>4</v>
      </c>
      <c r="Z138" s="509" t="s">
        <v>108</v>
      </c>
      <c r="AA138" s="509" t="s">
        <v>27</v>
      </c>
      <c r="AB138" s="489" t="s">
        <v>432</v>
      </c>
      <c r="AC138" s="492"/>
      <c r="AD138" s="492">
        <f>S138*V138*Y138</f>
        <v>720000</v>
      </c>
      <c r="AE138" s="505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44" t="s">
        <v>467</v>
      </c>
      <c r="P139" s="444"/>
      <c r="Q139" s="443"/>
      <c r="R139" s="443"/>
      <c r="S139" s="489">
        <v>48750</v>
      </c>
      <c r="T139" s="506" t="s">
        <v>25</v>
      </c>
      <c r="U139" s="506" t="s">
        <v>26</v>
      </c>
      <c r="V139" s="489"/>
      <c r="W139" s="507"/>
      <c r="X139" s="507"/>
      <c r="Y139" s="528">
        <v>4</v>
      </c>
      <c r="Z139" s="509" t="s">
        <v>108</v>
      </c>
      <c r="AA139" s="509" t="s">
        <v>27</v>
      </c>
      <c r="AB139" s="489" t="s">
        <v>295</v>
      </c>
      <c r="AC139" s="492"/>
      <c r="AD139" s="492">
        <f>S139*Y139</f>
        <v>195000</v>
      </c>
      <c r="AE139" s="505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44" t="s">
        <v>468</v>
      </c>
      <c r="P140" s="444"/>
      <c r="Q140" s="443"/>
      <c r="R140" s="443"/>
      <c r="S140" s="489"/>
      <c r="T140" s="506"/>
      <c r="U140" s="506"/>
      <c r="V140" s="489"/>
      <c r="W140" s="507"/>
      <c r="X140" s="507"/>
      <c r="Y140" s="528"/>
      <c r="Z140" s="509"/>
      <c r="AA140" s="509"/>
      <c r="AB140" s="489" t="s">
        <v>379</v>
      </c>
      <c r="AC140" s="492"/>
      <c r="AD140" s="492">
        <v>891000</v>
      </c>
      <c r="AE140" s="505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44" t="s">
        <v>469</v>
      </c>
      <c r="P141" s="444"/>
      <c r="Q141" s="443"/>
      <c r="R141" s="443"/>
      <c r="S141" s="489">
        <v>39000</v>
      </c>
      <c r="T141" s="506" t="s">
        <v>25</v>
      </c>
      <c r="U141" s="506" t="s">
        <v>26</v>
      </c>
      <c r="V141" s="489"/>
      <c r="W141" s="507"/>
      <c r="X141" s="507"/>
      <c r="Y141" s="528">
        <v>4</v>
      </c>
      <c r="Z141" s="509" t="s">
        <v>108</v>
      </c>
      <c r="AA141" s="509" t="s">
        <v>27</v>
      </c>
      <c r="AB141" s="489" t="s">
        <v>295</v>
      </c>
      <c r="AC141" s="492"/>
      <c r="AD141" s="492">
        <f>S141*Y141</f>
        <v>156000</v>
      </c>
      <c r="AE141" s="505" t="s">
        <v>25</v>
      </c>
    </row>
    <row r="142" spans="1:31" s="11" customFormat="1" ht="21" customHeight="1">
      <c r="A142" s="38"/>
      <c r="B142" s="38"/>
      <c r="C142" s="49"/>
      <c r="D142" s="133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384"/>
      <c r="T142" s="384"/>
      <c r="U142" s="384"/>
      <c r="V142" s="384"/>
      <c r="W142" s="384"/>
      <c r="X142" s="384"/>
      <c r="Y142" s="384"/>
      <c r="Z142" s="384"/>
      <c r="AA142" s="384"/>
      <c r="AB142" s="384"/>
      <c r="AC142" s="384"/>
      <c r="AD142" s="385"/>
      <c r="AE142" s="529"/>
    </row>
    <row r="143" spans="1:31" s="11" customFormat="1" ht="21" customHeight="1">
      <c r="A143" s="38"/>
      <c r="B143" s="38"/>
      <c r="C143" s="38" t="s">
        <v>396</v>
      </c>
      <c r="D143" s="132">
        <v>738</v>
      </c>
      <c r="E143" s="97">
        <f>ROUND(AD143/1000,0)</f>
        <v>908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555</v>
      </c>
      <c r="J143" s="103">
        <f>SUMIF($AB$144:$AB$146,"입소",$AD$144:$AD$146)/1000</f>
        <v>353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170</v>
      </c>
      <c r="N143" s="60">
        <f>IF(D143=0,0,M143/D143)</f>
        <v>0.23035230352303523</v>
      </c>
      <c r="O143" s="85" t="s">
        <v>397</v>
      </c>
      <c r="P143" s="152"/>
      <c r="Q143" s="152"/>
      <c r="R143" s="152"/>
      <c r="S143" s="293"/>
      <c r="T143" s="294"/>
      <c r="U143" s="294"/>
      <c r="V143" s="294"/>
      <c r="W143" s="294"/>
      <c r="X143" s="294"/>
      <c r="Y143" s="295" t="s">
        <v>383</v>
      </c>
      <c r="Z143" s="295"/>
      <c r="AA143" s="295"/>
      <c r="AB143" s="295"/>
      <c r="AC143" s="296"/>
      <c r="AD143" s="296">
        <f>SUM(AD144:AD145)</f>
        <v>908000</v>
      </c>
      <c r="AE143" s="501" t="s">
        <v>25</v>
      </c>
    </row>
    <row r="144" spans="1:31" s="11" customFormat="1" ht="21" customHeight="1">
      <c r="A144" s="38"/>
      <c r="B144" s="38"/>
      <c r="C144" s="38" t="s">
        <v>398</v>
      </c>
      <c r="D144" s="420"/>
      <c r="E144" s="421"/>
      <c r="F144" s="421"/>
      <c r="G144" s="421"/>
      <c r="H144" s="421"/>
      <c r="I144" s="421"/>
      <c r="J144" s="421"/>
      <c r="K144" s="421"/>
      <c r="L144" s="421"/>
      <c r="M144" s="97"/>
      <c r="N144" s="60"/>
      <c r="O144" s="444" t="s">
        <v>470</v>
      </c>
      <c r="P144" s="444"/>
      <c r="Q144" s="444"/>
      <c r="R144" s="444"/>
      <c r="S144" s="489"/>
      <c r="T144" s="506"/>
      <c r="U144" s="506"/>
      <c r="V144" s="489"/>
      <c r="W144" s="489"/>
      <c r="X144" s="489"/>
      <c r="Y144" s="489"/>
      <c r="Z144" s="489"/>
      <c r="AA144" s="489"/>
      <c r="AB144" s="489" t="s">
        <v>471</v>
      </c>
      <c r="AC144" s="489"/>
      <c r="AD144" s="489">
        <v>555000</v>
      </c>
      <c r="AE144" s="505" t="s">
        <v>25</v>
      </c>
    </row>
    <row r="145" spans="1:31" s="11" customFormat="1" ht="21" customHeight="1">
      <c r="A145" s="38"/>
      <c r="B145" s="38"/>
      <c r="C145" s="38"/>
      <c r="D145" s="422"/>
      <c r="E145" s="423"/>
      <c r="F145" s="423"/>
      <c r="G145" s="423"/>
      <c r="H145" s="423"/>
      <c r="I145" s="423"/>
      <c r="J145" s="423"/>
      <c r="K145" s="423"/>
      <c r="L145" s="423"/>
      <c r="M145" s="97"/>
      <c r="N145" s="60"/>
      <c r="O145" s="444" t="s">
        <v>472</v>
      </c>
      <c r="P145" s="444"/>
      <c r="Q145" s="444"/>
      <c r="R145" s="444"/>
      <c r="S145" s="489"/>
      <c r="T145" s="506"/>
      <c r="U145" s="506"/>
      <c r="V145" s="489"/>
      <c r="W145" s="489"/>
      <c r="X145" s="489"/>
      <c r="Y145" s="489"/>
      <c r="Z145" s="489"/>
      <c r="AA145" s="489"/>
      <c r="AB145" s="489" t="s">
        <v>379</v>
      </c>
      <c r="AC145" s="489"/>
      <c r="AD145" s="489">
        <v>353000</v>
      </c>
      <c r="AE145" s="505" t="s">
        <v>25</v>
      </c>
    </row>
    <row r="146" spans="1:31" s="11" customFormat="1" ht="21" customHeight="1">
      <c r="A146" s="38"/>
      <c r="B146" s="38"/>
      <c r="C146" s="38"/>
      <c r="D146" s="132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4"/>
      <c r="P146" s="274"/>
      <c r="Q146" s="274"/>
      <c r="R146" s="274"/>
      <c r="S146" s="498"/>
      <c r="T146" s="381"/>
      <c r="U146" s="289"/>
      <c r="V146" s="388"/>
      <c r="W146" s="498"/>
      <c r="X146" s="498"/>
      <c r="Y146" s="498"/>
      <c r="Z146" s="498"/>
      <c r="AA146" s="498"/>
      <c r="AB146" s="498"/>
      <c r="AC146" s="498"/>
      <c r="AD146" s="498"/>
      <c r="AE146" s="382"/>
    </row>
    <row r="147" spans="1:31" s="11" customFormat="1" ht="21" customHeight="1">
      <c r="A147" s="38"/>
      <c r="B147" s="38"/>
      <c r="C147" s="28" t="s">
        <v>399</v>
      </c>
      <c r="D147" s="134">
        <v>1120</v>
      </c>
      <c r="E147" s="102">
        <f>ROUND(AD147/1000,0)</f>
        <v>860</v>
      </c>
      <c r="F147" s="103">
        <f>SUMIF($AB$148:$AB$149,"보조",$AD$148:$AD$149)/1000</f>
        <v>0</v>
      </c>
      <c r="G147" s="103">
        <f>SUMIF($AB$148:$AB$149,"4종",$AD$148:$AD$149)/1000</f>
        <v>260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600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-260</v>
      </c>
      <c r="N147" s="109">
        <f>IF(D147=0,0,M147/D147)</f>
        <v>-0.23214285714285715</v>
      </c>
      <c r="O147" s="85" t="s">
        <v>105</v>
      </c>
      <c r="P147" s="407"/>
      <c r="Q147" s="152"/>
      <c r="R147" s="152"/>
      <c r="S147" s="293"/>
      <c r="T147" s="294"/>
      <c r="U147" s="294"/>
      <c r="V147" s="294"/>
      <c r="W147" s="294"/>
      <c r="X147" s="294"/>
      <c r="Y147" s="295" t="s">
        <v>383</v>
      </c>
      <c r="Z147" s="295"/>
      <c r="AA147" s="295"/>
      <c r="AB147" s="295"/>
      <c r="AC147" s="296"/>
      <c r="AD147" s="296">
        <f>SUM(AD148:AD149)</f>
        <v>860000</v>
      </c>
      <c r="AE147" s="501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44" t="s">
        <v>473</v>
      </c>
      <c r="P148" s="444"/>
      <c r="Q148" s="443"/>
      <c r="R148" s="443"/>
      <c r="S148" s="489">
        <v>200000</v>
      </c>
      <c r="T148" s="489" t="s">
        <v>25</v>
      </c>
      <c r="U148" s="507" t="s">
        <v>26</v>
      </c>
      <c r="V148" s="489">
        <v>3</v>
      </c>
      <c r="W148" s="489" t="s">
        <v>108</v>
      </c>
      <c r="X148" s="507"/>
      <c r="Y148" s="489"/>
      <c r="Z148" s="489"/>
      <c r="AA148" s="489" t="s">
        <v>27</v>
      </c>
      <c r="AB148" s="489" t="s">
        <v>432</v>
      </c>
      <c r="AC148" s="492"/>
      <c r="AD148" s="492">
        <f>S148*V148</f>
        <v>600000</v>
      </c>
      <c r="AE148" s="505" t="s">
        <v>25</v>
      </c>
    </row>
    <row r="149" spans="1:31" s="11" customFormat="1" ht="21" customHeight="1">
      <c r="A149" s="38"/>
      <c r="B149" s="38"/>
      <c r="C149" s="38"/>
      <c r="D149" s="132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44"/>
      <c r="P149" s="444"/>
      <c r="Q149" s="443"/>
      <c r="R149" s="443"/>
      <c r="S149" s="489">
        <v>65000</v>
      </c>
      <c r="T149" s="489" t="s">
        <v>25</v>
      </c>
      <c r="U149" s="507" t="s">
        <v>26</v>
      </c>
      <c r="V149" s="489">
        <v>4</v>
      </c>
      <c r="W149" s="489" t="s">
        <v>108</v>
      </c>
      <c r="X149" s="507"/>
      <c r="Y149" s="489"/>
      <c r="Z149" s="489"/>
      <c r="AA149" s="489" t="s">
        <v>27</v>
      </c>
      <c r="AB149" s="489" t="s">
        <v>295</v>
      </c>
      <c r="AC149" s="492"/>
      <c r="AD149" s="492">
        <f>S149*V149</f>
        <v>260000</v>
      </c>
      <c r="AE149" s="505" t="s">
        <v>25</v>
      </c>
    </row>
    <row r="150" spans="1:31" s="11" customFormat="1" ht="21" customHeight="1">
      <c r="A150" s="38"/>
      <c r="B150" s="38"/>
      <c r="C150" s="28" t="s">
        <v>400</v>
      </c>
      <c r="D150" s="134">
        <v>620</v>
      </c>
      <c r="E150" s="102">
        <f>ROUND(AD150/1000,0)</f>
        <v>460</v>
      </c>
      <c r="F150" s="103">
        <f>SUMIF($AB$151:$AB$154,"보조",$AD$151:$AD$154)/1000</f>
        <v>0</v>
      </c>
      <c r="G150" s="103">
        <f>SUMIF($AB$151:$AB$154,"4종",$AD$151:$AD$154)/1000</f>
        <v>160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300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-160</v>
      </c>
      <c r="N150" s="109">
        <f>IF(D150=0,0,M150/D150)</f>
        <v>-0.25806451612903225</v>
      </c>
      <c r="O150" s="85" t="s">
        <v>401</v>
      </c>
      <c r="P150" s="407"/>
      <c r="Q150" s="152"/>
      <c r="R150" s="152"/>
      <c r="S150" s="293"/>
      <c r="T150" s="294"/>
      <c r="U150" s="294"/>
      <c r="V150" s="294"/>
      <c r="W150" s="294"/>
      <c r="X150" s="294"/>
      <c r="Y150" s="295" t="s">
        <v>402</v>
      </c>
      <c r="Z150" s="295"/>
      <c r="AA150" s="295"/>
      <c r="AB150" s="295"/>
      <c r="AC150" s="296"/>
      <c r="AD150" s="296">
        <f>SUM(AD151:AD153)</f>
        <v>460000</v>
      </c>
      <c r="AE150" s="501" t="s">
        <v>25</v>
      </c>
    </row>
    <row r="151" spans="1:31" s="13" customFormat="1" ht="21" customHeight="1">
      <c r="A151" s="38"/>
      <c r="B151" s="38"/>
      <c r="C151" s="38"/>
      <c r="D151" s="420"/>
      <c r="E151" s="421"/>
      <c r="F151" s="421"/>
      <c r="G151" s="421"/>
      <c r="H151" s="421"/>
      <c r="I151" s="421"/>
      <c r="J151" s="421"/>
      <c r="K151" s="421"/>
      <c r="L151" s="421"/>
      <c r="M151" s="97"/>
      <c r="N151" s="60"/>
      <c r="O151" s="444" t="s">
        <v>474</v>
      </c>
      <c r="P151" s="444"/>
      <c r="Q151" s="443"/>
      <c r="R151" s="443"/>
      <c r="S151" s="489">
        <v>40000</v>
      </c>
      <c r="T151" s="489" t="s">
        <v>25</v>
      </c>
      <c r="U151" s="507" t="s">
        <v>26</v>
      </c>
      <c r="V151" s="489">
        <v>1</v>
      </c>
      <c r="W151" s="489" t="s">
        <v>452</v>
      </c>
      <c r="X151" s="507" t="s">
        <v>26</v>
      </c>
      <c r="Y151" s="489">
        <v>3</v>
      </c>
      <c r="Z151" s="489" t="s">
        <v>108</v>
      </c>
      <c r="AA151" s="489" t="s">
        <v>27</v>
      </c>
      <c r="AB151" s="489" t="s">
        <v>432</v>
      </c>
      <c r="AC151" s="492"/>
      <c r="AD151" s="492">
        <v>0</v>
      </c>
      <c r="AE151" s="505" t="s">
        <v>25</v>
      </c>
    </row>
    <row r="152" spans="1:31" s="13" customFormat="1" ht="21" customHeight="1">
      <c r="A152" s="38"/>
      <c r="B152" s="38"/>
      <c r="C152" s="38"/>
      <c r="D152" s="422"/>
      <c r="E152" s="423"/>
      <c r="F152" s="423"/>
      <c r="G152" s="423"/>
      <c r="H152" s="423"/>
      <c r="I152" s="423"/>
      <c r="J152" s="423"/>
      <c r="K152" s="423"/>
      <c r="L152" s="423"/>
      <c r="M152" s="97"/>
      <c r="N152" s="271"/>
      <c r="O152" s="455"/>
      <c r="P152" s="444"/>
      <c r="Q152" s="444"/>
      <c r="R152" s="444"/>
      <c r="S152" s="489">
        <v>40000</v>
      </c>
      <c r="T152" s="489" t="s">
        <v>25</v>
      </c>
      <c r="U152" s="507" t="s">
        <v>26</v>
      </c>
      <c r="V152" s="489">
        <v>1</v>
      </c>
      <c r="W152" s="489" t="s">
        <v>452</v>
      </c>
      <c r="X152" s="507" t="s">
        <v>26</v>
      </c>
      <c r="Y152" s="489">
        <v>4</v>
      </c>
      <c r="Z152" s="489" t="s">
        <v>108</v>
      </c>
      <c r="AA152" s="489" t="s">
        <v>27</v>
      </c>
      <c r="AB152" s="489" t="s">
        <v>295</v>
      </c>
      <c r="AC152" s="492"/>
      <c r="AD152" s="489">
        <f>S152*Y152</f>
        <v>160000</v>
      </c>
      <c r="AE152" s="505" t="s">
        <v>25</v>
      </c>
    </row>
    <row r="153" spans="1:31" s="13" customFormat="1" ht="21" customHeight="1">
      <c r="A153" s="38"/>
      <c r="B153" s="38"/>
      <c r="C153" s="38"/>
      <c r="D153" s="132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55" t="s">
        <v>475</v>
      </c>
      <c r="P153" s="444"/>
      <c r="Q153" s="444"/>
      <c r="R153" s="444"/>
      <c r="S153" s="489"/>
      <c r="T153" s="489"/>
      <c r="U153" s="507"/>
      <c r="V153" s="489"/>
      <c r="W153" s="489"/>
      <c r="X153" s="507"/>
      <c r="Y153" s="528"/>
      <c r="Z153" s="509"/>
      <c r="AA153" s="509"/>
      <c r="AB153" s="489" t="s">
        <v>432</v>
      </c>
      <c r="AC153" s="492"/>
      <c r="AD153" s="489">
        <v>300000</v>
      </c>
      <c r="AE153" s="505" t="s">
        <v>25</v>
      </c>
    </row>
    <row r="154" spans="1:31" s="11" customFormat="1" ht="21" customHeight="1">
      <c r="A154" s="38"/>
      <c r="B154" s="38"/>
      <c r="C154" s="49"/>
      <c r="D154" s="133"/>
      <c r="E154" s="139"/>
      <c r="F154" s="139"/>
      <c r="G154" s="139"/>
      <c r="H154" s="139"/>
      <c r="I154" s="139"/>
      <c r="J154" s="139"/>
      <c r="K154" s="139"/>
      <c r="L154" s="139"/>
      <c r="M154" s="117"/>
      <c r="N154" s="75"/>
      <c r="O154" s="386"/>
      <c r="P154" s="386"/>
      <c r="Q154" s="386"/>
      <c r="R154" s="386"/>
      <c r="S154" s="386"/>
      <c r="T154" s="118"/>
      <c r="U154" s="449"/>
      <c r="V154" s="284"/>
      <c r="W154" s="449"/>
      <c r="X154" s="449"/>
      <c r="Y154" s="449"/>
      <c r="Z154" s="449"/>
      <c r="AA154" s="449"/>
      <c r="AB154" s="449"/>
      <c r="AC154" s="449"/>
      <c r="AD154" s="449"/>
      <c r="AE154" s="121"/>
    </row>
    <row r="155" spans="1:31" s="11" customFormat="1" ht="21" customHeight="1">
      <c r="A155" s="38"/>
      <c r="B155" s="38"/>
      <c r="C155" s="38" t="s">
        <v>403</v>
      </c>
      <c r="D155" s="115">
        <v>0</v>
      </c>
      <c r="E155" s="97">
        <f>ROUND(AD155/1000,0)</f>
        <v>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0</v>
      </c>
      <c r="N155" s="60">
        <f>IF(D155=0,0,M155/D155)</f>
        <v>0</v>
      </c>
      <c r="O155" s="85" t="s">
        <v>404</v>
      </c>
      <c r="P155" s="152"/>
      <c r="Q155" s="152"/>
      <c r="R155" s="152"/>
      <c r="S155" s="293"/>
      <c r="T155" s="294"/>
      <c r="U155" s="294"/>
      <c r="V155" s="294"/>
      <c r="W155" s="294"/>
      <c r="X155" s="294"/>
      <c r="Y155" s="295" t="s">
        <v>402</v>
      </c>
      <c r="Z155" s="295"/>
      <c r="AA155" s="295"/>
      <c r="AB155" s="295"/>
      <c r="AC155" s="296"/>
      <c r="AD155" s="296">
        <f>SUM(AD156:AD157)</f>
        <v>0</v>
      </c>
      <c r="AE155" s="501" t="s">
        <v>25</v>
      </c>
    </row>
    <row r="156" spans="1:31" s="11" customFormat="1" ht="21" customHeight="1">
      <c r="A156" s="38"/>
      <c r="B156" s="38"/>
      <c r="C156" s="38"/>
      <c r="D156" s="420"/>
      <c r="E156" s="421"/>
      <c r="F156" s="421"/>
      <c r="G156" s="421"/>
      <c r="H156" s="421"/>
      <c r="I156" s="421"/>
      <c r="J156" s="421"/>
      <c r="K156" s="421"/>
      <c r="L156" s="421"/>
      <c r="M156" s="97"/>
      <c r="N156" s="60"/>
      <c r="O156" s="444" t="s">
        <v>476</v>
      </c>
      <c r="P156" s="444"/>
      <c r="Q156" s="444"/>
      <c r="R156" s="444"/>
      <c r="S156" s="489">
        <v>20000</v>
      </c>
      <c r="T156" s="506" t="s">
        <v>25</v>
      </c>
      <c r="U156" s="506" t="s">
        <v>26</v>
      </c>
      <c r="V156" s="489">
        <v>6</v>
      </c>
      <c r="W156" s="489" t="s">
        <v>29</v>
      </c>
      <c r="X156" s="509"/>
      <c r="Y156" s="530"/>
      <c r="Z156" s="531"/>
      <c r="AA156" s="532" t="s">
        <v>27</v>
      </c>
      <c r="AB156" s="489" t="s">
        <v>432</v>
      </c>
      <c r="AC156" s="489"/>
      <c r="AD156" s="489">
        <v>0</v>
      </c>
      <c r="AE156" s="505" t="s">
        <v>25</v>
      </c>
    </row>
    <row r="157" spans="1:31" s="11" customFormat="1" ht="21" customHeight="1">
      <c r="A157" s="38"/>
      <c r="B157" s="38"/>
      <c r="C157" s="38"/>
      <c r="D157" s="132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10"/>
      <c r="P157" s="410"/>
      <c r="Q157" s="410"/>
      <c r="R157" s="410"/>
      <c r="S157" s="449"/>
      <c r="T157" s="289"/>
      <c r="U157" s="450"/>
      <c r="V157" s="449"/>
      <c r="W157" s="450"/>
      <c r="X157" s="449"/>
      <c r="Y157" s="449"/>
      <c r="Z157" s="449"/>
      <c r="AA157" s="449"/>
      <c r="AB157" s="449"/>
      <c r="AC157" s="449"/>
      <c r="AD157" s="449"/>
      <c r="AE157" s="121"/>
    </row>
    <row r="158" spans="1:31" s="11" customFormat="1" ht="21" customHeight="1">
      <c r="A158" s="38"/>
      <c r="B158" s="28" t="s">
        <v>405</v>
      </c>
      <c r="C158" s="142" t="s">
        <v>406</v>
      </c>
      <c r="D158" s="143">
        <f>SUM(D159,D164,D165,D167,D170,D174,D179,D182)</f>
        <v>6070</v>
      </c>
      <c r="E158" s="143">
        <f t="shared" ref="E158:L158" si="9">SUM(E159,E164,E167,E170,E174,E179,E182)</f>
        <v>4000</v>
      </c>
      <c r="F158" s="143">
        <f t="shared" ca="1" si="9"/>
        <v>0</v>
      </c>
      <c r="G158" s="143">
        <f t="shared" si="9"/>
        <v>0</v>
      </c>
      <c r="H158" s="143">
        <f t="shared" si="9"/>
        <v>0</v>
      </c>
      <c r="I158" s="143">
        <f t="shared" si="9"/>
        <v>0</v>
      </c>
      <c r="J158" s="143">
        <f t="shared" si="9"/>
        <v>4000</v>
      </c>
      <c r="K158" s="143">
        <f t="shared" si="9"/>
        <v>0</v>
      </c>
      <c r="L158" s="143">
        <f t="shared" si="9"/>
        <v>0</v>
      </c>
      <c r="M158" s="143">
        <f>SUM(M159,M164,M165,M167,M170,M174,M179,M182)</f>
        <v>-2070</v>
      </c>
      <c r="N158" s="140">
        <f>IF(D158=0,0,M158/D158)</f>
        <v>-0.34102141680395387</v>
      </c>
      <c r="O158" s="407"/>
      <c r="P158" s="407"/>
      <c r="Q158" s="407"/>
      <c r="R158" s="407"/>
      <c r="S158" s="533"/>
      <c r="T158" s="295"/>
      <c r="U158" s="295"/>
      <c r="V158" s="295"/>
      <c r="W158" s="295"/>
      <c r="X158" s="295"/>
      <c r="Y158" s="295" t="s">
        <v>28</v>
      </c>
      <c r="Z158" s="295"/>
      <c r="AA158" s="295"/>
      <c r="AB158" s="295"/>
      <c r="AC158" s="296"/>
      <c r="AD158" s="296">
        <f>SUM(AD159,AD164,AD167,AD170,AD174,AD179,AD182)</f>
        <v>4000000</v>
      </c>
      <c r="AE158" s="501" t="s">
        <v>25</v>
      </c>
    </row>
    <row r="159" spans="1:31" s="11" customFormat="1" ht="21" customHeight="1">
      <c r="A159" s="38"/>
      <c r="B159" s="38" t="s">
        <v>407</v>
      </c>
      <c r="C159" s="28" t="s">
        <v>480</v>
      </c>
      <c r="D159" s="134">
        <v>940</v>
      </c>
      <c r="E159" s="97">
        <f>ROUND(AD159/1000,0)</f>
        <v>900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900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-40</v>
      </c>
      <c r="N159" s="60">
        <f>IF(D159=0,0,M159/D159)</f>
        <v>-4.2553191489361701E-2</v>
      </c>
      <c r="O159" s="85"/>
      <c r="P159" s="152"/>
      <c r="Q159" s="152"/>
      <c r="R159" s="152"/>
      <c r="S159" s="293"/>
      <c r="T159" s="294"/>
      <c r="U159" s="294"/>
      <c r="V159" s="294"/>
      <c r="W159" s="294"/>
      <c r="X159" s="294"/>
      <c r="Y159" s="295" t="s">
        <v>402</v>
      </c>
      <c r="Z159" s="295"/>
      <c r="AA159" s="295"/>
      <c r="AB159" s="295"/>
      <c r="AC159" s="296"/>
      <c r="AD159" s="296">
        <f>SUM(AD160:AD162)</f>
        <v>900000</v>
      </c>
      <c r="AE159" s="501" t="s">
        <v>25</v>
      </c>
    </row>
    <row r="160" spans="1:31" s="11" customFormat="1" ht="21" customHeight="1">
      <c r="A160" s="38"/>
      <c r="B160" s="38"/>
      <c r="C160" s="38" t="s">
        <v>410</v>
      </c>
      <c r="D160" s="420"/>
      <c r="E160" s="421"/>
      <c r="F160" s="421"/>
      <c r="G160" s="421"/>
      <c r="H160" s="421"/>
      <c r="I160" s="421"/>
      <c r="J160" s="421"/>
      <c r="K160" s="421"/>
      <c r="L160" s="421"/>
      <c r="M160" s="97"/>
      <c r="N160" s="60"/>
      <c r="O160" s="444" t="s">
        <v>477</v>
      </c>
      <c r="P160" s="444"/>
      <c r="Q160" s="444"/>
      <c r="R160" s="444"/>
      <c r="S160" s="489">
        <v>60000</v>
      </c>
      <c r="T160" s="506" t="s">
        <v>25</v>
      </c>
      <c r="U160" s="506" t="s">
        <v>26</v>
      </c>
      <c r="V160" s="489">
        <v>4</v>
      </c>
      <c r="W160" s="489" t="s">
        <v>108</v>
      </c>
      <c r="X160" s="509"/>
      <c r="Y160" s="530"/>
      <c r="Z160" s="531"/>
      <c r="AA160" s="532" t="s">
        <v>27</v>
      </c>
      <c r="AB160" s="489" t="s">
        <v>432</v>
      </c>
      <c r="AC160" s="489"/>
      <c r="AD160" s="489">
        <f>S160*V160</f>
        <v>240000</v>
      </c>
      <c r="AE160" s="505" t="s">
        <v>25</v>
      </c>
    </row>
    <row r="161" spans="1:31" s="11" customFormat="1" ht="21" customHeight="1">
      <c r="A161" s="38"/>
      <c r="B161" s="38"/>
      <c r="C161" s="38"/>
      <c r="D161" s="422"/>
      <c r="E161" s="423"/>
      <c r="F161" s="423"/>
      <c r="G161" s="423"/>
      <c r="H161" s="423"/>
      <c r="I161" s="423"/>
      <c r="J161" s="423"/>
      <c r="K161" s="423"/>
      <c r="L161" s="423"/>
      <c r="M161" s="97"/>
      <c r="N161" s="60"/>
      <c r="O161" s="444" t="s">
        <v>478</v>
      </c>
      <c r="P161" s="444"/>
      <c r="Q161" s="444"/>
      <c r="R161" s="444"/>
      <c r="S161" s="489">
        <v>20000</v>
      </c>
      <c r="T161" s="506" t="s">
        <v>25</v>
      </c>
      <c r="U161" s="506" t="s">
        <v>26</v>
      </c>
      <c r="V161" s="489">
        <v>4</v>
      </c>
      <c r="W161" s="489" t="s">
        <v>55</v>
      </c>
      <c r="X161" s="506" t="s">
        <v>26</v>
      </c>
      <c r="Y161" s="530">
        <v>2</v>
      </c>
      <c r="Z161" s="531" t="s">
        <v>71</v>
      </c>
      <c r="AA161" s="532" t="s">
        <v>27</v>
      </c>
      <c r="AB161" s="489" t="s">
        <v>432</v>
      </c>
      <c r="AC161" s="489"/>
      <c r="AD161" s="489">
        <f>S161*V161*Y161</f>
        <v>160000</v>
      </c>
      <c r="AE161" s="505" t="s">
        <v>25</v>
      </c>
    </row>
    <row r="162" spans="1:31" s="11" customFormat="1" ht="21" customHeight="1">
      <c r="A162" s="38"/>
      <c r="B162" s="38"/>
      <c r="C162" s="38"/>
      <c r="D162" s="132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44" t="s">
        <v>479</v>
      </c>
      <c r="P162" s="444"/>
      <c r="Q162" s="444"/>
      <c r="R162" s="444"/>
      <c r="S162" s="489">
        <v>50000</v>
      </c>
      <c r="T162" s="506" t="s">
        <v>25</v>
      </c>
      <c r="U162" s="506" t="s">
        <v>26</v>
      </c>
      <c r="V162" s="489">
        <v>10</v>
      </c>
      <c r="W162" s="489" t="s">
        <v>452</v>
      </c>
      <c r="X162" s="509"/>
      <c r="Y162" s="530"/>
      <c r="Z162" s="531"/>
      <c r="AA162" s="532" t="s">
        <v>27</v>
      </c>
      <c r="AB162" s="489" t="s">
        <v>432</v>
      </c>
      <c r="AC162" s="489"/>
      <c r="AD162" s="489">
        <f>S162*V162</f>
        <v>500000</v>
      </c>
      <c r="AE162" s="505" t="s">
        <v>25</v>
      </c>
    </row>
    <row r="163" spans="1:31" s="11" customFormat="1" ht="21" customHeight="1">
      <c r="A163" s="38"/>
      <c r="B163" s="38"/>
      <c r="C163" s="38"/>
      <c r="D163" s="132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10"/>
      <c r="P163" s="386"/>
      <c r="Q163" s="386"/>
      <c r="R163" s="386"/>
      <c r="S163" s="386"/>
      <c r="T163" s="386"/>
      <c r="U163" s="386"/>
      <c r="V163" s="386"/>
      <c r="W163" s="386"/>
      <c r="X163" s="386"/>
      <c r="Y163" s="386"/>
      <c r="Z163" s="386"/>
      <c r="AA163" s="386"/>
      <c r="AB163" s="386"/>
      <c r="AC163" s="386"/>
      <c r="AD163" s="386"/>
      <c r="AE163" s="387"/>
    </row>
    <row r="164" spans="1:31" s="11" customFormat="1" ht="21" customHeight="1">
      <c r="A164" s="38"/>
      <c r="B164" s="38"/>
      <c r="C164" s="28" t="s">
        <v>409</v>
      </c>
      <c r="D164" s="134">
        <v>300</v>
      </c>
      <c r="E164" s="102">
        <f>ROUND(AD164/1000,0)</f>
        <v>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4">
        <f>E164-D164</f>
        <v>-300</v>
      </c>
      <c r="N164" s="109">
        <f>IF(D164=0,0,M164/D164)</f>
        <v>-1</v>
      </c>
      <c r="O164" s="282"/>
      <c r="P164" s="293"/>
      <c r="Q164" s="293"/>
      <c r="R164" s="433"/>
      <c r="S164" s="433"/>
      <c r="T164" s="433"/>
      <c r="U164" s="433"/>
      <c r="V164" s="433"/>
      <c r="W164" s="434" t="s">
        <v>408</v>
      </c>
      <c r="X164" s="434"/>
      <c r="Y164" s="434"/>
      <c r="Z164" s="434"/>
      <c r="AA164" s="434"/>
      <c r="AB164" s="434"/>
      <c r="AC164" s="435"/>
      <c r="AD164" s="436">
        <f>SUM(AD165:AD166)</f>
        <v>0</v>
      </c>
      <c r="AE164" s="437" t="s">
        <v>25</v>
      </c>
    </row>
    <row r="165" spans="1:31" s="11" customFormat="1" ht="21" customHeight="1">
      <c r="A165" s="38"/>
      <c r="B165" s="38"/>
      <c r="C165" s="38" t="s">
        <v>103</v>
      </c>
      <c r="D165" s="132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44" t="s">
        <v>513</v>
      </c>
      <c r="P165" s="444"/>
      <c r="Q165" s="444"/>
      <c r="R165" s="444"/>
      <c r="S165" s="489"/>
      <c r="T165" s="506"/>
      <c r="U165" s="506"/>
      <c r="V165" s="489"/>
      <c r="W165" s="507"/>
      <c r="X165" s="489"/>
      <c r="Y165" s="534"/>
      <c r="Z165" s="534"/>
      <c r="AA165" s="534"/>
      <c r="AB165" s="534" t="s">
        <v>432</v>
      </c>
      <c r="AC165" s="534"/>
      <c r="AD165" s="494">
        <v>0</v>
      </c>
      <c r="AE165" s="535" t="s">
        <v>25</v>
      </c>
    </row>
    <row r="166" spans="1:31" s="11" customFormat="1" ht="24" customHeight="1">
      <c r="A166" s="38"/>
      <c r="B166" s="38"/>
      <c r="C166" s="38"/>
      <c r="D166" s="132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10"/>
      <c r="P166" s="386"/>
      <c r="Q166" s="386"/>
      <c r="R166" s="386"/>
      <c r="S166" s="386"/>
      <c r="T166" s="386"/>
      <c r="U166" s="386"/>
      <c r="V166" s="386"/>
      <c r="W166" s="386"/>
      <c r="X166" s="386"/>
      <c r="Y166" s="386"/>
      <c r="Z166" s="386"/>
      <c r="AA166" s="386"/>
      <c r="AB166" s="386"/>
      <c r="AC166" s="386"/>
      <c r="AD166" s="386"/>
      <c r="AE166" s="387"/>
    </row>
    <row r="167" spans="1:31" s="14" customFormat="1" ht="24" customHeight="1">
      <c r="A167" s="38"/>
      <c r="B167" s="38"/>
      <c r="C167" s="28" t="s">
        <v>482</v>
      </c>
      <c r="D167" s="438">
        <v>450</v>
      </c>
      <c r="E167" s="102">
        <f>ROUND(AD167/1000,0)</f>
        <v>288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288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-162</v>
      </c>
      <c r="N167" s="109">
        <f>IF(D167=0,0,M167/D167)</f>
        <v>-0.36</v>
      </c>
      <c r="O167" s="439"/>
      <c r="P167" s="138"/>
      <c r="Q167" s="138"/>
      <c r="R167" s="138"/>
      <c r="S167" s="297"/>
      <c r="T167" s="285"/>
      <c r="U167" s="285"/>
      <c r="V167" s="285"/>
      <c r="W167" s="434" t="s">
        <v>408</v>
      </c>
      <c r="X167" s="434"/>
      <c r="Y167" s="434"/>
      <c r="Z167" s="434"/>
      <c r="AA167" s="434"/>
      <c r="AB167" s="434"/>
      <c r="AC167" s="435"/>
      <c r="AD167" s="436">
        <f>SUM(AD168)</f>
        <v>288000</v>
      </c>
      <c r="AE167" s="437" t="s">
        <v>25</v>
      </c>
    </row>
    <row r="168" spans="1:31" s="14" customFormat="1" ht="24" customHeight="1">
      <c r="A168" s="38"/>
      <c r="B168" s="38"/>
      <c r="C168" s="38" t="s">
        <v>410</v>
      </c>
      <c r="D168" s="420"/>
      <c r="E168" s="421"/>
      <c r="F168" s="421"/>
      <c r="G168" s="421"/>
      <c r="H168" s="421"/>
      <c r="I168" s="421"/>
      <c r="J168" s="421"/>
      <c r="K168" s="421"/>
      <c r="L168" s="421"/>
      <c r="M168" s="97"/>
      <c r="N168" s="60"/>
      <c r="O168" s="444" t="s">
        <v>481</v>
      </c>
      <c r="P168" s="454"/>
      <c r="Q168" s="454"/>
      <c r="R168" s="453"/>
      <c r="S168" s="489">
        <v>12000</v>
      </c>
      <c r="T168" s="489" t="s">
        <v>25</v>
      </c>
      <c r="U168" s="507" t="s">
        <v>26</v>
      </c>
      <c r="V168" s="489">
        <v>4</v>
      </c>
      <c r="W168" s="489" t="s">
        <v>108</v>
      </c>
      <c r="X168" s="507" t="s">
        <v>26</v>
      </c>
      <c r="Y168" s="528">
        <v>6</v>
      </c>
      <c r="Z168" s="509" t="s">
        <v>452</v>
      </c>
      <c r="AA168" s="509" t="s">
        <v>27</v>
      </c>
      <c r="AB168" s="489" t="s">
        <v>432</v>
      </c>
      <c r="AC168" s="492"/>
      <c r="AD168" s="489">
        <f>S168*V168*Y168</f>
        <v>288000</v>
      </c>
      <c r="AE168" s="505" t="s">
        <v>25</v>
      </c>
    </row>
    <row r="169" spans="1:31" s="14" customFormat="1" ht="24" customHeight="1">
      <c r="A169" s="38"/>
      <c r="B169" s="38"/>
      <c r="C169" s="38"/>
      <c r="D169" s="422"/>
      <c r="E169" s="423"/>
      <c r="F169" s="423"/>
      <c r="G169" s="423"/>
      <c r="H169" s="423"/>
      <c r="I169" s="423"/>
      <c r="J169" s="423"/>
      <c r="K169" s="423"/>
      <c r="L169" s="423"/>
      <c r="M169" s="97"/>
      <c r="N169" s="60"/>
      <c r="O169" s="410"/>
      <c r="P169" s="410"/>
      <c r="Q169" s="410"/>
      <c r="R169" s="410"/>
      <c r="S169" s="450"/>
      <c r="T169" s="449"/>
      <c r="U169" s="449"/>
      <c r="V169" s="449"/>
      <c r="W169" s="449"/>
      <c r="X169" s="449"/>
      <c r="Y169" s="449"/>
      <c r="Z169" s="449"/>
      <c r="AA169" s="449"/>
      <c r="AB169" s="449"/>
      <c r="AC169" s="120"/>
      <c r="AD169" s="386"/>
      <c r="AE169" s="121"/>
    </row>
    <row r="170" spans="1:31" s="14" customFormat="1" ht="24" customHeight="1">
      <c r="A170" s="38"/>
      <c r="B170" s="38"/>
      <c r="C170" s="28" t="s">
        <v>484</v>
      </c>
      <c r="D170" s="134">
        <v>700</v>
      </c>
      <c r="E170" s="102">
        <f>ROUND(AD170/1000,0)</f>
        <v>640</v>
      </c>
      <c r="F170" s="103">
        <f>SUMIF($AB$171:$AB$173,"보조",$AD$171:$AD$173)/1000</f>
        <v>0</v>
      </c>
      <c r="G170" s="103">
        <f>SUMIF($AB$171:$AB$173,"4종",$AD$171:$AD$173)/1000</f>
        <v>0</v>
      </c>
      <c r="H170" s="103">
        <f>SUMIF($AB$171:$AB$173,"6종",$AD$171:$AD$173)/1000</f>
        <v>0</v>
      </c>
      <c r="I170" s="103">
        <f>SUMIF($AB$171:$AB$173,"후원",$AD$171:$AD$173)/1000</f>
        <v>0</v>
      </c>
      <c r="J170" s="103">
        <f>SUMIF($AB$171:$AB$173,"입소",$AD$171:$AD$173)/1000</f>
        <v>640</v>
      </c>
      <c r="K170" s="103">
        <f>SUMIF($AB$171:$AB$173,"법인",$AD$171:$AD$173)/1000</f>
        <v>0</v>
      </c>
      <c r="L170" s="103">
        <f>SUMIF($AB$171:$AB$173,"잡수",$AD$171:$AD$173)/1000</f>
        <v>0</v>
      </c>
      <c r="M170" s="102">
        <f>E170-D170</f>
        <v>-60</v>
      </c>
      <c r="N170" s="109">
        <f>IF(D170=0,0,M170/D170)</f>
        <v>-8.5714285714285715E-2</v>
      </c>
      <c r="O170" s="282"/>
      <c r="P170" s="293"/>
      <c r="Q170" s="293"/>
      <c r="R170" s="433"/>
      <c r="S170" s="433"/>
      <c r="T170" s="433"/>
      <c r="U170" s="433"/>
      <c r="V170" s="433"/>
      <c r="W170" s="434" t="s">
        <v>408</v>
      </c>
      <c r="X170" s="434"/>
      <c r="Y170" s="434"/>
      <c r="Z170" s="434"/>
      <c r="AA170" s="434"/>
      <c r="AB170" s="434"/>
      <c r="AC170" s="435"/>
      <c r="AD170" s="471">
        <f>SUM(AD171:AD173)</f>
        <v>640000</v>
      </c>
      <c r="AE170" s="437" t="s">
        <v>25</v>
      </c>
    </row>
    <row r="171" spans="1:31" s="14" customFormat="1" ht="24" customHeight="1">
      <c r="A171" s="38"/>
      <c r="B171" s="38"/>
      <c r="C171" s="38" t="s">
        <v>410</v>
      </c>
      <c r="D171" s="420"/>
      <c r="E171" s="421"/>
      <c r="F171" s="421"/>
      <c r="G171" s="421"/>
      <c r="H171" s="421"/>
      <c r="I171" s="421"/>
      <c r="J171" s="421"/>
      <c r="K171" s="421"/>
      <c r="L171" s="421"/>
      <c r="M171" s="97"/>
      <c r="N171" s="60"/>
      <c r="O171" s="444" t="s">
        <v>529</v>
      </c>
      <c r="P171" s="458"/>
      <c r="Q171" s="458"/>
      <c r="R171" s="458"/>
      <c r="S171" s="489">
        <v>20000</v>
      </c>
      <c r="T171" s="506" t="s">
        <v>25</v>
      </c>
      <c r="U171" s="506" t="s">
        <v>26</v>
      </c>
      <c r="V171" s="489">
        <v>4</v>
      </c>
      <c r="W171" s="507" t="s">
        <v>108</v>
      </c>
      <c r="X171" s="507" t="s">
        <v>26</v>
      </c>
      <c r="Y171" s="528">
        <v>5</v>
      </c>
      <c r="Z171" s="509" t="s">
        <v>452</v>
      </c>
      <c r="AA171" s="534" t="s">
        <v>27</v>
      </c>
      <c r="AB171" s="534" t="s">
        <v>432</v>
      </c>
      <c r="AC171" s="534"/>
      <c r="AD171" s="494">
        <f>S171*V171*Y171</f>
        <v>400000</v>
      </c>
      <c r="AE171" s="535" t="s">
        <v>25</v>
      </c>
    </row>
    <row r="172" spans="1:31" s="14" customFormat="1" ht="24" customHeight="1">
      <c r="A172" s="38"/>
      <c r="B172" s="38"/>
      <c r="C172" s="38"/>
      <c r="D172" s="420"/>
      <c r="E172" s="421"/>
      <c r="F172" s="421"/>
      <c r="G172" s="421"/>
      <c r="H172" s="421"/>
      <c r="I172" s="421"/>
      <c r="J172" s="421"/>
      <c r="K172" s="421"/>
      <c r="L172" s="421"/>
      <c r="M172" s="97"/>
      <c r="N172" s="60"/>
      <c r="O172" s="444" t="s">
        <v>523</v>
      </c>
      <c r="P172" s="458"/>
      <c r="Q172" s="458"/>
      <c r="R172" s="458"/>
      <c r="S172" s="489">
        <v>15000</v>
      </c>
      <c r="T172" s="506" t="s">
        <v>25</v>
      </c>
      <c r="U172" s="506" t="s">
        <v>26</v>
      </c>
      <c r="V172" s="489">
        <v>4</v>
      </c>
      <c r="W172" s="507" t="s">
        <v>108</v>
      </c>
      <c r="X172" s="507" t="s">
        <v>26</v>
      </c>
      <c r="Y172" s="528">
        <v>2</v>
      </c>
      <c r="Z172" s="509" t="s">
        <v>452</v>
      </c>
      <c r="AA172" s="534" t="s">
        <v>27</v>
      </c>
      <c r="AB172" s="534" t="s">
        <v>432</v>
      </c>
      <c r="AC172" s="534"/>
      <c r="AD172" s="494">
        <f>S172*V172*Y172</f>
        <v>120000</v>
      </c>
      <c r="AE172" s="535" t="s">
        <v>25</v>
      </c>
    </row>
    <row r="173" spans="1:31" s="14" customFormat="1" ht="24" customHeight="1">
      <c r="A173" s="38"/>
      <c r="B173" s="38"/>
      <c r="C173" s="38"/>
      <c r="D173" s="135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10" t="s">
        <v>524</v>
      </c>
      <c r="P173" s="410"/>
      <c r="Q173" s="410"/>
      <c r="R173" s="410"/>
      <c r="S173" s="489">
        <v>15000</v>
      </c>
      <c r="T173" s="506" t="s">
        <v>25</v>
      </c>
      <c r="U173" s="506" t="s">
        <v>26</v>
      </c>
      <c r="V173" s="489">
        <v>4</v>
      </c>
      <c r="W173" s="507" t="s">
        <v>108</v>
      </c>
      <c r="X173" s="507" t="s">
        <v>26</v>
      </c>
      <c r="Y173" s="528">
        <v>2</v>
      </c>
      <c r="Z173" s="509" t="s">
        <v>452</v>
      </c>
      <c r="AA173" s="534" t="s">
        <v>27</v>
      </c>
      <c r="AB173" s="534" t="s">
        <v>432</v>
      </c>
      <c r="AC173" s="534"/>
      <c r="AD173" s="494">
        <f>S173*V173*Y173</f>
        <v>120000</v>
      </c>
      <c r="AE173" s="535" t="s">
        <v>25</v>
      </c>
    </row>
    <row r="174" spans="1:31" s="14" customFormat="1" ht="24" customHeight="1">
      <c r="A174" s="38"/>
      <c r="B174" s="38"/>
      <c r="C174" s="28" t="s">
        <v>483</v>
      </c>
      <c r="D174" s="438">
        <v>2950</v>
      </c>
      <c r="E174" s="102">
        <f>ROUND(AD174/1000,0)</f>
        <v>1550</v>
      </c>
      <c r="F174" s="103">
        <f>SUMIF($AB$175:$AB$178,"보조",$AD$175:$AD$178)/1000</f>
        <v>0</v>
      </c>
      <c r="G174" s="103">
        <f>SUMIF($AB$175:$AB$178,"4종",$AD$175:$AD$178)/1000</f>
        <v>0</v>
      </c>
      <c r="H174" s="103">
        <f>SUMIF($AB$175:$AB$178,"6종",$AD$175:$AD$178)/1000</f>
        <v>0</v>
      </c>
      <c r="I174" s="103">
        <f>SUMIF($AB$175:$AB$178,"후원",$AD$175:$AD$178)/1000</f>
        <v>0</v>
      </c>
      <c r="J174" s="103">
        <f>SUMIF($AB$175:$AB$178,"입소",$AD$175:$AD$178)/1000</f>
        <v>1550</v>
      </c>
      <c r="K174" s="103">
        <f>SUMIF($AB$175:$AB$178,"법인",$AD$175:$AD$178)/1000</f>
        <v>0</v>
      </c>
      <c r="L174" s="103">
        <f>SUMIF($AB$175:$AB$178,"잡수",$AD$175:$AD$178)/1000</f>
        <v>0</v>
      </c>
      <c r="M174" s="102">
        <f>E174-D174</f>
        <v>-1400</v>
      </c>
      <c r="N174" s="109">
        <f>IF(D174=0,0,M174/D174)</f>
        <v>-0.47457627118644069</v>
      </c>
      <c r="O174" s="282"/>
      <c r="P174" s="293"/>
      <c r="Q174" s="293"/>
      <c r="R174" s="433"/>
      <c r="S174" s="433"/>
      <c r="T174" s="433"/>
      <c r="U174" s="433"/>
      <c r="V174" s="433"/>
      <c r="W174" s="434" t="s">
        <v>408</v>
      </c>
      <c r="X174" s="434"/>
      <c r="Y174" s="434"/>
      <c r="Z174" s="434"/>
      <c r="AA174" s="434"/>
      <c r="AB174" s="434"/>
      <c r="AC174" s="435"/>
      <c r="AD174" s="436">
        <f>SUM(AD175:AD177)</f>
        <v>1550000</v>
      </c>
      <c r="AE174" s="437" t="s">
        <v>25</v>
      </c>
    </row>
    <row r="175" spans="1:31" s="14" customFormat="1" ht="24" customHeight="1">
      <c r="A175" s="38"/>
      <c r="B175" s="38"/>
      <c r="C175" s="38"/>
      <c r="D175" s="420"/>
      <c r="E175" s="421"/>
      <c r="F175" s="421"/>
      <c r="G175" s="421"/>
      <c r="H175" s="421"/>
      <c r="I175" s="421"/>
      <c r="J175" s="421"/>
      <c r="K175" s="421"/>
      <c r="L175" s="421"/>
      <c r="M175" s="97"/>
      <c r="N175" s="60"/>
      <c r="O175" s="458" t="s">
        <v>509</v>
      </c>
      <c r="P175" s="458"/>
      <c r="Q175" s="458"/>
      <c r="R175" s="458"/>
      <c r="S175" s="489">
        <v>60000</v>
      </c>
      <c r="T175" s="506" t="s">
        <v>25</v>
      </c>
      <c r="U175" s="506" t="s">
        <v>26</v>
      </c>
      <c r="V175" s="489">
        <v>5</v>
      </c>
      <c r="W175" s="507" t="s">
        <v>108</v>
      </c>
      <c r="X175" s="489"/>
      <c r="Y175" s="534"/>
      <c r="Z175" s="534"/>
      <c r="AA175" s="534" t="s">
        <v>27</v>
      </c>
      <c r="AB175" s="534" t="s">
        <v>432</v>
      </c>
      <c r="AC175" s="534"/>
      <c r="AD175" s="490">
        <f>S175*V175</f>
        <v>300000</v>
      </c>
      <c r="AE175" s="535" t="s">
        <v>25</v>
      </c>
    </row>
    <row r="176" spans="1:31" s="14" customFormat="1" ht="24" customHeight="1">
      <c r="A176" s="38"/>
      <c r="B176" s="38"/>
      <c r="C176" s="38"/>
      <c r="D176" s="420"/>
      <c r="E176" s="421"/>
      <c r="F176" s="421"/>
      <c r="G176" s="421"/>
      <c r="H176" s="421"/>
      <c r="I176" s="421"/>
      <c r="J176" s="421"/>
      <c r="K176" s="421"/>
      <c r="L176" s="421"/>
      <c r="M176" s="97"/>
      <c r="N176" s="60"/>
      <c r="O176" s="458" t="s">
        <v>522</v>
      </c>
      <c r="P176" s="458"/>
      <c r="Q176" s="458"/>
      <c r="R176" s="458"/>
      <c r="S176" s="489">
        <v>50000</v>
      </c>
      <c r="T176" s="506" t="s">
        <v>25</v>
      </c>
      <c r="U176" s="506" t="s">
        <v>26</v>
      </c>
      <c r="V176" s="489">
        <v>5</v>
      </c>
      <c r="W176" s="507" t="s">
        <v>108</v>
      </c>
      <c r="X176" s="489"/>
      <c r="Y176" s="534"/>
      <c r="Z176" s="534"/>
      <c r="AA176" s="534" t="s">
        <v>27</v>
      </c>
      <c r="AB176" s="534" t="s">
        <v>432</v>
      </c>
      <c r="AC176" s="534"/>
      <c r="AD176" s="490">
        <f>S176*V176</f>
        <v>250000</v>
      </c>
      <c r="AE176" s="535" t="s">
        <v>25</v>
      </c>
    </row>
    <row r="177" spans="1:31" s="14" customFormat="1" ht="24" customHeight="1">
      <c r="A177" s="38"/>
      <c r="B177" s="38"/>
      <c r="C177" s="38"/>
      <c r="D177" s="422"/>
      <c r="E177" s="423"/>
      <c r="F177" s="423"/>
      <c r="G177" s="423"/>
      <c r="H177" s="423"/>
      <c r="I177" s="423"/>
      <c r="J177" s="423"/>
      <c r="K177" s="423"/>
      <c r="L177" s="423"/>
      <c r="M177" s="97"/>
      <c r="N177" s="60"/>
      <c r="O177" s="458" t="s">
        <v>508</v>
      </c>
      <c r="P177" s="458"/>
      <c r="Q177" s="458"/>
      <c r="R177" s="458"/>
      <c r="S177" s="489">
        <v>200000</v>
      </c>
      <c r="T177" s="506" t="s">
        <v>25</v>
      </c>
      <c r="U177" s="506" t="s">
        <v>26</v>
      </c>
      <c r="V177" s="489">
        <v>5</v>
      </c>
      <c r="W177" s="507" t="s">
        <v>108</v>
      </c>
      <c r="X177" s="489"/>
      <c r="Y177" s="534"/>
      <c r="Z177" s="534"/>
      <c r="AA177" s="534" t="s">
        <v>27</v>
      </c>
      <c r="AB177" s="534" t="s">
        <v>432</v>
      </c>
      <c r="AC177" s="534"/>
      <c r="AD177" s="490">
        <f>S177*V177</f>
        <v>1000000</v>
      </c>
      <c r="AE177" s="535" t="s">
        <v>25</v>
      </c>
    </row>
    <row r="178" spans="1:31" s="14" customFormat="1" ht="24" customHeight="1">
      <c r="A178" s="38"/>
      <c r="B178" s="38"/>
      <c r="C178" s="38"/>
      <c r="D178" s="135"/>
      <c r="E178" s="97"/>
      <c r="F178" s="97"/>
      <c r="G178" s="97"/>
      <c r="H178" s="97"/>
      <c r="I178" s="97"/>
      <c r="J178" s="97"/>
      <c r="K178" s="97"/>
      <c r="L178" s="97"/>
      <c r="M178" s="97"/>
      <c r="N178" s="60"/>
      <c r="O178" s="410"/>
      <c r="P178" s="383"/>
      <c r="Q178" s="383"/>
      <c r="R178" s="380"/>
      <c r="S178" s="380"/>
      <c r="T178" s="380"/>
      <c r="U178" s="380"/>
      <c r="V178" s="380"/>
      <c r="W178" s="449"/>
      <c r="X178" s="449"/>
      <c r="Y178" s="449"/>
      <c r="Z178" s="449"/>
      <c r="AA178" s="449"/>
      <c r="AB178" s="449"/>
      <c r="AC178" s="120"/>
      <c r="AD178" s="449"/>
      <c r="AE178" s="121"/>
    </row>
    <row r="179" spans="1:31" s="14" customFormat="1" ht="24" customHeight="1">
      <c r="A179" s="38"/>
      <c r="B179" s="38"/>
      <c r="C179" s="28" t="s">
        <v>485</v>
      </c>
      <c r="D179" s="134">
        <v>300</v>
      </c>
      <c r="E179" s="102">
        <f>ROUND(AD179/1000,0)</f>
        <v>192</v>
      </c>
      <c r="F179" s="103">
        <f>SUMIF($AB$180:$AB$186,"보조",$AD$180:$AD$186)/1000</f>
        <v>0</v>
      </c>
      <c r="G179" s="103">
        <f>SUMIF($AB$180:$AB$186,"4종",$AD$180:$AD$186)/1000</f>
        <v>0</v>
      </c>
      <c r="H179" s="103">
        <f>SUMIF($AB$180:$AB$186,"6종",$AD$180:$AD$186)/1000</f>
        <v>0</v>
      </c>
      <c r="I179" s="103">
        <f>SUMIF($AB$180:$AB$181,"후원",$AD$180:$AD$181)/1000</f>
        <v>0</v>
      </c>
      <c r="J179" s="103">
        <f>SUMIF($AB$180:$AB$180,"입소",$AD$180:$AD$180)/1000</f>
        <v>192</v>
      </c>
      <c r="K179" s="103">
        <f>SUMIF($AB$180:$AB$186,"법인",$AD$180:$AD$186)/1000</f>
        <v>0</v>
      </c>
      <c r="L179" s="103">
        <f>SUMIF($AB$180:$AB$186,"잡수",$AD$180:$AD$186)/1000</f>
        <v>0</v>
      </c>
      <c r="M179" s="102">
        <f>E179-D179</f>
        <v>-108</v>
      </c>
      <c r="N179" s="109">
        <f>IF(D179=0,0,M179/D179)</f>
        <v>-0.36</v>
      </c>
      <c r="O179" s="282"/>
      <c r="P179" s="293"/>
      <c r="Q179" s="293"/>
      <c r="R179" s="433"/>
      <c r="S179" s="433"/>
      <c r="T179" s="433"/>
      <c r="U179" s="433"/>
      <c r="V179" s="433"/>
      <c r="W179" s="434" t="s">
        <v>408</v>
      </c>
      <c r="X179" s="434"/>
      <c r="Y179" s="434"/>
      <c r="Z179" s="434"/>
      <c r="AA179" s="434"/>
      <c r="AB179" s="434"/>
      <c r="AC179" s="435"/>
      <c r="AD179" s="436">
        <f>SUM(AD180)</f>
        <v>192000</v>
      </c>
      <c r="AE179" s="437" t="s">
        <v>25</v>
      </c>
    </row>
    <row r="180" spans="1:31" s="14" customFormat="1" ht="24" customHeight="1">
      <c r="A180" s="38"/>
      <c r="B180" s="38"/>
      <c r="C180" s="38" t="s">
        <v>103</v>
      </c>
      <c r="D180" s="420"/>
      <c r="E180" s="421"/>
      <c r="F180" s="421"/>
      <c r="G180" s="421"/>
      <c r="H180" s="421"/>
      <c r="I180" s="421"/>
      <c r="J180" s="421"/>
      <c r="K180" s="421"/>
      <c r="L180" s="421"/>
      <c r="M180" s="97"/>
      <c r="N180" s="60"/>
      <c r="O180" s="459" t="s">
        <v>510</v>
      </c>
      <c r="P180" s="460"/>
      <c r="Q180" s="460"/>
      <c r="R180" s="460"/>
      <c r="S180" s="536">
        <v>12000</v>
      </c>
      <c r="T180" s="536" t="s">
        <v>25</v>
      </c>
      <c r="U180" s="537" t="s">
        <v>26</v>
      </c>
      <c r="V180" s="536">
        <v>4</v>
      </c>
      <c r="W180" s="536" t="s">
        <v>108</v>
      </c>
      <c r="X180" s="537" t="s">
        <v>26</v>
      </c>
      <c r="Y180" s="538">
        <v>4</v>
      </c>
      <c r="Z180" s="539" t="s">
        <v>452</v>
      </c>
      <c r="AA180" s="539" t="s">
        <v>27</v>
      </c>
      <c r="AB180" s="536" t="s">
        <v>432</v>
      </c>
      <c r="AC180" s="540"/>
      <c r="AD180" s="536">
        <f>S180*V180*Y180</f>
        <v>192000</v>
      </c>
      <c r="AE180" s="541" t="s">
        <v>25</v>
      </c>
    </row>
    <row r="181" spans="1:31" s="14" customFormat="1" ht="24" customHeight="1">
      <c r="A181" s="38"/>
      <c r="B181" s="38"/>
      <c r="C181" s="38"/>
      <c r="D181" s="132"/>
      <c r="E181" s="97"/>
      <c r="F181" s="97"/>
      <c r="G181" s="97"/>
      <c r="H181" s="97"/>
      <c r="I181" s="97"/>
      <c r="J181" s="97"/>
      <c r="K181" s="97"/>
      <c r="L181" s="97"/>
      <c r="M181" s="97"/>
      <c r="N181" s="60"/>
      <c r="O181" s="386"/>
      <c r="P181" s="386"/>
      <c r="Q181" s="386"/>
      <c r="R181" s="386"/>
      <c r="S181" s="409"/>
      <c r="T181" s="289"/>
      <c r="U181" s="289"/>
      <c r="V181" s="409"/>
      <c r="W181" s="410"/>
      <c r="X181" s="409"/>
      <c r="Y181" s="386"/>
      <c r="Z181" s="386"/>
      <c r="AA181" s="386"/>
      <c r="AB181" s="386"/>
      <c r="AC181" s="386"/>
      <c r="AD181" s="432"/>
      <c r="AE181" s="387"/>
    </row>
    <row r="182" spans="1:31" s="14" customFormat="1" ht="24" customHeight="1">
      <c r="A182" s="38"/>
      <c r="B182" s="38"/>
      <c r="C182" s="28" t="s">
        <v>488</v>
      </c>
      <c r="D182" s="134">
        <v>430</v>
      </c>
      <c r="E182" s="102">
        <f>ROUND(AD182/1000,0)</f>
        <v>430</v>
      </c>
      <c r="F182" s="103">
        <f>SUMIF($AB$180:$AB$186,"보조",$AD$180:$AD$186)/1000</f>
        <v>0</v>
      </c>
      <c r="G182" s="103">
        <f>SUMIF($AB$180:$AB$186,"4종",$AD$180:$AD$186)/1000</f>
        <v>0</v>
      </c>
      <c r="H182" s="103">
        <f>SUMIF($AB$180:$AB$186,"6종",$AD$180:$AD$186)/1000</f>
        <v>0</v>
      </c>
      <c r="I182" s="103">
        <f>SUMIF($AB$183:$AB$186,"후원",$AD$183:$AD$186)/1000</f>
        <v>0</v>
      </c>
      <c r="J182" s="103">
        <f>SUMIF($AB$183:$AB$186,"입소",$AD$183:$AD$186)/1000</f>
        <v>430</v>
      </c>
      <c r="K182" s="103">
        <f>SUMIF($AB$180:$AB$186,"법인",$AD$180:$AD$186)/1000</f>
        <v>0</v>
      </c>
      <c r="L182" s="103">
        <v>0</v>
      </c>
      <c r="M182" s="102">
        <f>E182-D182</f>
        <v>0</v>
      </c>
      <c r="N182" s="109">
        <f>IF(D182=0,0,M182/D182)</f>
        <v>0</v>
      </c>
      <c r="O182" s="282"/>
      <c r="P182" s="293"/>
      <c r="Q182" s="293"/>
      <c r="R182" s="433"/>
      <c r="S182" s="433"/>
      <c r="T182" s="433"/>
      <c r="U182" s="433"/>
      <c r="V182" s="433"/>
      <c r="W182" s="434" t="s">
        <v>408</v>
      </c>
      <c r="X182" s="434"/>
      <c r="Y182" s="434"/>
      <c r="Z182" s="434"/>
      <c r="AA182" s="434"/>
      <c r="AB182" s="434"/>
      <c r="AC182" s="435"/>
      <c r="AD182" s="436">
        <f>SUM(AD183:AD185)</f>
        <v>430000</v>
      </c>
      <c r="AE182" s="437" t="s">
        <v>25</v>
      </c>
    </row>
    <row r="183" spans="1:31" s="14" customFormat="1" ht="24" customHeight="1">
      <c r="A183" s="38"/>
      <c r="B183" s="38"/>
      <c r="C183" s="38" t="s">
        <v>405</v>
      </c>
      <c r="D183" s="132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44" t="s">
        <v>486</v>
      </c>
      <c r="P183" s="454"/>
      <c r="Q183" s="454"/>
      <c r="R183" s="453"/>
      <c r="S183" s="443">
        <v>300000</v>
      </c>
      <c r="T183" s="451" t="s">
        <v>25</v>
      </c>
      <c r="U183" s="451" t="s">
        <v>26</v>
      </c>
      <c r="V183" s="443">
        <v>1</v>
      </c>
      <c r="W183" s="444" t="s">
        <v>452</v>
      </c>
      <c r="X183" s="443"/>
      <c r="Y183" s="458"/>
      <c r="Z183" s="458" t="s">
        <v>27</v>
      </c>
      <c r="AA183" s="458"/>
      <c r="AB183" s="458" t="s">
        <v>432</v>
      </c>
      <c r="AC183" s="458"/>
      <c r="AD183" s="490">
        <f>S183*V183</f>
        <v>300000</v>
      </c>
      <c r="AE183" s="457" t="s">
        <v>25</v>
      </c>
    </row>
    <row r="184" spans="1:31" s="14" customFormat="1" ht="24" customHeight="1">
      <c r="A184" s="38"/>
      <c r="B184" s="38"/>
      <c r="C184" s="38"/>
      <c r="D184" s="132"/>
      <c r="E184" s="97"/>
      <c r="F184" s="97"/>
      <c r="G184" s="97"/>
      <c r="H184" s="97"/>
      <c r="I184" s="97"/>
      <c r="J184" s="97"/>
      <c r="K184" s="97"/>
      <c r="L184" s="97"/>
      <c r="M184" s="97"/>
      <c r="N184" s="60"/>
      <c r="O184" s="444" t="s">
        <v>497</v>
      </c>
      <c r="P184" s="454"/>
      <c r="Q184" s="454"/>
      <c r="R184" s="453"/>
      <c r="S184" s="443">
        <v>100000</v>
      </c>
      <c r="T184" s="451" t="s">
        <v>25</v>
      </c>
      <c r="U184" s="451" t="s">
        <v>26</v>
      </c>
      <c r="V184" s="443">
        <v>1</v>
      </c>
      <c r="W184" s="444" t="s">
        <v>452</v>
      </c>
      <c r="X184" s="443"/>
      <c r="Y184" s="458"/>
      <c r="Z184" s="458" t="s">
        <v>27</v>
      </c>
      <c r="AA184" s="458"/>
      <c r="AB184" s="472" t="s">
        <v>379</v>
      </c>
      <c r="AC184" s="458"/>
      <c r="AD184" s="461">
        <f>S184*V184</f>
        <v>100000</v>
      </c>
      <c r="AE184" s="457" t="s">
        <v>25</v>
      </c>
    </row>
    <row r="185" spans="1:31" s="14" customFormat="1" ht="24" customHeight="1">
      <c r="A185" s="38"/>
      <c r="B185" s="38"/>
      <c r="C185" s="38"/>
      <c r="D185" s="132"/>
      <c r="E185" s="97"/>
      <c r="F185" s="97"/>
      <c r="G185" s="97"/>
      <c r="H185" s="97"/>
      <c r="I185" s="97"/>
      <c r="J185" s="97"/>
      <c r="K185" s="97"/>
      <c r="L185" s="97"/>
      <c r="M185" s="97"/>
      <c r="N185" s="60"/>
      <c r="O185" s="444" t="s">
        <v>487</v>
      </c>
      <c r="P185" s="454"/>
      <c r="Q185" s="454"/>
      <c r="R185" s="453"/>
      <c r="S185" s="443"/>
      <c r="T185" s="451"/>
      <c r="U185" s="451"/>
      <c r="V185" s="443"/>
      <c r="W185" s="444"/>
      <c r="X185" s="443"/>
      <c r="Y185" s="458"/>
      <c r="Z185" s="458"/>
      <c r="AA185" s="458"/>
      <c r="AB185" s="458" t="s">
        <v>432</v>
      </c>
      <c r="AC185" s="458"/>
      <c r="AD185" s="461">
        <v>30000</v>
      </c>
      <c r="AE185" s="457" t="s">
        <v>25</v>
      </c>
    </row>
    <row r="186" spans="1:31" s="14" customFormat="1" ht="24" customHeight="1">
      <c r="A186" s="38"/>
      <c r="B186" s="38"/>
      <c r="C186" s="38"/>
      <c r="D186" s="132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44"/>
      <c r="P186" s="454"/>
      <c r="Q186" s="454"/>
      <c r="R186" s="453"/>
      <c r="S186" s="443"/>
      <c r="T186" s="451"/>
      <c r="U186" s="451"/>
      <c r="V186" s="443"/>
      <c r="W186" s="444"/>
      <c r="X186" s="443"/>
      <c r="Y186" s="458"/>
      <c r="Z186" s="458"/>
      <c r="AA186" s="458"/>
      <c r="AB186" s="458"/>
      <c r="AC186" s="458"/>
      <c r="AD186" s="461"/>
      <c r="AE186" s="457"/>
    </row>
    <row r="187" spans="1:31" s="11" customFormat="1" ht="21" customHeight="1">
      <c r="A187" s="27" t="s">
        <v>417</v>
      </c>
      <c r="B187" s="591" t="s">
        <v>20</v>
      </c>
      <c r="C187" s="592"/>
      <c r="D187" s="143">
        <f>D188</f>
        <v>0</v>
      </c>
      <c r="E187" s="143">
        <f>E188</f>
        <v>0</v>
      </c>
      <c r="F187" s="143">
        <f t="shared" ref="F187:L187" si="10">F188</f>
        <v>0</v>
      </c>
      <c r="G187" s="143">
        <f t="shared" si="10"/>
        <v>0</v>
      </c>
      <c r="H187" s="143">
        <f t="shared" si="10"/>
        <v>0</v>
      </c>
      <c r="I187" s="143">
        <f t="shared" si="10"/>
        <v>0</v>
      </c>
      <c r="J187" s="143">
        <f t="shared" si="10"/>
        <v>0</v>
      </c>
      <c r="K187" s="143">
        <f t="shared" si="10"/>
        <v>0</v>
      </c>
      <c r="L187" s="143">
        <f t="shared" si="10"/>
        <v>0</v>
      </c>
      <c r="M187" s="143">
        <f>E187-D187</f>
        <v>0</v>
      </c>
      <c r="N187" s="144">
        <f>IF(D187=0,0,M187/D187)</f>
        <v>0</v>
      </c>
      <c r="O187" s="407" t="s">
        <v>418</v>
      </c>
      <c r="P187" s="407"/>
      <c r="Q187" s="407"/>
      <c r="R187" s="407"/>
      <c r="S187" s="406"/>
      <c r="T187" s="406"/>
      <c r="U187" s="406"/>
      <c r="V187" s="406"/>
      <c r="W187" s="406"/>
      <c r="X187" s="406"/>
      <c r="Y187" s="406"/>
      <c r="Z187" s="406"/>
      <c r="AA187" s="406"/>
      <c r="AB187" s="406"/>
      <c r="AC187" s="406"/>
      <c r="AD187" s="406">
        <f>SUM(AD188)</f>
        <v>0</v>
      </c>
      <c r="AE187" s="145" t="s">
        <v>25</v>
      </c>
    </row>
    <row r="188" spans="1:31" s="11" customFormat="1" ht="21" customHeight="1">
      <c r="A188" s="37"/>
      <c r="B188" s="38" t="s">
        <v>417</v>
      </c>
      <c r="C188" s="38" t="s">
        <v>417</v>
      </c>
      <c r="D188" s="132">
        <v>0</v>
      </c>
      <c r="E188" s="97">
        <f>AD188/1000</f>
        <v>0</v>
      </c>
      <c r="F188" s="103">
        <f>SUMIF($AB$189:$AB$189,"보조",$AD$189:$AD$189)/1000</f>
        <v>0</v>
      </c>
      <c r="G188" s="103">
        <f>SUMIF($AB$189:$AB$189,"4종",$AD$189:$AD$189)/1000</f>
        <v>0</v>
      </c>
      <c r="H188" s="103">
        <f>SUMIF($AB$189:$AB$189,"6종",$AD$189:$AD$189)/1000</f>
        <v>0</v>
      </c>
      <c r="I188" s="103">
        <f>SUMIF($AB$189:$AB$189,"후원",$AD$189:$AD$189)/1000</f>
        <v>0</v>
      </c>
      <c r="J188" s="103">
        <f>SUMIF($AB$189:$AB$189,"입소",$AD$189:$AD$189)/1000</f>
        <v>0</v>
      </c>
      <c r="K188" s="103">
        <f>SUMIF($AB$189:$AB$189,"법인",$AD$189:$AD$189)/1000</f>
        <v>0</v>
      </c>
      <c r="L188" s="103">
        <f>SUMIF($AB$189:$AB$189,"잡수",$AD$189:$AD$189)/1000</f>
        <v>0</v>
      </c>
      <c r="M188" s="97">
        <f>E188-D188</f>
        <v>0</v>
      </c>
      <c r="N188" s="60">
        <f>IF(D188=0,0,M188/D188)</f>
        <v>0</v>
      </c>
      <c r="O188" s="105" t="s">
        <v>419</v>
      </c>
      <c r="P188" s="150"/>
      <c r="Q188" s="150"/>
      <c r="R188" s="150"/>
      <c r="S188" s="150"/>
      <c r="T188" s="149"/>
      <c r="U188" s="149"/>
      <c r="V188" s="149"/>
      <c r="W188" s="149"/>
      <c r="X188" s="149"/>
      <c r="Y188" s="406" t="s">
        <v>383</v>
      </c>
      <c r="Z188" s="87"/>
      <c r="AA188" s="87"/>
      <c r="AB188" s="87"/>
      <c r="AC188" s="107"/>
      <c r="AD188" s="107">
        <v>0</v>
      </c>
      <c r="AE188" s="108" t="s">
        <v>25</v>
      </c>
    </row>
    <row r="189" spans="1:31" s="1" customFormat="1" ht="21" customHeight="1">
      <c r="A189" s="48"/>
      <c r="B189" s="49"/>
      <c r="C189" s="49"/>
      <c r="D189" s="133"/>
      <c r="E189" s="100"/>
      <c r="F189" s="100"/>
      <c r="G189" s="100"/>
      <c r="H189" s="100"/>
      <c r="I189" s="100"/>
      <c r="J189" s="100"/>
      <c r="K189" s="100"/>
      <c r="L189" s="100"/>
      <c r="M189" s="100"/>
      <c r="N189" s="75"/>
      <c r="O189" s="338"/>
      <c r="P189" s="338"/>
      <c r="Q189" s="338"/>
      <c r="R189" s="338"/>
      <c r="S189" s="338"/>
      <c r="T189" s="338"/>
      <c r="U189" s="338"/>
      <c r="V189" s="338"/>
      <c r="W189" s="338"/>
      <c r="X189" s="338"/>
      <c r="Y189" s="338"/>
      <c r="Z189" s="338"/>
      <c r="AA189" s="338"/>
      <c r="AB189" s="338"/>
      <c r="AC189" s="338"/>
      <c r="AD189" s="338"/>
      <c r="AE189" s="469"/>
    </row>
    <row r="190" spans="1:31" s="11" customFormat="1" ht="21" customHeight="1">
      <c r="A190" s="37" t="s">
        <v>21</v>
      </c>
      <c r="B190" s="586" t="s">
        <v>20</v>
      </c>
      <c r="C190" s="587"/>
      <c r="D190" s="100">
        <f t="shared" ref="D190:L190" si="11">SUM(D191)+D197</f>
        <v>22</v>
      </c>
      <c r="E190" s="100">
        <f t="shared" si="11"/>
        <v>22</v>
      </c>
      <c r="F190" s="100">
        <f t="shared" si="11"/>
        <v>20</v>
      </c>
      <c r="G190" s="100">
        <f t="shared" si="11"/>
        <v>2</v>
      </c>
      <c r="H190" s="100">
        <f t="shared" si="11"/>
        <v>0</v>
      </c>
      <c r="I190" s="100">
        <f t="shared" si="11"/>
        <v>0</v>
      </c>
      <c r="J190" s="100">
        <f t="shared" si="11"/>
        <v>0</v>
      </c>
      <c r="K190" s="100">
        <f t="shared" si="11"/>
        <v>0</v>
      </c>
      <c r="L190" s="100">
        <f t="shared" si="11"/>
        <v>0</v>
      </c>
      <c r="M190" s="100">
        <f>E190-D190</f>
        <v>0</v>
      </c>
      <c r="N190" s="75">
        <f>IF(D190=0,0,M190/D190)</f>
        <v>0</v>
      </c>
      <c r="O190" s="470" t="s">
        <v>21</v>
      </c>
      <c r="P190" s="105"/>
      <c r="Q190" s="105"/>
      <c r="R190" s="105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>
        <f>AD191+AD197</f>
        <v>22000</v>
      </c>
      <c r="AE190" s="108" t="s">
        <v>25</v>
      </c>
    </row>
    <row r="191" spans="1:31" s="11" customFormat="1" ht="21" customHeight="1">
      <c r="A191" s="37"/>
      <c r="B191" s="38" t="s">
        <v>21</v>
      </c>
      <c r="C191" s="38" t="s">
        <v>21</v>
      </c>
      <c r="D191" s="97">
        <v>0</v>
      </c>
      <c r="E191" s="102">
        <f>AD191/1000</f>
        <v>0</v>
      </c>
      <c r="F191" s="103">
        <f>SUMIF($AB$191:$AB$195,"보조",$AD$191:$AD$195)/1000</f>
        <v>0</v>
      </c>
      <c r="G191" s="103">
        <f>SUMIF($AB$191:$AB$195,"4종",$AD$191:$AD$195)/1000</f>
        <v>0</v>
      </c>
      <c r="H191" s="103">
        <f>SUMIF($AB$191:$AB$195,"6종",$AD$191:$AD$195)/1000</f>
        <v>0</v>
      </c>
      <c r="I191" s="103">
        <f>SUMIF($AB$191:$AB$195,"후원",$AD$191:$AD$195)/1000</f>
        <v>0</v>
      </c>
      <c r="J191" s="103">
        <f>SUMIF($AB$191:$AB$195,"입소",$AD$191:$AD$195)/1000</f>
        <v>0</v>
      </c>
      <c r="K191" s="103">
        <f>SUMIF($AB$191:$AB$195,"법인",$AD$191:$AD$195)/1000</f>
        <v>0</v>
      </c>
      <c r="L191" s="103">
        <f>SUMIF($AB$191:$AB$195,"잡수",$AD$191:$AD$195)/1000</f>
        <v>0</v>
      </c>
      <c r="M191" s="97">
        <f>E191-D191</f>
        <v>0</v>
      </c>
      <c r="N191" s="60">
        <f>IF(D191=0,0,M191/D191)</f>
        <v>0</v>
      </c>
      <c r="O191" s="105" t="s">
        <v>52</v>
      </c>
      <c r="P191" s="150"/>
      <c r="Q191" s="150"/>
      <c r="R191" s="150"/>
      <c r="S191" s="150"/>
      <c r="T191" s="149"/>
      <c r="U191" s="149"/>
      <c r="V191" s="149"/>
      <c r="W191" s="149"/>
      <c r="X191" s="149"/>
      <c r="Y191" s="406" t="s">
        <v>369</v>
      </c>
      <c r="Z191" s="87"/>
      <c r="AA191" s="87"/>
      <c r="AB191" s="87"/>
      <c r="AC191" s="107"/>
      <c r="AD191" s="107">
        <f>SUM(AD192:AD195)</f>
        <v>0</v>
      </c>
      <c r="AE191" s="108" t="s">
        <v>25</v>
      </c>
    </row>
    <row r="192" spans="1:31" s="11" customFormat="1" ht="21" customHeight="1">
      <c r="A192" s="37"/>
      <c r="B192" s="38"/>
      <c r="C192" s="38"/>
      <c r="D192" s="132"/>
      <c r="E192" s="97"/>
      <c r="F192" s="430"/>
      <c r="G192" s="430"/>
      <c r="H192" s="430"/>
      <c r="I192" s="430"/>
      <c r="J192" s="430"/>
      <c r="K192" s="430"/>
      <c r="L192" s="430"/>
      <c r="M192" s="97"/>
      <c r="N192" s="60"/>
      <c r="O192" s="450" t="s">
        <v>420</v>
      </c>
      <c r="P192" s="450"/>
      <c r="Q192" s="450"/>
      <c r="R192" s="450"/>
      <c r="S192" s="450"/>
      <c r="T192" s="449"/>
      <c r="U192" s="449"/>
      <c r="V192" s="449"/>
      <c r="W192" s="449"/>
      <c r="X192" s="449"/>
      <c r="Y192" s="449"/>
      <c r="Z192" s="449"/>
      <c r="AA192" s="449"/>
      <c r="AB192" s="449" t="s">
        <v>379</v>
      </c>
      <c r="AC192" s="120"/>
      <c r="AD192" s="120">
        <v>0</v>
      </c>
      <c r="AE192" s="121" t="s">
        <v>56</v>
      </c>
    </row>
    <row r="193" spans="1:31" s="11" customFormat="1" ht="21" customHeight="1">
      <c r="A193" s="37"/>
      <c r="B193" s="38"/>
      <c r="C193" s="38"/>
      <c r="D193" s="132"/>
      <c r="E193" s="97"/>
      <c r="F193" s="430"/>
      <c r="G193" s="430"/>
      <c r="H193" s="430"/>
      <c r="I193" s="430"/>
      <c r="J193" s="430"/>
      <c r="K193" s="430"/>
      <c r="L193" s="430"/>
      <c r="M193" s="97"/>
      <c r="N193" s="60"/>
      <c r="O193" s="450" t="s">
        <v>421</v>
      </c>
      <c r="P193" s="450"/>
      <c r="Q193" s="450"/>
      <c r="R193" s="450"/>
      <c r="S193" s="450"/>
      <c r="T193" s="449"/>
      <c r="U193" s="449"/>
      <c r="V193" s="449"/>
      <c r="W193" s="449"/>
      <c r="X193" s="449"/>
      <c r="Y193" s="449"/>
      <c r="Z193" s="449"/>
      <c r="AA193" s="449"/>
      <c r="AB193" s="449" t="s">
        <v>365</v>
      </c>
      <c r="AC193" s="120"/>
      <c r="AD193" s="120">
        <v>0</v>
      </c>
      <c r="AE193" s="121" t="s">
        <v>56</v>
      </c>
    </row>
    <row r="194" spans="1:31" s="11" customFormat="1" ht="21" customHeight="1">
      <c r="A194" s="37"/>
      <c r="B194" s="38"/>
      <c r="C194" s="38"/>
      <c r="D194" s="132"/>
      <c r="E194" s="97"/>
      <c r="F194" s="430"/>
      <c r="G194" s="430"/>
      <c r="H194" s="430"/>
      <c r="I194" s="430"/>
      <c r="J194" s="430"/>
      <c r="K194" s="430"/>
      <c r="L194" s="430"/>
      <c r="M194" s="97"/>
      <c r="N194" s="60"/>
      <c r="O194" s="450" t="s">
        <v>422</v>
      </c>
      <c r="P194" s="450"/>
      <c r="Q194" s="450"/>
      <c r="R194" s="450"/>
      <c r="S194" s="450"/>
      <c r="T194" s="449"/>
      <c r="U194" s="449"/>
      <c r="V194" s="449"/>
      <c r="W194" s="449"/>
      <c r="X194" s="449"/>
      <c r="Y194" s="449"/>
      <c r="Z194" s="449"/>
      <c r="AA194" s="449"/>
      <c r="AB194" s="449" t="s">
        <v>166</v>
      </c>
      <c r="AC194" s="120"/>
      <c r="AD194" s="120">
        <v>0</v>
      </c>
      <c r="AE194" s="121" t="s">
        <v>56</v>
      </c>
    </row>
    <row r="195" spans="1:31" s="11" customFormat="1" ht="21" customHeight="1">
      <c r="A195" s="37"/>
      <c r="B195" s="38"/>
      <c r="C195" s="38"/>
      <c r="D195" s="132"/>
      <c r="E195" s="97"/>
      <c r="F195" s="430"/>
      <c r="G195" s="430"/>
      <c r="H195" s="430"/>
      <c r="I195" s="430"/>
      <c r="J195" s="430"/>
      <c r="K195" s="430"/>
      <c r="L195" s="430"/>
      <c r="M195" s="97"/>
      <c r="N195" s="60"/>
      <c r="O195" s="450" t="s">
        <v>423</v>
      </c>
      <c r="P195" s="450"/>
      <c r="Q195" s="450"/>
      <c r="R195" s="450"/>
      <c r="S195" s="450"/>
      <c r="T195" s="449"/>
      <c r="U195" s="449"/>
      <c r="V195" s="449"/>
      <c r="W195" s="449"/>
      <c r="X195" s="449"/>
      <c r="Y195" s="449"/>
      <c r="Z195" s="449"/>
      <c r="AA195" s="449"/>
      <c r="AB195" s="449" t="s">
        <v>384</v>
      </c>
      <c r="AC195" s="120"/>
      <c r="AD195" s="120">
        <v>0</v>
      </c>
      <c r="AE195" s="121" t="s">
        <v>56</v>
      </c>
    </row>
    <row r="196" spans="1:31" s="11" customFormat="1" ht="21" customHeight="1">
      <c r="A196" s="37"/>
      <c r="B196" s="38"/>
      <c r="C196" s="38"/>
      <c r="D196" s="132"/>
      <c r="E196" s="97"/>
      <c r="F196" s="97"/>
      <c r="G196" s="97"/>
      <c r="H196" s="97"/>
      <c r="I196" s="97"/>
      <c r="J196" s="97"/>
      <c r="K196" s="97"/>
      <c r="L196" s="97"/>
      <c r="M196" s="97"/>
      <c r="N196" s="60"/>
      <c r="O196" s="410"/>
      <c r="P196" s="410"/>
      <c r="Q196" s="410"/>
      <c r="R196" s="410"/>
      <c r="S196" s="410"/>
      <c r="T196" s="409"/>
      <c r="U196" s="409"/>
      <c r="V196" s="409"/>
      <c r="W196" s="409"/>
      <c r="X196" s="409"/>
      <c r="Y196" s="409"/>
      <c r="Z196" s="409"/>
      <c r="AA196" s="409"/>
      <c r="AB196" s="409"/>
      <c r="AC196" s="120"/>
      <c r="AD196" s="120"/>
      <c r="AE196" s="121"/>
    </row>
    <row r="197" spans="1:31" s="11" customFormat="1" ht="21" customHeight="1">
      <c r="A197" s="37"/>
      <c r="B197" s="38"/>
      <c r="C197" s="28" t="s">
        <v>132</v>
      </c>
      <c r="D197" s="134">
        <v>22</v>
      </c>
      <c r="E197" s="102">
        <f>AD197/1000</f>
        <v>22</v>
      </c>
      <c r="F197" s="103">
        <f>SUMIF($AB$198:$AB$204,"보조",$AD$198:$AD$204)/1000</f>
        <v>20</v>
      </c>
      <c r="G197" s="103">
        <f>SUMIF($AB$198:$AB$203,"4종",$AD$198:$AD$203)/1000</f>
        <v>2</v>
      </c>
      <c r="H197" s="103">
        <f>SUMIF($AB$198:$AB$203,"6종",$AD$198:$AD$203)/1000</f>
        <v>0</v>
      </c>
      <c r="I197" s="103">
        <f>SUMIF($AB$198:$AB$203,"후원",$AD$198:$AD$203)/1000</f>
        <v>0</v>
      </c>
      <c r="J197" s="103">
        <f>SUMIF($AB$198:$AB$203,"입소",$AD$198:$AD$203)/1000</f>
        <v>0</v>
      </c>
      <c r="K197" s="103">
        <f>SUMIF($AB$198:$AB$203,"법인",$AD$198:$AD$203)/1000</f>
        <v>0</v>
      </c>
      <c r="L197" s="103">
        <f>SUMIF($AB$198:$AB$203,"잡수",$AD$198:$AD$203)/1000</f>
        <v>0</v>
      </c>
      <c r="M197" s="102">
        <f>E197-D197</f>
        <v>0</v>
      </c>
      <c r="N197" s="109">
        <f>IF(D197=0,0,M197/D197)</f>
        <v>0</v>
      </c>
      <c r="O197" s="292" t="s">
        <v>412</v>
      </c>
      <c r="P197" s="152"/>
      <c r="Q197" s="152"/>
      <c r="R197" s="152"/>
      <c r="S197" s="152"/>
      <c r="T197" s="151"/>
      <c r="U197" s="151"/>
      <c r="V197" s="151"/>
      <c r="W197" s="151"/>
      <c r="X197" s="151"/>
      <c r="Y197" s="466" t="s">
        <v>369</v>
      </c>
      <c r="Z197" s="466"/>
      <c r="AA197" s="466"/>
      <c r="AB197" s="466"/>
      <c r="AC197" s="146"/>
      <c r="AD197" s="296">
        <f>ROUNDUP(SUM(AD198:AD203),-3)</f>
        <v>22000</v>
      </c>
      <c r="AE197" s="145" t="s">
        <v>25</v>
      </c>
    </row>
    <row r="198" spans="1:31" s="11" customFormat="1" ht="21" customHeight="1">
      <c r="A198" s="37"/>
      <c r="B198" s="38"/>
      <c r="C198" s="38" t="s">
        <v>411</v>
      </c>
      <c r="D198" s="132"/>
      <c r="E198" s="97"/>
      <c r="F198" s="97"/>
      <c r="G198" s="97"/>
      <c r="H198" s="97"/>
      <c r="I198" s="97"/>
      <c r="J198" s="97"/>
      <c r="K198" s="97"/>
      <c r="L198" s="97"/>
      <c r="M198" s="97"/>
      <c r="N198" s="60"/>
      <c r="O198" s="450" t="s">
        <v>413</v>
      </c>
      <c r="P198" s="450"/>
      <c r="Q198" s="450"/>
      <c r="R198" s="450"/>
      <c r="S198" s="449"/>
      <c r="T198" s="449"/>
      <c r="U198" s="449"/>
      <c r="V198" s="449"/>
      <c r="W198" s="449"/>
      <c r="X198" s="449"/>
      <c r="Y198" s="449"/>
      <c r="Z198" s="449"/>
      <c r="AA198" s="449"/>
      <c r="AB198" s="449" t="s">
        <v>335</v>
      </c>
      <c r="AC198" s="449"/>
      <c r="AD198" s="120">
        <v>0</v>
      </c>
      <c r="AE198" s="121" t="s">
        <v>25</v>
      </c>
    </row>
    <row r="199" spans="1:31" s="11" customFormat="1" ht="21" customHeight="1">
      <c r="A199" s="37"/>
      <c r="B199" s="38"/>
      <c r="C199" s="38"/>
      <c r="D199" s="132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50" t="s">
        <v>414</v>
      </c>
      <c r="P199" s="450"/>
      <c r="Q199" s="450"/>
      <c r="R199" s="450"/>
      <c r="S199" s="449"/>
      <c r="T199" s="449"/>
      <c r="U199" s="449"/>
      <c r="V199" s="449"/>
      <c r="W199" s="449"/>
      <c r="X199" s="449"/>
      <c r="Y199" s="449"/>
      <c r="Z199" s="449"/>
      <c r="AA199" s="449"/>
      <c r="AB199" s="449" t="s">
        <v>335</v>
      </c>
      <c r="AC199" s="449"/>
      <c r="AD199" s="273">
        <v>20000</v>
      </c>
      <c r="AE199" s="121" t="s">
        <v>56</v>
      </c>
    </row>
    <row r="200" spans="1:31" s="11" customFormat="1" ht="21" customHeight="1">
      <c r="A200" s="37"/>
      <c r="B200" s="38"/>
      <c r="C200" s="38"/>
      <c r="D200" s="132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50" t="s">
        <v>415</v>
      </c>
      <c r="P200" s="450"/>
      <c r="Q200" s="450"/>
      <c r="R200" s="450"/>
      <c r="S200" s="449"/>
      <c r="T200" s="449"/>
      <c r="U200" s="449"/>
      <c r="V200" s="449"/>
      <c r="W200" s="449"/>
      <c r="X200" s="449"/>
      <c r="Y200" s="449"/>
      <c r="Z200" s="449"/>
      <c r="AA200" s="449"/>
      <c r="AB200" s="449" t="s">
        <v>295</v>
      </c>
      <c r="AC200" s="449"/>
      <c r="AD200" s="120">
        <v>0</v>
      </c>
      <c r="AE200" s="121" t="s">
        <v>25</v>
      </c>
    </row>
    <row r="201" spans="1:31" s="11" customFormat="1" ht="21" customHeight="1">
      <c r="A201" s="37"/>
      <c r="B201" s="38"/>
      <c r="C201" s="38"/>
      <c r="D201" s="132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50" t="s">
        <v>416</v>
      </c>
      <c r="P201" s="450"/>
      <c r="Q201" s="450"/>
      <c r="R201" s="450"/>
      <c r="S201" s="449"/>
      <c r="T201" s="449"/>
      <c r="U201" s="449"/>
      <c r="V201" s="449"/>
      <c r="W201" s="449"/>
      <c r="X201" s="449"/>
      <c r="Y201" s="449"/>
      <c r="Z201" s="449"/>
      <c r="AA201" s="449"/>
      <c r="AB201" s="449" t="s">
        <v>295</v>
      </c>
      <c r="AC201" s="449"/>
      <c r="AD201" s="273">
        <v>2000</v>
      </c>
      <c r="AE201" s="121" t="s">
        <v>56</v>
      </c>
    </row>
    <row r="202" spans="1:31" s="11" customFormat="1" ht="21" customHeight="1">
      <c r="A202" s="37"/>
      <c r="B202" s="38"/>
      <c r="C202" s="38"/>
      <c r="D202" s="132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50" t="s">
        <v>436</v>
      </c>
      <c r="P202" s="450"/>
      <c r="Q202" s="450"/>
      <c r="R202" s="450"/>
      <c r="S202" s="449"/>
      <c r="T202" s="449"/>
      <c r="U202" s="449"/>
      <c r="V202" s="449"/>
      <c r="W202" s="449"/>
      <c r="X202" s="449"/>
      <c r="Y202" s="449"/>
      <c r="Z202" s="449"/>
      <c r="AA202" s="449"/>
      <c r="AB202" s="449" t="s">
        <v>309</v>
      </c>
      <c r="AC202" s="449"/>
      <c r="AD202" s="120">
        <v>0</v>
      </c>
      <c r="AE202" s="121" t="s">
        <v>25</v>
      </c>
    </row>
    <row r="203" spans="1:31" s="11" customFormat="1" ht="21" customHeight="1">
      <c r="A203" s="37"/>
      <c r="B203" s="38"/>
      <c r="C203" s="38"/>
      <c r="D203" s="132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50" t="s">
        <v>437</v>
      </c>
      <c r="P203" s="450"/>
      <c r="Q203" s="450"/>
      <c r="R203" s="450"/>
      <c r="S203" s="449"/>
      <c r="T203" s="449"/>
      <c r="U203" s="449"/>
      <c r="V203" s="449"/>
      <c r="W203" s="449"/>
      <c r="X203" s="449"/>
      <c r="Y203" s="449"/>
      <c r="Z203" s="449"/>
      <c r="AA203" s="449"/>
      <c r="AB203" s="449" t="s">
        <v>309</v>
      </c>
      <c r="AC203" s="449"/>
      <c r="AD203" s="417"/>
      <c r="AE203" s="121" t="s">
        <v>56</v>
      </c>
    </row>
    <row r="204" spans="1:31" s="1" customFormat="1" ht="21" customHeight="1" thickBot="1">
      <c r="A204" s="122"/>
      <c r="B204" s="90"/>
      <c r="C204" s="90"/>
      <c r="D204" s="137"/>
      <c r="E204" s="123"/>
      <c r="F204" s="123"/>
      <c r="G204" s="123"/>
      <c r="H204" s="123"/>
      <c r="I204" s="123"/>
      <c r="J204" s="123"/>
      <c r="K204" s="123"/>
      <c r="L204" s="123"/>
      <c r="M204" s="123"/>
      <c r="N204" s="124"/>
      <c r="O204" s="390"/>
      <c r="P204" s="390"/>
      <c r="Q204" s="390"/>
      <c r="R204" s="390"/>
      <c r="S204" s="391"/>
      <c r="T204" s="391"/>
      <c r="U204" s="391"/>
      <c r="V204" s="391"/>
      <c r="W204" s="391"/>
      <c r="X204" s="391"/>
      <c r="Y204" s="391"/>
      <c r="Z204" s="391"/>
      <c r="AA204" s="391"/>
      <c r="AB204" s="391"/>
      <c r="AC204" s="391"/>
      <c r="AD204" s="391"/>
      <c r="AE204" s="392"/>
    </row>
    <row r="206" spans="1:31" ht="21" customHeight="1">
      <c r="E206" s="286"/>
      <c r="F206" s="286"/>
    </row>
    <row r="207" spans="1:31" ht="21" customHeight="1">
      <c r="E207" s="286"/>
      <c r="F207" s="286"/>
    </row>
    <row r="208" spans="1:31" ht="21" customHeight="1">
      <c r="F208" s="286"/>
    </row>
    <row r="209" spans="5:6" ht="21" customHeight="1">
      <c r="E209" s="286"/>
      <c r="F209" s="286"/>
    </row>
    <row r="210" spans="5:6" ht="21" customHeight="1">
      <c r="E210" s="286"/>
      <c r="F210" s="286"/>
    </row>
    <row r="211" spans="5:6" ht="21" customHeight="1">
      <c r="E211" s="286"/>
      <c r="F211" s="286"/>
    </row>
  </sheetData>
  <mergeCells count="15"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1:W71"/>
    <mergeCell ref="B190:C190"/>
    <mergeCell ref="B110:C110"/>
    <mergeCell ref="B132:C132"/>
    <mergeCell ref="B187:C187"/>
    <mergeCell ref="O115:R115"/>
  </mergeCells>
  <phoneticPr fontId="9" type="noConversion"/>
  <conditionalFormatting sqref="M1:M1048576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59" firstPageNumber="23" fitToHeight="0" orientation="landscape" r:id="rId1"/>
  <headerFooter>
    <oddFooter>&amp;R장애인공동생활가정 몬띠의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2025-08-12T02:10:26Z</cp:lastPrinted>
  <dcterms:created xsi:type="dcterms:W3CDTF">2003-12-18T04:11:57Z</dcterms:created>
  <dcterms:modified xsi:type="dcterms:W3CDTF">2025-09-10T02:00:12Z</dcterms:modified>
</cp:coreProperties>
</file>