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55" activeTab="2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ddd">세입!#REF!</definedName>
    <definedName name="_xlnm.Print_Area" localSheetId="1">세입!$A$1:$Y$224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[3]세입!#REF!</definedName>
    <definedName name="가계보조수당" localSheetId="2">#REF!</definedName>
    <definedName name="가계보조수당">세입!#REF!</definedName>
    <definedName name="가족수당" localSheetId="2">세출!$AD$19</definedName>
    <definedName name="가족수당1" localSheetId="1">세입!#REF!</definedName>
    <definedName name="급식비" localSheetId="1">세입!#REF!</definedName>
    <definedName name="급식비1" localSheetId="0">[3]세입!#REF!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[3]세입!#REF!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[3]세입!#REF!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[4]기본급테이블!$C$3:$S$33</definedName>
    <definedName name="ㄴㅁㅇ">[2]세입!#REF!</definedName>
    <definedName name="명절휴가비" localSheetId="2">세출!$AD$15</definedName>
    <definedName name="명절휴가비1" localSheetId="1">세입!#REF!</definedName>
    <definedName name="보조금반납금계산">[1]세입!#REF!</definedName>
    <definedName name="사회보험" localSheetId="0">[3]세입!#REF!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[3]세입!#REF!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[3]세입!#REF!</definedName>
    <definedName name="수정제수당총액" localSheetId="2">#REF!</definedName>
    <definedName name="수정제수당총액">세입!#REF!</definedName>
    <definedName name="수정제수당총액1">[2]세입!#REF!</definedName>
    <definedName name="ㅇㄴㄹ">[2]세입!#REF!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[3]세입!#REF!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[3]세입!#REF!</definedName>
    <definedName name="직원급식비" localSheetId="0">[3]세입!#REF!</definedName>
    <definedName name="직원급식비" localSheetId="2">#REF!</definedName>
    <definedName name="직원급식비">세입!#REF!</definedName>
    <definedName name="직원급식비1">[2]세입!#REF!</definedName>
    <definedName name="직책">[4]기본급테이블!$C$2:$S$2</definedName>
    <definedName name="직책보조비" localSheetId="1">세입!#REF!</definedName>
    <definedName name="퇴직금" localSheetId="0">[3]세입!#REF!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[3]세입!#REF!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[3]세입!#REF!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[3]세입!#REF!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[3]세입!#REF!</definedName>
    <definedName name="특수근무수당3" localSheetId="2">#REF!</definedName>
    <definedName name="특수근무수당3">세입!#REF!</definedName>
    <definedName name="특수근무수당6">[5]세입!#REF!</definedName>
    <definedName name="프로그램지원금" localSheetId="1">세입!#REF!</definedName>
    <definedName name="호봉">[4]기본급테이블!$B$3:$B$33</definedName>
  </definedNames>
  <calcPr calcId="145621"/>
</workbook>
</file>

<file path=xl/calcChain.xml><?xml version="1.0" encoding="utf-8"?>
<calcChain xmlns="http://schemas.openxmlformats.org/spreadsheetml/2006/main">
  <c r="X195" i="4" l="1"/>
  <c r="AD68" i="31" l="1"/>
  <c r="X185" i="4"/>
  <c r="AD209" i="31" l="1"/>
  <c r="AD175" i="31"/>
  <c r="AD168" i="31"/>
  <c r="AD164" i="31"/>
  <c r="AD157" i="31"/>
  <c r="AD153" i="31"/>
  <c r="AD136" i="31"/>
  <c r="AD124" i="31"/>
  <c r="AD103" i="31"/>
  <c r="AD86" i="31"/>
  <c r="AD78" i="31"/>
  <c r="X152" i="4"/>
  <c r="X174" i="4" l="1"/>
  <c r="X181" i="4" l="1"/>
  <c r="X207" i="4" l="1"/>
  <c r="X206" i="4" s="1"/>
  <c r="X223" i="4"/>
  <c r="X216" i="4" s="1"/>
  <c r="X165" i="4" l="1"/>
  <c r="AD101" i="31" l="1"/>
  <c r="AD183" i="31" l="1"/>
  <c r="AD194" i="31"/>
  <c r="AD188" i="31"/>
  <c r="AD186" i="31"/>
  <c r="AD187" i="31"/>
  <c r="AD185" i="31"/>
  <c r="X28" i="4" l="1"/>
  <c r="AD100" i="31" l="1"/>
  <c r="G96" i="31"/>
  <c r="AD115" i="31" l="1"/>
  <c r="X38" i="4" l="1"/>
  <c r="X35" i="4"/>
  <c r="X102" i="4" l="1"/>
  <c r="X89" i="4"/>
  <c r="X41" i="4"/>
  <c r="AD182" i="31"/>
  <c r="AD181" i="31" l="1"/>
  <c r="AD180" i="31"/>
  <c r="E206" i="4" l="1"/>
  <c r="AD179" i="31" l="1"/>
  <c r="X128" i="4" l="1"/>
  <c r="X70" i="4"/>
  <c r="J26" i="18" l="1"/>
  <c r="AD145" i="31" l="1"/>
  <c r="I25" i="18" l="1"/>
  <c r="I23" i="18" l="1"/>
  <c r="I16" i="18"/>
  <c r="I12" i="18"/>
  <c r="I8" i="18"/>
  <c r="D21" i="18"/>
  <c r="D19" i="18"/>
  <c r="D14" i="18"/>
  <c r="D10" i="18"/>
  <c r="D8" i="18"/>
  <c r="I7" i="18" l="1"/>
  <c r="D7" i="18"/>
  <c r="L86" i="31" l="1"/>
  <c r="K86" i="31"/>
  <c r="AD92" i="31"/>
  <c r="AD91" i="31"/>
  <c r="AD84" i="31" l="1"/>
  <c r="AD79" i="31" l="1"/>
  <c r="AD71" i="31"/>
  <c r="AD69" i="31"/>
  <c r="X93" i="4"/>
  <c r="X64" i="4"/>
  <c r="K26" i="18" l="1"/>
  <c r="K25" i="18" l="1"/>
  <c r="J25" i="18"/>
  <c r="L209" i="31"/>
  <c r="K209" i="31"/>
  <c r="J209" i="31"/>
  <c r="I209" i="31"/>
  <c r="H209" i="31"/>
  <c r="G209" i="31"/>
  <c r="F209" i="31"/>
  <c r="L199" i="31"/>
  <c r="K199" i="31"/>
  <c r="J199" i="31"/>
  <c r="I199" i="31"/>
  <c r="H199" i="31"/>
  <c r="G199" i="31"/>
  <c r="F199" i="31"/>
  <c r="D198" i="31"/>
  <c r="D167" i="31"/>
  <c r="AD199" i="31"/>
  <c r="E199" i="31" s="1"/>
  <c r="H198" i="31" l="1"/>
  <c r="L198" i="31"/>
  <c r="AD198" i="31"/>
  <c r="I198" i="31"/>
  <c r="F198" i="31"/>
  <c r="J198" i="31"/>
  <c r="G198" i="31"/>
  <c r="K198" i="31"/>
  <c r="E209" i="31"/>
  <c r="M209" i="31" s="1"/>
  <c r="N209" i="31" s="1"/>
  <c r="X94" i="4"/>
  <c r="AD23" i="31"/>
  <c r="AD15" i="31"/>
  <c r="AD70" i="31"/>
  <c r="AD193" i="31" l="1"/>
  <c r="X99" i="4" l="1"/>
  <c r="AD27" i="31" l="1"/>
  <c r="M44" i="4" l="1"/>
  <c r="X44" i="4" s="1"/>
  <c r="S37" i="31" l="1"/>
  <c r="AD37" i="31" s="1"/>
  <c r="M105" i="4"/>
  <c r="X105" i="4" s="1"/>
  <c r="X42" i="4"/>
  <c r="X101" i="4" l="1"/>
  <c r="X40" i="4"/>
  <c r="AD104" i="31" l="1"/>
  <c r="AD192" i="31"/>
  <c r="AD169" i="31"/>
  <c r="AD165" i="31"/>
  <c r="AD161" i="31"/>
  <c r="AD158" i="31"/>
  <c r="AD140" i="31"/>
  <c r="AD139" i="31"/>
  <c r="AD117" i="31"/>
  <c r="AD116" i="31" s="1"/>
  <c r="AD114" i="31"/>
  <c r="AD113" i="31" s="1"/>
  <c r="AD110" i="31"/>
  <c r="AD106" i="31"/>
  <c r="AD105" i="31"/>
  <c r="AD99" i="31"/>
  <c r="L96" i="31" s="1"/>
  <c r="AD98" i="31"/>
  <c r="AD97" i="31"/>
  <c r="J96" i="31" s="1"/>
  <c r="AD90" i="31"/>
  <c r="AD89" i="31"/>
  <c r="F86" i="31" s="1"/>
  <c r="J86" i="31" l="1"/>
  <c r="J191" i="31"/>
  <c r="AD191" i="31"/>
  <c r="X90" i="4" l="1"/>
  <c r="J172" i="31" l="1"/>
  <c r="AD96" i="31"/>
  <c r="J189" i="31" l="1"/>
  <c r="F178" i="31"/>
  <c r="G178" i="31"/>
  <c r="H178" i="31"/>
  <c r="I178" i="31"/>
  <c r="K178" i="31"/>
  <c r="L178" i="31"/>
  <c r="AD176" i="31"/>
  <c r="AD172" i="31"/>
  <c r="E172" i="31" s="1"/>
  <c r="M172" i="31" s="1"/>
  <c r="N172" i="31" s="1"/>
  <c r="L172" i="31"/>
  <c r="K172" i="31"/>
  <c r="I172" i="31"/>
  <c r="H172" i="31"/>
  <c r="G172" i="31"/>
  <c r="F172" i="31"/>
  <c r="AD151" i="31"/>
  <c r="AD149" i="31"/>
  <c r="AD148" i="31"/>
  <c r="AD147" i="31"/>
  <c r="AD146" i="31"/>
  <c r="AD178" i="31" l="1"/>
  <c r="E178" i="31" s="1"/>
  <c r="M178" i="31" s="1"/>
  <c r="N178" i="31" s="1"/>
  <c r="J178" i="31"/>
  <c r="AD144" i="31"/>
  <c r="J17" i="18" l="1"/>
  <c r="H196" i="31"/>
  <c r="G196" i="31"/>
  <c r="H191" i="31"/>
  <c r="G191" i="31"/>
  <c r="H189" i="31"/>
  <c r="G189" i="31"/>
  <c r="H184" i="31"/>
  <c r="G184" i="31"/>
  <c r="H175" i="31"/>
  <c r="G175" i="31"/>
  <c r="H168" i="31"/>
  <c r="G168" i="31"/>
  <c r="H164" i="31"/>
  <c r="G164" i="31"/>
  <c r="H160" i="31"/>
  <c r="H157" i="31"/>
  <c r="H153" i="31"/>
  <c r="G153" i="31"/>
  <c r="H144" i="31"/>
  <c r="H136" i="31"/>
  <c r="G136" i="31"/>
  <c r="H124" i="31"/>
  <c r="G124" i="31"/>
  <c r="H122" i="31"/>
  <c r="G122" i="31"/>
  <c r="H113" i="31"/>
  <c r="G113" i="31"/>
  <c r="H109" i="31"/>
  <c r="G109" i="31"/>
  <c r="H103" i="31"/>
  <c r="G103" i="31"/>
  <c r="H96" i="31"/>
  <c r="G76" i="31"/>
  <c r="H76" i="31"/>
  <c r="H74" i="31"/>
  <c r="G74" i="31"/>
  <c r="H78" i="31"/>
  <c r="G78" i="31"/>
  <c r="H86" i="31"/>
  <c r="G86" i="31"/>
  <c r="H14" i="31"/>
  <c r="G14" i="31"/>
  <c r="H35" i="31"/>
  <c r="G35" i="31"/>
  <c r="H44" i="31"/>
  <c r="G44" i="31"/>
  <c r="H68" i="31"/>
  <c r="G68" i="31"/>
  <c r="G167" i="31" l="1"/>
  <c r="H167" i="31"/>
  <c r="AD7" i="31"/>
  <c r="H11" i="31"/>
  <c r="G11" i="31"/>
  <c r="H7" i="31"/>
  <c r="G7" i="31"/>
  <c r="N196" i="31"/>
  <c r="L196" i="31"/>
  <c r="L195" i="31" s="1"/>
  <c r="K196" i="31"/>
  <c r="K195" i="31" s="1"/>
  <c r="J196" i="31"/>
  <c r="J195" i="31" s="1"/>
  <c r="I196" i="31"/>
  <c r="I195" i="31" s="1"/>
  <c r="H195" i="31"/>
  <c r="G195" i="31"/>
  <c r="F196" i="31"/>
  <c r="F195" i="31" s="1"/>
  <c r="E196" i="31"/>
  <c r="E195" i="31" s="1"/>
  <c r="AD195" i="31"/>
  <c r="D195" i="31"/>
  <c r="N195" i="31" s="1"/>
  <c r="E191" i="31"/>
  <c r="M191" i="31" s="1"/>
  <c r="N191" i="31" s="1"/>
  <c r="L191" i="31"/>
  <c r="K191" i="31"/>
  <c r="I191" i="31"/>
  <c r="F191" i="31"/>
  <c r="AD189" i="31"/>
  <c r="E189" i="31" s="1"/>
  <c r="L189" i="31"/>
  <c r="K189" i="31"/>
  <c r="I189" i="31"/>
  <c r="F189" i="31"/>
  <c r="AD184" i="31"/>
  <c r="E184" i="31" s="1"/>
  <c r="L184" i="31"/>
  <c r="K184" i="31"/>
  <c r="J184" i="31"/>
  <c r="I184" i="31"/>
  <c r="F184" i="31"/>
  <c r="E175" i="31"/>
  <c r="L175" i="31"/>
  <c r="K175" i="31"/>
  <c r="J175" i="31"/>
  <c r="I175" i="31"/>
  <c r="F175" i="31"/>
  <c r="L168" i="31"/>
  <c r="K168" i="31"/>
  <c r="J168" i="31"/>
  <c r="I168" i="31"/>
  <c r="F168" i="31"/>
  <c r="L164" i="31"/>
  <c r="K164" i="31"/>
  <c r="J164" i="31"/>
  <c r="I164" i="31"/>
  <c r="F160" i="31"/>
  <c r="L160" i="31"/>
  <c r="K160" i="31"/>
  <c r="J160" i="31"/>
  <c r="G157" i="31"/>
  <c r="L157" i="31"/>
  <c r="K157" i="31"/>
  <c r="J157" i="31"/>
  <c r="I157" i="31"/>
  <c r="F157" i="31"/>
  <c r="L153" i="31"/>
  <c r="K153" i="31"/>
  <c r="J153" i="31"/>
  <c r="I153" i="31"/>
  <c r="F153" i="31"/>
  <c r="K144" i="31"/>
  <c r="I144" i="31"/>
  <c r="D143" i="31"/>
  <c r="L136" i="31"/>
  <c r="K136" i="31"/>
  <c r="J136" i="31"/>
  <c r="I136" i="31"/>
  <c r="L124" i="31"/>
  <c r="K124" i="31"/>
  <c r="J124" i="31"/>
  <c r="I124" i="31"/>
  <c r="F124" i="31"/>
  <c r="L122" i="31"/>
  <c r="K122" i="31"/>
  <c r="J122" i="31"/>
  <c r="F122" i="31"/>
  <c r="D121" i="31"/>
  <c r="D120" i="31" s="1"/>
  <c r="J113" i="31"/>
  <c r="I113" i="31"/>
  <c r="F113" i="31"/>
  <c r="F109" i="31"/>
  <c r="L109" i="31"/>
  <c r="K109" i="31"/>
  <c r="J109" i="31"/>
  <c r="I109" i="31"/>
  <c r="L103" i="31"/>
  <c r="K103" i="31"/>
  <c r="J103" i="31"/>
  <c r="I103" i="31"/>
  <c r="K96" i="31"/>
  <c r="I96" i="31"/>
  <c r="AD83" i="31"/>
  <c r="L83" i="31"/>
  <c r="K83" i="31"/>
  <c r="J83" i="31"/>
  <c r="I83" i="31"/>
  <c r="H83" i="31"/>
  <c r="G83" i="31"/>
  <c r="F83" i="31"/>
  <c r="D82" i="31"/>
  <c r="L78" i="31"/>
  <c r="J78" i="31"/>
  <c r="I78" i="31"/>
  <c r="F78" i="31"/>
  <c r="N76" i="31"/>
  <c r="L76" i="31"/>
  <c r="K76" i="31"/>
  <c r="J76" i="31"/>
  <c r="I76" i="31"/>
  <c r="F76" i="31"/>
  <c r="E76" i="31"/>
  <c r="M76" i="31" s="1"/>
  <c r="AD74" i="31"/>
  <c r="E74" i="31" s="1"/>
  <c r="L74" i="31"/>
  <c r="K74" i="31"/>
  <c r="J74" i="31"/>
  <c r="I74" i="31"/>
  <c r="F74" i="31"/>
  <c r="D73" i="31"/>
  <c r="K68" i="31"/>
  <c r="L68" i="31"/>
  <c r="J68" i="31"/>
  <c r="I68" i="31"/>
  <c r="F68" i="31"/>
  <c r="L44" i="31"/>
  <c r="J44" i="31"/>
  <c r="I44" i="31"/>
  <c r="AD41" i="31"/>
  <c r="L35" i="31"/>
  <c r="J35" i="31"/>
  <c r="I35" i="31"/>
  <c r="AD32" i="31"/>
  <c r="AD31" i="31" s="1"/>
  <c r="AD19" i="31"/>
  <c r="L14" i="31"/>
  <c r="J14" i="31"/>
  <c r="I14" i="31"/>
  <c r="F14" i="31"/>
  <c r="E11" i="31"/>
  <c r="M11" i="31" s="1"/>
  <c r="N11" i="31"/>
  <c r="L11" i="31"/>
  <c r="K11" i="31"/>
  <c r="J11" i="31"/>
  <c r="I11" i="31"/>
  <c r="F11" i="31"/>
  <c r="L7" i="31"/>
  <c r="K7" i="31"/>
  <c r="J7" i="31"/>
  <c r="I7" i="31"/>
  <c r="F7" i="31"/>
  <c r="D6" i="31"/>
  <c r="E83" i="31" l="1"/>
  <c r="E153" i="31"/>
  <c r="M153" i="31" s="1"/>
  <c r="N153" i="31" s="1"/>
  <c r="J18" i="18"/>
  <c r="E78" i="31"/>
  <c r="M78" i="31" s="1"/>
  <c r="N78" i="31" s="1"/>
  <c r="E124" i="31"/>
  <c r="M124" i="31" s="1"/>
  <c r="N124" i="31" s="1"/>
  <c r="J14" i="18"/>
  <c r="J167" i="31"/>
  <c r="K167" i="31"/>
  <c r="F167" i="31"/>
  <c r="L167" i="31"/>
  <c r="I167" i="31"/>
  <c r="E168" i="31"/>
  <c r="E167" i="31" s="1"/>
  <c r="AD167" i="31"/>
  <c r="G144" i="31"/>
  <c r="G160" i="31"/>
  <c r="AD36" i="31"/>
  <c r="AD14" i="31"/>
  <c r="D142" i="31"/>
  <c r="D5" i="31"/>
  <c r="L144" i="31"/>
  <c r="L143" i="31" s="1"/>
  <c r="F96" i="31"/>
  <c r="I73" i="31"/>
  <c r="L113" i="31"/>
  <c r="I86" i="31"/>
  <c r="H121" i="31"/>
  <c r="H120" i="31" s="1"/>
  <c r="I6" i="31"/>
  <c r="M195" i="31"/>
  <c r="E103" i="31"/>
  <c r="M103" i="31" s="1"/>
  <c r="N103" i="31" s="1"/>
  <c r="J73" i="31"/>
  <c r="L121" i="31"/>
  <c r="L120" i="31" s="1"/>
  <c r="K113" i="31"/>
  <c r="M196" i="31"/>
  <c r="M189" i="31"/>
  <c r="N189" i="31" s="1"/>
  <c r="M175" i="31"/>
  <c r="N175" i="31" s="1"/>
  <c r="K14" i="31"/>
  <c r="L6" i="31"/>
  <c r="F144" i="31"/>
  <c r="M184" i="31"/>
  <c r="N184" i="31" s="1"/>
  <c r="L73" i="31"/>
  <c r="G121" i="31"/>
  <c r="G120" i="31" s="1"/>
  <c r="E144" i="31"/>
  <c r="K121" i="31"/>
  <c r="K120" i="31" s="1"/>
  <c r="I160" i="31"/>
  <c r="H82" i="31"/>
  <c r="G73" i="31"/>
  <c r="K143" i="31"/>
  <c r="J6" i="31"/>
  <c r="AD160" i="31"/>
  <c r="J82" i="31"/>
  <c r="H73" i="31"/>
  <c r="F73" i="31"/>
  <c r="H6" i="31"/>
  <c r="M83" i="31"/>
  <c r="N83" i="31" s="1"/>
  <c r="M74" i="31"/>
  <c r="N74" i="31" s="1"/>
  <c r="E7" i="31"/>
  <c r="AD73" i="31"/>
  <c r="J10" i="18" s="1"/>
  <c r="K10" i="18" s="1"/>
  <c r="I121" i="31"/>
  <c r="I120" i="31" s="1"/>
  <c r="S47" i="31"/>
  <c r="AD47" i="31" s="1"/>
  <c r="J121" i="31"/>
  <c r="J120" i="31" s="1"/>
  <c r="F136" i="31"/>
  <c r="E96" i="31"/>
  <c r="F103" i="31"/>
  <c r="AD109" i="31"/>
  <c r="G82" i="31"/>
  <c r="E86" i="31"/>
  <c r="J144" i="31"/>
  <c r="F164" i="31"/>
  <c r="K78" i="31"/>
  <c r="K73" i="31" s="1"/>
  <c r="E68" i="31" l="1"/>
  <c r="M68" i="31" s="1"/>
  <c r="N68" i="31" s="1"/>
  <c r="E164" i="31"/>
  <c r="M164" i="31" s="1"/>
  <c r="N164" i="31" s="1"/>
  <c r="J21" i="18"/>
  <c r="E109" i="31"/>
  <c r="E73" i="31"/>
  <c r="M73" i="31" s="1"/>
  <c r="N73" i="31" s="1"/>
  <c r="E160" i="31"/>
  <c r="M160" i="31" s="1"/>
  <c r="N160" i="31" s="1"/>
  <c r="J20" i="18"/>
  <c r="E157" i="31"/>
  <c r="M157" i="31" s="1"/>
  <c r="N157" i="31" s="1"/>
  <c r="J19" i="18"/>
  <c r="E136" i="31"/>
  <c r="M136" i="31" s="1"/>
  <c r="N136" i="31" s="1"/>
  <c r="J15" i="18"/>
  <c r="J12" i="18" s="1"/>
  <c r="E14" i="31"/>
  <c r="M14" i="31" s="1"/>
  <c r="N14" i="31" s="1"/>
  <c r="J22" i="18"/>
  <c r="D4" i="31"/>
  <c r="M168" i="31"/>
  <c r="M167" i="31" s="1"/>
  <c r="N167" i="31" s="1"/>
  <c r="M199" i="31"/>
  <c r="N199" i="31" s="1"/>
  <c r="E198" i="31"/>
  <c r="F35" i="31"/>
  <c r="AD121" i="31"/>
  <c r="AD120" i="31" s="1"/>
  <c r="E122" i="31"/>
  <c r="E113" i="31"/>
  <c r="L142" i="31"/>
  <c r="I143" i="31"/>
  <c r="I142" i="31" s="1"/>
  <c r="H143" i="31"/>
  <c r="H142" i="31" s="1"/>
  <c r="L82" i="31"/>
  <c r="L5" i="31" s="1"/>
  <c r="K142" i="31"/>
  <c r="I82" i="31"/>
  <c r="I5" i="31" s="1"/>
  <c r="S42" i="31"/>
  <c r="AD42" i="31" s="1"/>
  <c r="K82" i="31"/>
  <c r="H5" i="31"/>
  <c r="AD143" i="31"/>
  <c r="AD142" i="31" s="1"/>
  <c r="J5" i="31"/>
  <c r="M86" i="31"/>
  <c r="N86" i="31" s="1"/>
  <c r="M144" i="31"/>
  <c r="N144" i="31" s="1"/>
  <c r="J143" i="31"/>
  <c r="J142" i="31" s="1"/>
  <c r="S51" i="31"/>
  <c r="AD51" i="31" s="1"/>
  <c r="F82" i="31"/>
  <c r="F121" i="31"/>
  <c r="F120" i="31" s="1"/>
  <c r="N168" i="31"/>
  <c r="M96" i="31"/>
  <c r="N96" i="31" s="1"/>
  <c r="M7" i="31"/>
  <c r="N7" i="31" s="1"/>
  <c r="M109" i="31"/>
  <c r="N109" i="31" s="1"/>
  <c r="G143" i="31"/>
  <c r="G142" i="31" s="1"/>
  <c r="F143" i="31"/>
  <c r="F142" i="31" s="1"/>
  <c r="E143" i="31" l="1"/>
  <c r="M143" i="31" s="1"/>
  <c r="E121" i="31"/>
  <c r="E120" i="31" s="1"/>
  <c r="M120" i="31" s="1"/>
  <c r="N120" i="31" s="1"/>
  <c r="J4" i="31"/>
  <c r="H4" i="31"/>
  <c r="M198" i="31"/>
  <c r="N198" i="31" s="1"/>
  <c r="I4" i="31"/>
  <c r="L4" i="31"/>
  <c r="AD82" i="31"/>
  <c r="J11" i="18" s="1"/>
  <c r="AD40" i="31"/>
  <c r="AD35" i="31" s="1"/>
  <c r="M122" i="31"/>
  <c r="N122" i="31" s="1"/>
  <c r="E82" i="31"/>
  <c r="M82" i="31" s="1"/>
  <c r="N82" i="31" s="1"/>
  <c r="M113" i="31"/>
  <c r="N113" i="31" s="1"/>
  <c r="K35" i="31"/>
  <c r="AD46" i="31"/>
  <c r="S59" i="31"/>
  <c r="AD59" i="31" s="1"/>
  <c r="E142" i="31" l="1"/>
  <c r="M121" i="31"/>
  <c r="N121" i="31" s="1"/>
  <c r="E35" i="31"/>
  <c r="M35" i="31" s="1"/>
  <c r="N35" i="31" s="1"/>
  <c r="K44" i="31"/>
  <c r="G6" i="31"/>
  <c r="G5" i="31" s="1"/>
  <c r="G4" i="31" s="1"/>
  <c r="S55" i="31"/>
  <c r="AD55" i="31" s="1"/>
  <c r="AD50" i="31"/>
  <c r="M142" i="31"/>
  <c r="N142" i="31" s="1"/>
  <c r="N143" i="31"/>
  <c r="S63" i="31"/>
  <c r="AD63" i="31" s="1"/>
  <c r="K6" i="31" l="1"/>
  <c r="K5" i="31" s="1"/>
  <c r="K4" i="31" s="1"/>
  <c r="AD62" i="31"/>
  <c r="AD58" i="31"/>
  <c r="AD54" i="31"/>
  <c r="F44" i="31"/>
  <c r="AD44" i="31" l="1"/>
  <c r="F6" i="31"/>
  <c r="AD6" i="31" l="1"/>
  <c r="E44" i="31"/>
  <c r="E6" i="31" s="1"/>
  <c r="F5" i="31"/>
  <c r="F4" i="31" s="1"/>
  <c r="AD5" i="31" l="1"/>
  <c r="AD4" i="31" s="1"/>
  <c r="J9" i="18"/>
  <c r="J8" i="18" s="1"/>
  <c r="M44" i="31"/>
  <c r="N44" i="31" s="1"/>
  <c r="M6" i="31"/>
  <c r="N6" i="31" s="1"/>
  <c r="E5" i="31"/>
  <c r="E4" i="31" s="1"/>
  <c r="M4" i="31" l="1"/>
  <c r="N4" i="31" s="1"/>
  <c r="M5" i="31"/>
  <c r="N5" i="31" s="1"/>
  <c r="X194" i="4" l="1"/>
  <c r="X139" i="4"/>
  <c r="X122" i="4"/>
  <c r="X100" i="4"/>
  <c r="X97" i="4"/>
  <c r="X96" i="4"/>
  <c r="X98" i="4" l="1"/>
  <c r="X95" i="4"/>
  <c r="X92" i="4"/>
  <c r="X88" i="4"/>
  <c r="X104" i="4"/>
  <c r="M109" i="4"/>
  <c r="X109" i="4" s="1"/>
  <c r="M118" i="4"/>
  <c r="X118" i="4" s="1"/>
  <c r="X119" i="4"/>
  <c r="M121" i="4"/>
  <c r="M112" i="4"/>
  <c r="X112" i="4" s="1"/>
  <c r="M48" i="4"/>
  <c r="X48" i="4" s="1"/>
  <c r="X39" i="4"/>
  <c r="X36" i="4"/>
  <c r="X33" i="4"/>
  <c r="X32" i="4"/>
  <c r="X121" i="4" l="1"/>
  <c r="X120" i="4" s="1"/>
  <c r="X91" i="4"/>
  <c r="X34" i="4"/>
  <c r="X117" i="4"/>
  <c r="X116" i="4"/>
  <c r="X108" i="4"/>
  <c r="M115" i="4"/>
  <c r="X115" i="4" s="1"/>
  <c r="X37" i="4"/>
  <c r="M51" i="4"/>
  <c r="X51" i="4" s="1"/>
  <c r="M54" i="4" s="1"/>
  <c r="X54" i="4" s="1"/>
  <c r="X55" i="4"/>
  <c r="M57" i="4"/>
  <c r="X57" i="4" s="1"/>
  <c r="X61" i="4"/>
  <c r="X47" i="4"/>
  <c r="X58" i="4"/>
  <c r="M60" i="4"/>
  <c r="X60" i="4" s="1"/>
  <c r="X31" i="4"/>
  <c r="X30" i="4" l="1"/>
  <c r="X111" i="4"/>
  <c r="X114" i="4"/>
  <c r="X53" i="4"/>
  <c r="X50" i="4"/>
  <c r="X56" i="4"/>
  <c r="X59" i="4"/>
  <c r="X6" i="4"/>
  <c r="X107" i="4" l="1"/>
  <c r="X87" i="4" s="1"/>
  <c r="X46" i="4"/>
  <c r="X151" i="4" l="1"/>
  <c r="E16" i="18" s="1"/>
  <c r="X15" i="4"/>
  <c r="F16" i="18" l="1"/>
  <c r="E14" i="18"/>
  <c r="X177" i="4"/>
  <c r="J23" i="18" l="1"/>
  <c r="J16" i="18"/>
  <c r="K24" i="18"/>
  <c r="K23" i="18" s="1"/>
  <c r="K22" i="18"/>
  <c r="K21" i="18"/>
  <c r="K20" i="18"/>
  <c r="K19" i="18"/>
  <c r="K18" i="18"/>
  <c r="K17" i="18"/>
  <c r="K15" i="18"/>
  <c r="K14" i="18"/>
  <c r="K11" i="18"/>
  <c r="K16" i="18" l="1"/>
  <c r="J7" i="18"/>
  <c r="X136" i="4" l="1"/>
  <c r="X135" i="4" s="1"/>
  <c r="F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75" i="4"/>
  <c r="X73" i="4"/>
  <c r="E173" i="4" l="1"/>
  <c r="E215" i="4"/>
  <c r="E203" i="4"/>
  <c r="H200" i="4"/>
  <c r="E199" i="4"/>
  <c r="H199" i="4" s="1"/>
  <c r="E194" i="4"/>
  <c r="E164" i="4"/>
  <c r="E168" i="4"/>
  <c r="E145" i="4"/>
  <c r="E151" i="4"/>
  <c r="E141" i="4"/>
  <c r="E83" i="4"/>
  <c r="E163" i="4" l="1"/>
  <c r="E144" i="4"/>
  <c r="E202" i="4"/>
  <c r="E172" i="4"/>
  <c r="E22" i="4"/>
  <c r="H204" i="4"/>
  <c r="H203" i="4"/>
  <c r="H165" i="4"/>
  <c r="H164" i="4"/>
  <c r="H161" i="4"/>
  <c r="H158" i="4"/>
  <c r="H142" i="4"/>
  <c r="H141" i="4"/>
  <c r="X150" i="4"/>
  <c r="X149" i="4" s="1"/>
  <c r="F149" i="4" s="1"/>
  <c r="G149" i="4" s="1"/>
  <c r="H149" i="4" s="1"/>
  <c r="E12" i="4" l="1"/>
  <c r="F216" i="4"/>
  <c r="F215" i="4" s="1"/>
  <c r="G215" i="4" s="1"/>
  <c r="H215" i="4" s="1"/>
  <c r="G216" i="4" l="1"/>
  <c r="H216" i="4" s="1"/>
  <c r="F207" i="4" l="1"/>
  <c r="F185" i="4"/>
  <c r="G185" i="4" s="1"/>
  <c r="H185" i="4" s="1"/>
  <c r="F177" i="4"/>
  <c r="G177" i="4" s="1"/>
  <c r="H177" i="4" s="1"/>
  <c r="F174" i="4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133" i="4"/>
  <c r="X71" i="4"/>
  <c r="X72" i="4"/>
  <c r="X43" i="4"/>
  <c r="F181" i="4" l="1"/>
  <c r="G181" i="4" s="1"/>
  <c r="H181" i="4" s="1"/>
  <c r="F77" i="4"/>
  <c r="F158" i="4"/>
  <c r="G158" i="4" s="1"/>
  <c r="F169" i="4"/>
  <c r="X63" i="4"/>
  <c r="F160" i="4"/>
  <c r="G160" i="4" s="1"/>
  <c r="G161" i="4"/>
  <c r="F206" i="4"/>
  <c r="G206" i="4" s="1"/>
  <c r="H206" i="4" s="1"/>
  <c r="G207" i="4"/>
  <c r="H207" i="4" s="1"/>
  <c r="X138" i="4"/>
  <c r="X124" i="4"/>
  <c r="X156" i="4"/>
  <c r="X173" i="4"/>
  <c r="F195" i="4"/>
  <c r="E156" i="4"/>
  <c r="X69" i="4"/>
  <c r="X127" i="4"/>
  <c r="F157" i="4" l="1"/>
  <c r="G157" i="4" s="1"/>
  <c r="F138" i="4"/>
  <c r="G138" i="4" s="1"/>
  <c r="H138" i="4" s="1"/>
  <c r="F173" i="4"/>
  <c r="G173" i="4" s="1"/>
  <c r="H173" i="4" s="1"/>
  <c r="F127" i="4"/>
  <c r="G127" i="4" s="1"/>
  <c r="H127" i="4" s="1"/>
  <c r="F69" i="4"/>
  <c r="G69" i="4" s="1"/>
  <c r="H69" i="4" s="1"/>
  <c r="F63" i="4"/>
  <c r="G63" i="4" s="1"/>
  <c r="H63" i="4" s="1"/>
  <c r="F168" i="4"/>
  <c r="G168" i="4" s="1"/>
  <c r="H168" i="4" s="1"/>
  <c r="G169" i="4"/>
  <c r="H169" i="4" s="1"/>
  <c r="F156" i="4"/>
  <c r="G156" i="4" s="1"/>
  <c r="E4" i="4"/>
  <c r="H156" i="4"/>
  <c r="F194" i="4"/>
  <c r="G194" i="4" s="1"/>
  <c r="H194" i="4" s="1"/>
  <c r="G195" i="4"/>
  <c r="H195" i="4" s="1"/>
  <c r="F87" i="4" l="1"/>
  <c r="G87" i="4" s="1"/>
  <c r="H87" i="4" s="1"/>
  <c r="G77" i="4"/>
  <c r="H77" i="4" s="1"/>
  <c r="G135" i="4" l="1"/>
  <c r="H135" i="4" s="1"/>
  <c r="X29" i="4" l="1"/>
  <c r="X27" i="4" s="1"/>
  <c r="X26" i="4" s="1"/>
  <c r="F26" i="4" l="1"/>
  <c r="G26" i="4" s="1"/>
  <c r="H26" i="4" s="1"/>
  <c r="X24" i="4" l="1"/>
  <c r="X10" i="4"/>
  <c r="F142" i="4"/>
  <c r="X215" i="4"/>
  <c r="X205" i="4"/>
  <c r="X204" i="4" s="1"/>
  <c r="F204" i="4" s="1"/>
  <c r="X200" i="4"/>
  <c r="X168" i="4"/>
  <c r="X141" i="4"/>
  <c r="F124" i="4" s="1"/>
  <c r="G124" i="4" s="1"/>
  <c r="H124" i="4" s="1"/>
  <c r="X85" i="4"/>
  <c r="F203" i="4" l="1"/>
  <c r="G204" i="4"/>
  <c r="F141" i="4"/>
  <c r="G141" i="4" s="1"/>
  <c r="G142" i="4"/>
  <c r="X164" i="4"/>
  <c r="F165" i="4"/>
  <c r="X199" i="4"/>
  <c r="X172" i="4" s="1"/>
  <c r="E20" i="18" s="1"/>
  <c r="F200" i="4"/>
  <c r="X14" i="4"/>
  <c r="X13" i="4" s="1"/>
  <c r="X84" i="4"/>
  <c r="X23" i="4"/>
  <c r="X22" i="4" s="1"/>
  <c r="E12" i="18" s="1"/>
  <c r="X203" i="4"/>
  <c r="X202" i="4" s="1"/>
  <c r="X163" i="4"/>
  <c r="E22" i="18" l="1"/>
  <c r="F20" i="18"/>
  <c r="E19" i="18"/>
  <c r="F12" i="18"/>
  <c r="F202" i="4"/>
  <c r="G202" i="4" s="1"/>
  <c r="H202" i="4" s="1"/>
  <c r="G203" i="4"/>
  <c r="F199" i="4"/>
  <c r="G200" i="4"/>
  <c r="F164" i="4"/>
  <c r="G165" i="4"/>
  <c r="F84" i="4"/>
  <c r="X83" i="4"/>
  <c r="E13" i="18" s="1"/>
  <c r="E10" i="18" s="1"/>
  <c r="F14" i="4"/>
  <c r="F13" i="4" s="1"/>
  <c r="F23" i="4"/>
  <c r="F10" i="4"/>
  <c r="G10" i="4" s="1"/>
  <c r="H10" i="4"/>
  <c r="X8" i="4"/>
  <c r="F22" i="18" l="1"/>
  <c r="F21" i="18" s="1"/>
  <c r="E21" i="18"/>
  <c r="X12" i="4"/>
  <c r="F163" i="4"/>
  <c r="G163" i="4" s="1"/>
  <c r="H163" i="4" s="1"/>
  <c r="G164" i="4"/>
  <c r="F172" i="4"/>
  <c r="G172" i="4" s="1"/>
  <c r="H172" i="4" s="1"/>
  <c r="G199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19" i="18"/>
  <c r="F18" i="18"/>
  <c r="F17" i="18" s="1"/>
  <c r="F15" i="18"/>
  <c r="K13" i="18"/>
  <c r="K12" i="18" s="1"/>
  <c r="F13" i="18"/>
  <c r="F11" i="18"/>
  <c r="K9" i="18"/>
  <c r="K8" i="18" s="1"/>
  <c r="F14" i="18" l="1"/>
  <c r="K7" i="18"/>
  <c r="F10" i="18"/>
  <c r="F12" i="4"/>
  <c r="G12" i="4" l="1"/>
  <c r="H12" i="4" s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5" i="4"/>
  <c r="H145" i="4" s="1"/>
  <c r="G144" i="4" l="1"/>
  <c r="H144" i="4" s="1"/>
  <c r="X7" i="4"/>
  <c r="X5" i="4" s="1"/>
  <c r="E9" i="18" l="1"/>
  <c r="F5" i="4"/>
  <c r="F4" i="4" s="1"/>
  <c r="X4" i="4"/>
  <c r="E8" i="18" l="1"/>
  <c r="E7" i="18" s="1"/>
  <c r="F9" i="18"/>
  <c r="F8" i="18" s="1"/>
  <c r="F7" i="18" s="1"/>
  <c r="G5" i="4"/>
  <c r="G4" i="4" s="1"/>
  <c r="H4" i="4" s="1"/>
  <c r="H5" i="4" l="1"/>
</calcChain>
</file>

<file path=xl/sharedStrings.xml><?xml version="1.0" encoding="utf-8"?>
<sst xmlns="http://schemas.openxmlformats.org/spreadsheetml/2006/main" count="1657" uniqueCount="551">
  <si>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</si>
  <si>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</si>
  <si>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</si>
  <si>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</si>
  <si>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</si>
  <si>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</si>
  <si>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</si>
  <si>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</si>
  <si>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</si>
  <si>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</si>
  <si>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</si>
  <si>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</si>
  <si>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</si>
  <si>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</si>
  <si>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</si>
  <si>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</si>
  <si>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</si>
  <si>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</si>
  <si>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</si>
  <si>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</si>
  <si>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</si>
  <si>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</si>
  <si>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</si>
  <si>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</si>
  <si>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</si>
  <si>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</si>
  <si>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</si>
  <si>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</si>
  <si>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</si>
  <si>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</si>
  <si>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</si>
  <si>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</si>
  <si>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</si>
  <si>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</si>
  <si>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</si>
  <si>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</si>
  <si>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</si>
  <si>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</si>
  <si>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</si>
  <si>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</si>
  <si>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</si>
  <si>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</si>
  <si>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</si>
  <si>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</si>
  <si>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</si>
  <si>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</si>
  <si>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</si>
  <si>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</si>
  <si>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</si>
  <si>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</si>
  <si>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</si>
  <si>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</si>
  <si>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</si>
  <si>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</si>
  <si>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</si>
  <si>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</si>
  <si>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</si>
  <si>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</si>
  <si>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</si>
  <si>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</si>
  <si>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</si>
  <si>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</si>
  <si>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</si>
  <si>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</si>
  <si>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</si>
  <si>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</si>
  <si>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</si>
  <si>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</si>
  <si>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</si>
  <si>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</si>
  <si>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</si>
  <si>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</si>
  <si>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</si>
  <si>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</si>
  <si>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</si>
  <si>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</si>
  <si>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</si>
  <si>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</si>
  <si>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</si>
  <si>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</si>
  <si>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자 산   취 득 비</t>
    <phoneticPr fontId="26" type="noConversion"/>
  </si>
  <si>
    <t>비지정   후원금</t>
    <phoneticPr fontId="26" type="noConversion"/>
  </si>
  <si>
    <t>시설장비유지비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</si>
  <si>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</si>
  <si>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</si>
  <si>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</si>
  <si>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</si>
  <si>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</si>
  <si>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</si>
  <si>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</si>
  <si>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</si>
  <si>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</si>
  <si>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</si>
  <si>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</si>
  <si>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</si>
  <si>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</si>
  <si>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</si>
  <si>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</si>
  <si>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</si>
  <si>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</si>
  <si>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</si>
  <si>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</si>
  <si>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</si>
  <si>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</si>
  <si>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</si>
  <si>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</si>
  <si>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</si>
  <si>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</si>
  <si>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</si>
  <si>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</si>
  <si>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</si>
  <si>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</si>
  <si>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</si>
  <si>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</si>
  <si>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</si>
  <si>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</si>
  <si>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</si>
  <si>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</si>
  <si>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</si>
  <si>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</si>
  <si>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</si>
  <si>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</si>
  <si>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</si>
  <si>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</si>
  <si>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</si>
  <si>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</si>
  <si>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</si>
  <si>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</si>
  <si>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</si>
  <si>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</si>
  <si>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</si>
  <si>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</si>
  <si>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</si>
  <si>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</si>
  <si>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</si>
  <si>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</si>
  <si>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</si>
  <si>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</si>
  <si>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</si>
  <si>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</si>
  <si>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</si>
  <si>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</si>
  <si>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</si>
  <si>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</si>
  <si>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</si>
  <si>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</si>
  <si>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</si>
  <si>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</si>
  <si>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</si>
  <si>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</si>
  <si>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</si>
  <si>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</si>
  <si>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</si>
  <si>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</si>
  <si>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</si>
  <si>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</si>
  <si>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</si>
  <si>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</si>
  <si>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</si>
  <si>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</si>
  <si>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</si>
  <si>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</si>
  <si>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</si>
  <si>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</si>
  <si>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</si>
  <si>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</si>
  <si>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</si>
  <si>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</si>
  <si>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</si>
  <si>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</si>
  <si>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</si>
  <si>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</si>
  <si>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</si>
  <si>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</si>
  <si>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</si>
  <si>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</si>
  <si>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</si>
  <si>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</si>
  <si>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</si>
  <si>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</si>
  <si>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</si>
  <si>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</si>
  <si>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</si>
  <si>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</si>
  <si>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</si>
  <si>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</si>
  <si>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</si>
  <si>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</si>
  <si>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</si>
  <si>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</si>
  <si>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</si>
  <si>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</si>
  <si>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</si>
  <si>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</si>
  <si>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</si>
  <si>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</si>
  <si>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</si>
  <si>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</si>
  <si>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</si>
  <si>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</si>
  <si>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</si>
  <si>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</si>
  <si>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</si>
  <si>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</si>
  <si>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</si>
  <si>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</si>
  <si>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</si>
  <si>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</si>
  <si>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</si>
  <si>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</si>
  <si>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</si>
  <si>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</si>
  <si>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</si>
  <si>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</si>
  <si>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</si>
  <si>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</si>
  <si>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</si>
  <si>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</si>
  <si>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</si>
  <si>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</si>
  <si>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</si>
  <si>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</si>
  <si>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</si>
  <si>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</si>
  <si>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</si>
  <si>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</si>
  <si>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</si>
  <si>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</si>
  <si>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</si>
  <si>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</si>
  <si>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</si>
  <si>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</si>
  <si>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</si>
  <si>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</si>
  <si>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</si>
  <si>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</si>
  <si>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</si>
  <si>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</si>
  <si>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</si>
  <si>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</si>
  <si>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</si>
  <si>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</si>
  <si>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&lt;기타잡수입&gt;</t>
    <phoneticPr fontId="7" type="noConversion"/>
  </si>
  <si>
    <t>원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</si>
  <si>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</si>
  <si>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</si>
  <si>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</si>
  <si>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</si>
  <si>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</si>
  <si>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</si>
  <si>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</si>
  <si>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</si>
  <si>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</si>
  <si>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</si>
  <si>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</si>
  <si>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</si>
  <si>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</si>
  <si>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</si>
  <si>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</si>
  <si>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</si>
  <si>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</si>
  <si>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</si>
  <si>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</si>
  <si>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</si>
  <si>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</si>
  <si>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</si>
  <si>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</si>
  <si>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</si>
  <si>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</si>
  <si>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</si>
  <si>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</si>
  <si>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</si>
  <si>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</si>
  <si>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</si>
  <si>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</si>
  <si>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</si>
  <si>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</si>
  <si>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</si>
  <si>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</si>
  <si>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</si>
  <si>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</si>
  <si>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</si>
  <si>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</si>
  <si>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</si>
  <si>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</si>
  <si>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</si>
  <si>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</si>
  <si>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</si>
  <si>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</si>
  <si>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</si>
  <si>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</si>
  <si>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</si>
  <si>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</si>
  <si>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</si>
  <si>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</si>
  <si>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</si>
  <si>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</si>
  <si>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</si>
  <si>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</si>
  <si>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</si>
  <si>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</si>
  <si>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</si>
  <si>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</si>
  <si>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</si>
  <si>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</si>
  <si>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</si>
  <si>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</si>
  <si>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</si>
  <si>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</si>
  <si>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</si>
  <si>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</si>
  <si>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</si>
  <si>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</si>
  <si>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.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</si>
  <si>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</si>
  <si>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</si>
  <si>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</si>
  <si>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</si>
  <si>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</si>
  <si>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</si>
  <si>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</si>
  <si>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</si>
  <si>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</si>
  <si>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</si>
  <si>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</si>
  <si>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</si>
  <si>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</si>
  <si>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</si>
  <si>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</si>
  <si>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</si>
  <si>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</si>
  <si>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</si>
  <si>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</si>
  <si>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</si>
  <si>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</si>
  <si>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</si>
  <si>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</si>
  <si>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</si>
  <si>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</si>
  <si>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</si>
  <si>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A.직책보조비</t>
    <phoneticPr fontId="7" type="noConversion"/>
  </si>
  <si>
    <t>명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</si>
  <si>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</si>
  <si>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</si>
  <si>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</si>
  <si>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</si>
  <si>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</si>
  <si>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</si>
  <si>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</si>
  <si>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</si>
  <si>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</si>
  <si>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</si>
  <si>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</si>
  <si>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</si>
  <si>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</si>
  <si>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</si>
  <si>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</si>
  <si>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</si>
  <si>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</si>
  <si>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</si>
  <si>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</si>
  <si>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</si>
  <si>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</si>
  <si>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</si>
  <si>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</si>
  <si>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</si>
  <si>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</si>
  <si>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</si>
  <si>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</si>
  <si>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</si>
  <si>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</si>
  <si>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</si>
  <si>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</si>
  <si>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</si>
  <si>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</si>
  <si>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</si>
  <si>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</si>
  <si>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</si>
  <si>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</si>
  <si>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</si>
  <si>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</si>
  <si>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</si>
  <si>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</si>
  <si>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</si>
  <si>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</si>
  <si>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</si>
  <si>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</si>
  <si>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</si>
  <si>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</si>
  <si>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</si>
  <si>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</si>
  <si>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</si>
  <si>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</si>
  <si>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</si>
  <si>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</si>
  <si>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</si>
  <si>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</si>
  <si>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</si>
  <si>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</si>
  <si>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</si>
  <si>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</si>
  <si>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</si>
  <si>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</si>
  <si>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</si>
  <si>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</si>
  <si>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</si>
  <si>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</si>
  <si>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</si>
  <si>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</si>
  <si>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</si>
  <si>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</si>
  <si>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</si>
  <si>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4.야간근로수당</t>
    <phoneticPr fontId="7" type="noConversion"/>
  </si>
  <si>
    <t>5. 기타 제수당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</si>
  <si>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</si>
  <si>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</si>
  <si>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</si>
  <si>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</si>
  <si>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</si>
  <si>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</si>
  <si>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</si>
  <si>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</si>
  <si>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</si>
  <si>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</si>
  <si>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</si>
  <si>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</si>
  <si>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</si>
  <si>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</si>
  <si>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</si>
  <si>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</si>
  <si>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</si>
  <si>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</si>
  <si>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</si>
  <si>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</si>
  <si>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</si>
  <si>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</si>
  <si>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</si>
  <si>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</si>
  <si>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</si>
  <si>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</si>
  <si>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</si>
  <si>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</si>
  <si>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</si>
  <si>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</si>
  <si>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</si>
  <si>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</si>
  <si>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</si>
  <si>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후원</t>
  </si>
  <si>
    <t>* 기타 수용기관경비</t>
  </si>
  <si>
    <t>* 피복비</t>
  </si>
  <si>
    <t>* 외래 진료비 및 의약품비</t>
  </si>
  <si>
    <t>* 취사용 연료비</t>
  </si>
  <si>
    <t>* 이용인 생일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</si>
  <si>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</si>
  <si>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</si>
  <si>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</si>
  <si>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</si>
  <si>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운동지원</t>
    <phoneticPr fontId="7" type="noConversion"/>
  </si>
  <si>
    <t>기타</t>
    <phoneticPr fontId="7" type="noConversion"/>
  </si>
  <si>
    <t>1. 보조금 체크카드환급금</t>
  </si>
  <si>
    <t>2. 법인전입금 체크카드환급액</t>
  </si>
  <si>
    <t>3. 입소비용 체크카드환급액</t>
  </si>
  <si>
    <t>4. 잡수입 체크카드환급금</t>
  </si>
  <si>
    <t>* 특수건강검진</t>
  </si>
  <si>
    <t>* 독감예방접종</t>
  </si>
  <si>
    <t>* 사무용품비(문구류 )</t>
  </si>
  <si>
    <t>* CCTV 임대료</t>
  </si>
  <si>
    <t>법인</t>
  </si>
  <si>
    <t>* 자동차세 등 기타 공과금</t>
  </si>
  <si>
    <t>* 환경개선사업(6종)</t>
    <phoneticPr fontId="7" type="noConversion"/>
  </si>
  <si>
    <t>6종</t>
    <phoneticPr fontId="7" type="noConversion"/>
  </si>
  <si>
    <t>* 장애인거주시설입소자4종</t>
    <phoneticPr fontId="7" type="noConversion"/>
  </si>
  <si>
    <t>* 봄나들이</t>
  </si>
  <si>
    <t>* 법인전입금 예금이자</t>
  </si>
  <si>
    <t>* 법인전입금 체크카드환급액</t>
  </si>
  <si>
    <t>* 입소비용 예금이자</t>
  </si>
  <si>
    <t>* 입소비용 체크카드환급액</t>
  </si>
  <si>
    <t>* 잡수입 예금이자</t>
  </si>
  <si>
    <t>* 잡수입 체크카드환급액</t>
  </si>
  <si>
    <t>* 후원금 예금이자</t>
  </si>
  <si>
    <t>* 후원금 체크카드환급액</t>
  </si>
  <si>
    <t xml:space="preserve"> 라.야간근로수당</t>
    <phoneticPr fontId="7" type="noConversion"/>
  </si>
  <si>
    <t>* 시설안전종합보험(화재보험 포함)</t>
    <phoneticPr fontId="7" type="noConversion"/>
  </si>
  <si>
    <t>보조금   반환금</t>
    <phoneticPr fontId="26" type="noConversion"/>
  </si>
  <si>
    <t>재활프로그램</t>
    <phoneticPr fontId="7" type="noConversion"/>
  </si>
  <si>
    <t>지원금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</si>
  <si>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</si>
  <si>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</si>
  <si>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</si>
  <si>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</si>
  <si>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>후원</t>
    <phoneticPr fontId="7" type="noConversion"/>
  </si>
  <si>
    <t>입소</t>
    <phoneticPr fontId="7" type="noConversion"/>
  </si>
  <si>
    <t>* 프린트임대료</t>
    <phoneticPr fontId="7" type="noConversion"/>
  </si>
  <si>
    <t>명</t>
    <phoneticPr fontId="7" type="noConversion"/>
  </si>
  <si>
    <t>* 인권교육</t>
    <phoneticPr fontId="7" type="noConversion"/>
  </si>
  <si>
    <t>* 송년희</t>
    <phoneticPr fontId="7" type="noConversion"/>
  </si>
  <si>
    <t>* 부활나눔</t>
    <phoneticPr fontId="7" type="noConversion"/>
  </si>
  <si>
    <t>3. 직원연수</t>
    <phoneticPr fontId="7" type="noConversion"/>
  </si>
  <si>
    <t xml:space="preserve"> * 강사비외 </t>
    <phoneticPr fontId="7" type="noConversion"/>
  </si>
  <si>
    <t xml:space="preserve"> B. 노동절보상수당, 휴일근로수당</t>
    <phoneticPr fontId="7" type="noConversion"/>
  </si>
  <si>
    <t xml:space="preserve"> * 예금이자(보조금-4종)</t>
    <phoneticPr fontId="7" type="noConversion"/>
  </si>
  <si>
    <t>문화여가</t>
    <phoneticPr fontId="7" type="noConversion"/>
  </si>
  <si>
    <t>생활사업비</t>
    <phoneticPr fontId="7" type="noConversion"/>
  </si>
  <si>
    <t>* 공연관람</t>
    <phoneticPr fontId="7" type="noConversion"/>
  </si>
  <si>
    <t>* 성지순례</t>
    <phoneticPr fontId="7" type="noConversion"/>
  </si>
  <si>
    <t>회</t>
    <phoneticPr fontId="7" type="noConversion"/>
  </si>
  <si>
    <t>입소</t>
    <phoneticPr fontId="7" type="noConversion"/>
  </si>
  <si>
    <t>* 공기청정기 임대료</t>
    <phoneticPr fontId="7" type="noConversion"/>
  </si>
  <si>
    <t>* 기타여가활동</t>
    <phoneticPr fontId="7" type="noConversion"/>
  </si>
  <si>
    <t>원</t>
    <phoneticPr fontId="7" type="noConversion"/>
  </si>
  <si>
    <t>후원</t>
    <phoneticPr fontId="7" type="noConversion"/>
  </si>
  <si>
    <t>* 생활용품구입비(치약,칫솔,화장지등)</t>
    <phoneticPr fontId="7" type="noConversion"/>
  </si>
  <si>
    <t>* 소규모수선비/기타수용비및수수료</t>
    <phoneticPr fontId="7" type="noConversion"/>
  </si>
  <si>
    <t>* 일상소모품구입비</t>
    <phoneticPr fontId="7" type="noConversion"/>
  </si>
  <si>
    <t>* 카페탐방</t>
    <phoneticPr fontId="7" type="noConversion"/>
  </si>
  <si>
    <t>2025년
본예산</t>
    <phoneticPr fontId="26" type="noConversion"/>
  </si>
  <si>
    <t>2025년
1차추경예산</t>
    <phoneticPr fontId="26" type="noConversion"/>
  </si>
  <si>
    <t>&lt;2025년도 1차추경예산 세입내역&gt;</t>
    <phoneticPr fontId="7" type="noConversion"/>
  </si>
  <si>
    <t>2025년
본예산
(A)
(단위:천원)</t>
    <phoneticPr fontId="7" type="noConversion"/>
  </si>
  <si>
    <t>2025년
1차추경예산
(B)
(단위:천원)</t>
    <phoneticPr fontId="7" type="noConversion"/>
  </si>
  <si>
    <t>2025년 1차 추경예산액(B)         (단위:천원)</t>
    <phoneticPr fontId="7" type="noConversion"/>
  </si>
  <si>
    <t xml:space="preserve">   </t>
    <phoneticPr fontId="7" type="noConversion"/>
  </si>
  <si>
    <t>□ 2025년도 1차추경예산 세 입 · 세 출 총  괄  표</t>
    <phoneticPr fontId="26" type="noConversion"/>
  </si>
  <si>
    <t>입소</t>
    <phoneticPr fontId="7" type="noConversion"/>
  </si>
  <si>
    <t>* 회의다과비</t>
    <phoneticPr fontId="7" type="noConversion"/>
  </si>
  <si>
    <t>회</t>
    <phoneticPr fontId="7" type="noConversion"/>
  </si>
  <si>
    <t>* 기타 시설물 관리유지비</t>
    <phoneticPr fontId="7" type="noConversion"/>
  </si>
  <si>
    <t>4종</t>
    <phoneticPr fontId="7" type="noConversion"/>
  </si>
  <si>
    <t>* 꽃따라피크닉</t>
    <phoneticPr fontId="7" type="noConversion"/>
  </si>
  <si>
    <t>* 가을나들이</t>
    <phoneticPr fontId="7" type="noConversion"/>
  </si>
  <si>
    <t>* 명절나들이</t>
    <phoneticPr fontId="7" type="noConversion"/>
  </si>
  <si>
    <t>원</t>
    <phoneticPr fontId="7" type="noConversion"/>
  </si>
  <si>
    <t>* 방문선물(이용인직장, 타기관, 원가정)</t>
    <phoneticPr fontId="7" type="noConversion"/>
  </si>
  <si>
    <t>* 성지순례(1박)</t>
    <phoneticPr fontId="7" type="noConversion"/>
  </si>
  <si>
    <t>* 비품구입(에어컨, 식기세척기)</t>
    <phoneticPr fontId="7" type="noConversion"/>
  </si>
  <si>
    <t>&lt;2025년도 1차추경예산 세출내역&gt;</t>
    <phoneticPr fontId="7" type="noConversion"/>
  </si>
  <si>
    <t>원</t>
    <phoneticPr fontId="7" type="noConversion"/>
  </si>
  <si>
    <t>6. 냉난방비지원</t>
    <phoneticPr fontId="7" type="noConversion"/>
  </si>
  <si>
    <t>7. 직원급식비</t>
    <phoneticPr fontId="7" type="noConversion"/>
  </si>
  <si>
    <t>5. 후원금 체크카드환급금</t>
    <phoneticPr fontId="7" type="noConversion"/>
  </si>
  <si>
    <t xml:space="preserve"> * 예금이자(후원금)</t>
    <phoneticPr fontId="7" type="noConversion"/>
  </si>
  <si>
    <t xml:space="preserve"> * 예금이자전년도이월금(입소비용)</t>
    <phoneticPr fontId="7" type="noConversion"/>
  </si>
  <si>
    <t xml:space="preserve"> * 예금이자전년도이월금(법인전입금)</t>
    <phoneticPr fontId="7" type="noConversion"/>
  </si>
  <si>
    <t xml:space="preserve"> * 예금이자전년도이월금(잡수입)</t>
    <phoneticPr fontId="7" type="noConversion"/>
  </si>
  <si>
    <t xml:space="preserve"> * 예금이자전년도이월금(후원금)</t>
    <phoneticPr fontId="7" type="noConversion"/>
  </si>
  <si>
    <t xml:space="preserve"> * 체크카드환급금전년도이월금(입소비용)</t>
    <phoneticPr fontId="7" type="noConversion"/>
  </si>
  <si>
    <t xml:space="preserve"> * 체크카드환급금전년도이월금(잡수입)</t>
    <phoneticPr fontId="7" type="noConversion"/>
  </si>
  <si>
    <t xml:space="preserve"> * 체크카드환급금전년도이월금(후원금)</t>
    <phoneticPr fontId="7" type="noConversion"/>
  </si>
  <si>
    <t>* 일상소모품구입비</t>
    <phoneticPr fontId="7" type="noConversion"/>
  </si>
  <si>
    <t>입소</t>
    <phoneticPr fontId="7" type="noConversion"/>
  </si>
  <si>
    <t xml:space="preserve"> * 법인전입금이월액(후원금)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</si>
</sst>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&quot;×&quot;0.0%"/>
    <numFmt numFmtId="195" formatCode="#,##0_ ;[Red]\-#,##0\ "/>
    <numFmt numFmtId="197" formatCode="_-* #,##0_-;&quot;▲&quot;* #,##0_-;_-* &quot;-&quot;_-;_-@_-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993300"/>
      <name val="맑은 고딕"/>
      <family val="3"/>
      <charset val="129"/>
    </font>
    <font>
      <b/>
      <sz val="11"/>
      <color rgb="FF00008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3" fillId="0" borderId="0">
      <alignment vertical="center"/>
    </xf>
    <xf numFmtId="41" fontId="43" fillId="0" borderId="0">
      <alignment vertical="center"/>
    </xf>
    <xf numFmtId="0" fontId="43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1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190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5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31" fillId="0" borderId="37" xfId="3" applyNumberFormat="1" applyFont="1" applyFill="1" applyBorder="1" applyAlignment="1">
      <alignment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5" fillId="0" borderId="20" xfId="3" applyFont="1" applyFill="1" applyBorder="1" applyAlignment="1">
      <alignment horizontal="center" vertical="center" wrapText="1"/>
    </xf>
    <xf numFmtId="176" fontId="35" fillId="0" borderId="20" xfId="0" applyNumberFormat="1" applyFont="1" applyFill="1" applyBorder="1" applyAlignment="1">
      <alignment vertical="center"/>
    </xf>
    <xf numFmtId="38" fontId="35" fillId="0" borderId="20" xfId="3" applyNumberFormat="1" applyFont="1" applyFill="1" applyBorder="1" applyAlignment="1">
      <alignment vertical="center"/>
    </xf>
    <xf numFmtId="9" fontId="35" fillId="0" borderId="20" xfId="1" applyFont="1" applyFill="1" applyBorder="1" applyAlignment="1">
      <alignment horizontal="center" vertical="center"/>
    </xf>
    <xf numFmtId="0" fontId="36" fillId="0" borderId="53" xfId="3" applyFont="1" applyFill="1" applyBorder="1" applyAlignment="1">
      <alignment vertical="center"/>
    </xf>
    <xf numFmtId="176" fontId="36" fillId="0" borderId="53" xfId="3" applyNumberFormat="1" applyFont="1" applyFill="1" applyBorder="1" applyAlignment="1">
      <alignment vertical="center"/>
    </xf>
    <xf numFmtId="176" fontId="36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7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8" fillId="0" borderId="14" xfId="3" applyFont="1" applyFill="1" applyBorder="1" applyAlignment="1">
      <alignment vertical="center"/>
    </xf>
    <xf numFmtId="0" fontId="38" fillId="0" borderId="0" xfId="3" applyFont="1" applyFill="1" applyBorder="1" applyAlignment="1">
      <alignment vertical="center"/>
    </xf>
    <xf numFmtId="176" fontId="38" fillId="0" borderId="0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vertical="center"/>
    </xf>
    <xf numFmtId="176" fontId="38" fillId="0" borderId="53" xfId="3" applyNumberFormat="1" applyFont="1" applyFill="1" applyBorder="1" applyAlignment="1">
      <alignment horizontal="right" vertical="center"/>
    </xf>
    <xf numFmtId="176" fontId="38" fillId="0" borderId="54" xfId="3" applyNumberFormat="1" applyFont="1" applyFill="1" applyBorder="1" applyAlignment="1">
      <alignment vertical="center"/>
    </xf>
    <xf numFmtId="0" fontId="38" fillId="0" borderId="41" xfId="3" applyFont="1" applyFill="1" applyBorder="1" applyAlignment="1">
      <alignment vertical="center"/>
    </xf>
    <xf numFmtId="0" fontId="38" fillId="0" borderId="30" xfId="3" applyFont="1" applyFill="1" applyBorder="1" applyAlignment="1">
      <alignment vertical="center"/>
    </xf>
    <xf numFmtId="176" fontId="38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189" fontId="22" fillId="0" borderId="0" xfId="1" applyNumberFormat="1" applyFont="1" applyFill="1" applyBorder="1" applyAlignment="1">
      <alignment horizontal="center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0" fillId="0" borderId="11" xfId="8" applyFont="1" applyBorder="1" applyAlignment="1">
      <alignment vertical="center"/>
    </xf>
    <xf numFmtId="0" fontId="41" fillId="0" borderId="11" xfId="7" applyFont="1" applyBorder="1" applyAlignment="1">
      <alignment horizontal="center" vertical="center"/>
    </xf>
    <xf numFmtId="41" fontId="42" fillId="0" borderId="11" xfId="8" applyFont="1" applyBorder="1" applyAlignment="1">
      <alignment vertical="center"/>
    </xf>
    <xf numFmtId="0" fontId="41" fillId="0" borderId="20" xfId="7" applyFont="1" applyBorder="1" applyAlignment="1">
      <alignment horizontal="center" vertical="center"/>
    </xf>
    <xf numFmtId="41" fontId="42" fillId="0" borderId="20" xfId="8" applyFont="1" applyBorder="1">
      <alignment vertical="center"/>
    </xf>
    <xf numFmtId="182" fontId="42" fillId="0" borderId="41" xfId="8" applyNumberFormat="1" applyFont="1" applyBorder="1">
      <alignment vertical="center"/>
    </xf>
    <xf numFmtId="182" fontId="42" fillId="0" borderId="12" xfId="8" applyNumberFormat="1" applyFont="1" applyBorder="1" applyAlignment="1">
      <alignment vertical="center"/>
    </xf>
    <xf numFmtId="182" fontId="42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4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6" fillId="0" borderId="33" xfId="3" applyNumberFormat="1" applyFont="1" applyFill="1" applyBorder="1" applyAlignment="1">
      <alignment horizontal="center" vertical="center"/>
    </xf>
    <xf numFmtId="38" fontId="46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7" fillId="0" borderId="14" xfId="0" applyNumberFormat="1" applyFont="1" applyBorder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horizontal="center" vertical="center"/>
    </xf>
    <xf numFmtId="176" fontId="44" fillId="0" borderId="5" xfId="3" applyNumberFormat="1" applyFont="1" applyFill="1" applyBorder="1" applyAlignment="1">
      <alignment vertical="center"/>
    </xf>
    <xf numFmtId="176" fontId="47" fillId="0" borderId="0" xfId="3" applyNumberFormat="1" applyFont="1" applyFill="1" applyBorder="1" applyAlignment="1">
      <alignment vertical="center"/>
    </xf>
    <xf numFmtId="0" fontId="47" fillId="0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Fill="1" applyBorder="1" applyAlignment="1">
      <alignment vertical="center"/>
    </xf>
    <xf numFmtId="0" fontId="44" fillId="0" borderId="30" xfId="3" applyNumberFormat="1" applyFont="1" applyFill="1" applyBorder="1" applyAlignment="1">
      <alignment vertical="center"/>
    </xf>
    <xf numFmtId="0" fontId="44" fillId="0" borderId="0" xfId="3" applyNumberFormat="1" applyFont="1" applyFill="1" applyBorder="1" applyAlignment="1">
      <alignment vertical="center" wrapText="1"/>
    </xf>
    <xf numFmtId="0" fontId="44" fillId="0" borderId="0" xfId="0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vertical="center"/>
    </xf>
    <xf numFmtId="176" fontId="48" fillId="0" borderId="53" xfId="3" applyNumberFormat="1" applyFont="1" applyFill="1" applyBorder="1" applyAlignment="1">
      <alignment horizontal="right" vertical="center"/>
    </xf>
    <xf numFmtId="42" fontId="44" fillId="0" borderId="0" xfId="3" applyNumberFormat="1" applyFont="1" applyFill="1" applyBorder="1" applyAlignment="1">
      <alignment horizontal="center" vertical="center"/>
    </xf>
    <xf numFmtId="0" fontId="44" fillId="0" borderId="33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horizontal="right" vertical="center"/>
    </xf>
    <xf numFmtId="41" fontId="44" fillId="0" borderId="0" xfId="21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41" fontId="45" fillId="0" borderId="0" xfId="21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5" fillId="0" borderId="5" xfId="3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vertical="center"/>
    </xf>
    <xf numFmtId="0" fontId="44" fillId="0" borderId="0" xfId="0" applyNumberFormat="1" applyFont="1" applyFill="1" applyBorder="1" applyAlignment="1">
      <alignment vertical="center"/>
    </xf>
    <xf numFmtId="176" fontId="44" fillId="0" borderId="0" xfId="4" applyNumberFormat="1" applyFont="1" applyFill="1" applyBorder="1" applyAlignment="1">
      <alignment horizontal="left" vertical="center"/>
    </xf>
    <xf numFmtId="0" fontId="44" fillId="0" borderId="0" xfId="0" applyNumberFormat="1" applyFont="1" applyFill="1">
      <alignment vertical="center"/>
    </xf>
    <xf numFmtId="178" fontId="44" fillId="0" borderId="0" xfId="0" applyNumberFormat="1" applyFont="1" applyFill="1" applyAlignment="1">
      <alignment horizontal="right" vertical="center"/>
    </xf>
    <xf numFmtId="0" fontId="44" fillId="0" borderId="5" xfId="0" applyNumberFormat="1" applyFont="1" applyFill="1" applyBorder="1">
      <alignment vertical="center"/>
    </xf>
    <xf numFmtId="0" fontId="44" fillId="0" borderId="0" xfId="0" applyNumberFormat="1" applyFont="1" applyFill="1" applyBorder="1">
      <alignment vertical="center"/>
    </xf>
    <xf numFmtId="178" fontId="44" fillId="0" borderId="0" xfId="0" applyNumberFormat="1" applyFont="1" applyFill="1" applyBorder="1" applyAlignment="1">
      <alignment horizontal="right" vertical="center"/>
    </xf>
    <xf numFmtId="38" fontId="24" fillId="0" borderId="27" xfId="3" applyNumberFormat="1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8" fontId="49" fillId="0" borderId="1" xfId="3" applyNumberFormat="1" applyFont="1" applyFill="1" applyBorder="1" applyAlignment="1">
      <alignment vertical="center"/>
    </xf>
    <xf numFmtId="178" fontId="44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0" fontId="44" fillId="0" borderId="34" xfId="3" applyNumberFormat="1" applyFont="1" applyFill="1" applyBorder="1" applyAlignment="1">
      <alignment vertical="center"/>
    </xf>
    <xf numFmtId="0" fontId="44" fillId="0" borderId="33" xfId="3" applyNumberFormat="1" applyFont="1" applyFill="1" applyBorder="1" applyAlignment="1">
      <alignment horizontal="left" vertical="center"/>
    </xf>
    <xf numFmtId="176" fontId="44" fillId="0" borderId="14" xfId="3" applyNumberFormat="1" applyFont="1" applyFill="1" applyBorder="1" applyAlignment="1">
      <alignment vertical="center"/>
    </xf>
    <xf numFmtId="0" fontId="44" fillId="0" borderId="0" xfId="22" applyNumberFormat="1" applyFont="1" applyFill="1" applyBorder="1" applyAlignment="1">
      <alignment vertical="center"/>
    </xf>
    <xf numFmtId="180" fontId="44" fillId="0" borderId="0" xfId="21" applyNumberFormat="1" applyFont="1" applyFill="1" applyBorder="1" applyAlignment="1">
      <alignment horizontal="center" vertical="center"/>
    </xf>
    <xf numFmtId="178" fontId="51" fillId="0" borderId="0" xfId="0" applyNumberFormat="1" applyFont="1" applyBorder="1">
      <alignment vertical="center"/>
    </xf>
    <xf numFmtId="176" fontId="44" fillId="0" borderId="5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vertical="center"/>
    </xf>
    <xf numFmtId="176" fontId="44" fillId="0" borderId="0" xfId="22" applyNumberFormat="1" applyFont="1" applyFill="1" applyBorder="1" applyAlignment="1">
      <alignment horizontal="center" vertical="center"/>
    </xf>
    <xf numFmtId="42" fontId="44" fillId="0" borderId="0" xfId="22" applyNumberFormat="1" applyFont="1" applyFill="1" applyBorder="1" applyAlignment="1">
      <alignment horizontal="center" vertical="center"/>
    </xf>
    <xf numFmtId="178" fontId="44" fillId="0" borderId="0" xfId="22" applyNumberFormat="1" applyFont="1" applyFill="1" applyBorder="1" applyAlignment="1">
      <alignment horizontal="center" vertical="center"/>
    </xf>
    <xf numFmtId="176" fontId="44" fillId="0" borderId="0" xfId="22" applyNumberFormat="1" applyFont="1" applyFill="1" applyBorder="1" applyAlignment="1">
      <alignment horizontal="right" vertical="center"/>
    </xf>
    <xf numFmtId="178" fontId="51" fillId="0" borderId="0" xfId="0" applyNumberFormat="1" applyFont="1" applyBorder="1" applyAlignment="1">
      <alignment vertical="center"/>
    </xf>
    <xf numFmtId="176" fontId="44" fillId="0" borderId="30" xfId="3" applyNumberFormat="1" applyFont="1" applyFill="1" applyBorder="1" applyAlignment="1">
      <alignment vertical="center"/>
    </xf>
    <xf numFmtId="176" fontId="44" fillId="0" borderId="31" xfId="3" applyNumberFormat="1" applyFont="1" applyFill="1" applyBorder="1" applyAlignment="1">
      <alignment vertical="center"/>
    </xf>
    <xf numFmtId="0" fontId="44" fillId="0" borderId="14" xfId="0" applyNumberFormat="1" applyFont="1" applyFill="1" applyBorder="1">
      <alignment vertical="center"/>
    </xf>
    <xf numFmtId="0" fontId="44" fillId="0" borderId="14" xfId="3" applyNumberFormat="1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11" fillId="0" borderId="37" xfId="3" applyFont="1" applyFill="1" applyBorder="1" applyAlignment="1">
      <alignment vertical="center"/>
    </xf>
    <xf numFmtId="0" fontId="1" fillId="0" borderId="7" xfId="7" applyFont="1" applyBorder="1" applyAlignment="1">
      <alignment horizontal="center" vertical="center"/>
    </xf>
    <xf numFmtId="41" fontId="0" fillId="0" borderId="7" xfId="8" applyFont="1" applyBorder="1">
      <alignment vertical="center"/>
    </xf>
    <xf numFmtId="176" fontId="13" fillId="0" borderId="53" xfId="3" applyNumberFormat="1" applyFont="1" applyFill="1" applyBorder="1" applyAlignment="1">
      <alignment vertical="center"/>
    </xf>
    <xf numFmtId="42" fontId="44" fillId="0" borderId="14" xfId="22" applyNumberFormat="1" applyFont="1" applyFill="1" applyBorder="1" applyAlignment="1">
      <alignment horizontal="center" vertical="center"/>
    </xf>
    <xf numFmtId="180" fontId="44" fillId="0" borderId="14" xfId="21" applyNumberFormat="1" applyFont="1" applyFill="1" applyBorder="1" applyAlignment="1">
      <alignment horizontal="center" vertical="center"/>
    </xf>
    <xf numFmtId="178" fontId="51" fillId="0" borderId="14" xfId="0" applyNumberFormat="1" applyFont="1" applyBorder="1">
      <alignment vertical="center"/>
    </xf>
    <xf numFmtId="176" fontId="44" fillId="0" borderId="14" xfId="22" applyNumberFormat="1" applyFont="1" applyFill="1" applyBorder="1" applyAlignment="1">
      <alignment horizontal="center" vertical="center"/>
    </xf>
    <xf numFmtId="176" fontId="44" fillId="0" borderId="14" xfId="22" applyNumberFormat="1" applyFont="1" applyFill="1" applyBorder="1" applyAlignment="1">
      <alignment vertical="center"/>
    </xf>
    <xf numFmtId="176" fontId="44" fillId="0" borderId="14" xfId="22" applyNumberFormat="1" applyFont="1" applyFill="1" applyBorder="1" applyAlignment="1">
      <alignment horizontal="right" vertical="center"/>
    </xf>
    <xf numFmtId="176" fontId="44" fillId="0" borderId="37" xfId="22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vertical="center"/>
    </xf>
    <xf numFmtId="176" fontId="38" fillId="0" borderId="14" xfId="3" applyNumberFormat="1" applyFont="1" applyFill="1" applyBorder="1" applyAlignment="1">
      <alignment horizontal="right" vertical="center"/>
    </xf>
    <xf numFmtId="0" fontId="44" fillId="0" borderId="14" xfId="3" applyNumberFormat="1" applyFont="1" applyFill="1" applyBorder="1" applyAlignment="1">
      <alignment vertical="center"/>
    </xf>
    <xf numFmtId="0" fontId="44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vertical="center"/>
    </xf>
    <xf numFmtId="0" fontId="47" fillId="0" borderId="14" xfId="3" applyNumberFormat="1" applyFont="1" applyFill="1" applyBorder="1" applyAlignment="1">
      <alignment horizontal="center" vertical="center"/>
    </xf>
    <xf numFmtId="0" fontId="47" fillId="0" borderId="14" xfId="3" applyNumberFormat="1" applyFont="1" applyFill="1" applyBorder="1" applyAlignment="1">
      <alignment vertical="center"/>
    </xf>
    <xf numFmtId="176" fontId="38" fillId="0" borderId="37" xfId="3" applyNumberFormat="1" applyFont="1" applyFill="1" applyBorder="1" applyAlignment="1">
      <alignment vertical="center"/>
    </xf>
    <xf numFmtId="176" fontId="44" fillId="0" borderId="37" xfId="3" applyNumberFormat="1" applyFont="1" applyFill="1" applyBorder="1" applyAlignment="1">
      <alignment vertical="center"/>
    </xf>
    <xf numFmtId="197" fontId="42" fillId="0" borderId="41" xfId="8" applyNumberFormat="1" applyFont="1" applyBorder="1">
      <alignment vertical="center"/>
    </xf>
    <xf numFmtId="197" fontId="0" fillId="0" borderId="41" xfId="8" applyNumberFormat="1" applyFont="1" applyBorder="1">
      <alignment vertical="center"/>
    </xf>
    <xf numFmtId="197" fontId="42" fillId="0" borderId="18" xfId="8" applyNumberFormat="1" applyFont="1" applyBorder="1">
      <alignment vertical="center"/>
    </xf>
    <xf numFmtId="197" fontId="0" fillId="0" borderId="18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44" fillId="0" borderId="58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197" fontId="0" fillId="0" borderId="56" xfId="8" applyNumberFormat="1" applyFont="1" applyBorder="1">
      <alignment vertical="center"/>
    </xf>
    <xf numFmtId="197" fontId="40" fillId="0" borderId="12" xfId="8" applyNumberFormat="1" applyFont="1" applyBorder="1" applyAlignment="1">
      <alignment vertical="center"/>
    </xf>
    <xf numFmtId="197" fontId="40" fillId="0" borderId="36" xfId="8" applyNumberFormat="1" applyFont="1" applyBorder="1" applyAlignment="1">
      <alignment vertical="center"/>
    </xf>
    <xf numFmtId="197" fontId="42" fillId="0" borderId="36" xfId="8" applyNumberFormat="1" applyFont="1" applyBorder="1" applyAlignment="1">
      <alignment vertical="center"/>
    </xf>
    <xf numFmtId="176" fontId="52" fillId="0" borderId="0" xfId="3" applyNumberFormat="1" applyFont="1" applyFill="1" applyBorder="1" applyAlignment="1">
      <alignment vertical="center"/>
    </xf>
    <xf numFmtId="0" fontId="44" fillId="0" borderId="33" xfId="22" applyNumberFormat="1" applyFont="1" applyFill="1" applyBorder="1" applyAlignment="1">
      <alignment vertical="center"/>
    </xf>
    <xf numFmtId="41" fontId="11" fillId="0" borderId="0" xfId="2" applyFont="1" applyFill="1" applyAlignment="1">
      <alignment horizontal="right" vertical="center"/>
    </xf>
    <xf numFmtId="0" fontId="4" fillId="0" borderId="57" xfId="7" applyBorder="1" applyAlignment="1">
      <alignment horizontal="center" vertical="center"/>
    </xf>
    <xf numFmtId="0" fontId="4" fillId="0" borderId="30" xfId="7" applyBorder="1" applyAlignment="1">
      <alignment horizontal="center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39" fillId="0" borderId="17" xfId="7" applyFont="1" applyBorder="1" applyAlignment="1">
      <alignment horizontal="center" vertical="center"/>
    </xf>
    <xf numFmtId="0" fontId="39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4" fillId="0" borderId="33" xfId="3" applyNumberFormat="1" applyFont="1" applyFill="1" applyBorder="1" applyAlignment="1">
      <alignment horizontal="left" vertical="center" wrapText="1"/>
    </xf>
    <xf numFmtId="0" fontId="44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&#45380;\2023%20&#52628;&#44221;&#50696;&#49328;\2023&#45380;&#46020;%201&#52264;&#52628;&#44221;&#50696;&#49328;(&#50504;)%20-%20&#47560;&#47476;&#46384;&#51032;%20&#51665;%20(&#51652;&#51676;&#52572;&#51333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인건비"/>
      <sheetName val="가족수당"/>
      <sheetName val="재원검증"/>
      <sheetName val="보조금 반납금 계산"/>
      <sheetName val="분기별보조금배정표(마르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topLeftCell="F1" workbookViewId="0">
      <selection activeCell="J11" sqref="J11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522</v>
      </c>
      <c r="K2" s="164" t="s">
        <v>299</v>
      </c>
    </row>
    <row r="3" spans="2:11" ht="9.9499999999999993" customHeight="1" thickBot="1"/>
    <row r="4" spans="2:11" ht="30" customHeight="1">
      <c r="B4" s="560" t="s">
        <v>114</v>
      </c>
      <c r="C4" s="561"/>
      <c r="D4" s="561"/>
      <c r="E4" s="561"/>
      <c r="F4" s="562"/>
      <c r="G4" s="560" t="s">
        <v>115</v>
      </c>
      <c r="H4" s="561"/>
      <c r="I4" s="561"/>
      <c r="J4" s="561"/>
      <c r="K4" s="563"/>
    </row>
    <row r="5" spans="2:11" ht="16.5" customHeight="1">
      <c r="B5" s="564" t="s">
        <v>116</v>
      </c>
      <c r="C5" s="565"/>
      <c r="D5" s="568" t="s">
        <v>515</v>
      </c>
      <c r="E5" s="568" t="s">
        <v>516</v>
      </c>
      <c r="F5" s="570" t="s">
        <v>117</v>
      </c>
      <c r="G5" s="564" t="s">
        <v>116</v>
      </c>
      <c r="H5" s="565"/>
      <c r="I5" s="568" t="s">
        <v>515</v>
      </c>
      <c r="J5" s="568" t="s">
        <v>516</v>
      </c>
      <c r="K5" s="572" t="s">
        <v>117</v>
      </c>
    </row>
    <row r="6" spans="2:11" ht="22.5" customHeight="1" thickBot="1">
      <c r="B6" s="566"/>
      <c r="C6" s="567"/>
      <c r="D6" s="569"/>
      <c r="E6" s="569"/>
      <c r="F6" s="571"/>
      <c r="G6" s="566"/>
      <c r="H6" s="567"/>
      <c r="I6" s="569"/>
      <c r="J6" s="569"/>
      <c r="K6" s="573"/>
    </row>
    <row r="7" spans="2:11" ht="24.95" customHeight="1" thickTop="1">
      <c r="B7" s="554" t="s">
        <v>118</v>
      </c>
      <c r="C7" s="555"/>
      <c r="D7" s="400">
        <f>SUM(D8:D22)/2</f>
        <v>173686000</v>
      </c>
      <c r="E7" s="400">
        <f>SUM(E8:E22)/2</f>
        <v>177773000</v>
      </c>
      <c r="F7" s="543">
        <f>SUM(F8:F22)/2</f>
        <v>4087000</v>
      </c>
      <c r="G7" s="554" t="s">
        <v>118</v>
      </c>
      <c r="H7" s="555"/>
      <c r="I7" s="400">
        <f>SUM(I8:I26)/2</f>
        <v>173686000</v>
      </c>
      <c r="J7" s="400">
        <f>SUM(J8:J26)/2</f>
        <v>177773000</v>
      </c>
      <c r="K7" s="542">
        <f>SUM(K8:K26)/2</f>
        <v>4087000</v>
      </c>
    </row>
    <row r="8" spans="2:11" ht="24.95" customHeight="1">
      <c r="B8" s="556" t="s">
        <v>119</v>
      </c>
      <c r="C8" s="401" t="s">
        <v>297</v>
      </c>
      <c r="D8" s="402">
        <f>D9</f>
        <v>20640000</v>
      </c>
      <c r="E8" s="402">
        <f>E9</f>
        <v>20640000</v>
      </c>
      <c r="F8" s="544">
        <f>F9</f>
        <v>0</v>
      </c>
      <c r="G8" s="556" t="s">
        <v>121</v>
      </c>
      <c r="H8" s="401" t="s">
        <v>297</v>
      </c>
      <c r="I8" s="402">
        <f>SUM(I9:I11)</f>
        <v>145598000</v>
      </c>
      <c r="J8" s="402">
        <f>SUM(J9:J11)</f>
        <v>149845000</v>
      </c>
      <c r="K8" s="406">
        <f>SUM(K9:K11)</f>
        <v>4247000</v>
      </c>
    </row>
    <row r="9" spans="2:11" ht="24.95" customHeight="1">
      <c r="B9" s="557"/>
      <c r="C9" s="165" t="s">
        <v>120</v>
      </c>
      <c r="D9" s="166">
        <v>20640000</v>
      </c>
      <c r="E9" s="166">
        <f>세입!X5</f>
        <v>20640000</v>
      </c>
      <c r="F9" s="535">
        <f>E9-D9</f>
        <v>0</v>
      </c>
      <c r="G9" s="558"/>
      <c r="H9" s="165" t="s">
        <v>122</v>
      </c>
      <c r="I9" s="166">
        <v>132820000</v>
      </c>
      <c r="J9" s="166">
        <f>세출!AD6</f>
        <v>136719000</v>
      </c>
      <c r="K9" s="168">
        <f>J9-I9</f>
        <v>3899000</v>
      </c>
    </row>
    <row r="10" spans="2:11" ht="24.95" customHeight="1">
      <c r="B10" s="556" t="s">
        <v>123</v>
      </c>
      <c r="C10" s="403" t="s">
        <v>297</v>
      </c>
      <c r="D10" s="404">
        <f>SUM(D11:D13)</f>
        <v>144526000</v>
      </c>
      <c r="E10" s="404">
        <f>SUM(E11:E13)</f>
        <v>148439000</v>
      </c>
      <c r="F10" s="405">
        <f>SUM(F11:F13)</f>
        <v>3913000</v>
      </c>
      <c r="G10" s="558"/>
      <c r="H10" s="165" t="s">
        <v>124</v>
      </c>
      <c r="I10" s="166">
        <v>130000</v>
      </c>
      <c r="J10" s="166">
        <f>세출!AD73</f>
        <v>130000</v>
      </c>
      <c r="K10" s="537">
        <f>J10-I10</f>
        <v>0</v>
      </c>
    </row>
    <row r="11" spans="2:11" ht="24.95" customHeight="1">
      <c r="B11" s="558"/>
      <c r="C11" s="269" t="s">
        <v>260</v>
      </c>
      <c r="D11" s="166">
        <v>0</v>
      </c>
      <c r="E11" s="166">
        <v>0</v>
      </c>
      <c r="F11" s="167">
        <f t="shared" ref="F11:F22" si="0">E11-D11</f>
        <v>0</v>
      </c>
      <c r="G11" s="557"/>
      <c r="H11" s="165" t="s">
        <v>75</v>
      </c>
      <c r="I11" s="166">
        <v>12648000</v>
      </c>
      <c r="J11" s="166">
        <f>세출!AD82</f>
        <v>12996000</v>
      </c>
      <c r="K11" s="168">
        <f>J11-I11</f>
        <v>348000</v>
      </c>
    </row>
    <row r="12" spans="2:11" ht="24.95" customHeight="1">
      <c r="B12" s="558"/>
      <c r="C12" s="269" t="s">
        <v>261</v>
      </c>
      <c r="D12" s="166">
        <v>144226000</v>
      </c>
      <c r="E12" s="166">
        <f>세입!X22</f>
        <v>148139000</v>
      </c>
      <c r="F12" s="167">
        <f>E12-D12</f>
        <v>3913000</v>
      </c>
      <c r="G12" s="556" t="s">
        <v>76</v>
      </c>
      <c r="H12" s="403" t="s">
        <v>297</v>
      </c>
      <c r="I12" s="404">
        <f>SUM(I13:I15)</f>
        <v>7100000</v>
      </c>
      <c r="J12" s="494">
        <f>SUM(J13:J15)</f>
        <v>6100000</v>
      </c>
      <c r="K12" s="536">
        <f>SUM(K13:K15)</f>
        <v>-1000000</v>
      </c>
    </row>
    <row r="13" spans="2:11" ht="24.95" customHeight="1">
      <c r="B13" s="557"/>
      <c r="C13" s="269" t="s">
        <v>262</v>
      </c>
      <c r="D13" s="166">
        <v>300000</v>
      </c>
      <c r="E13" s="166">
        <f>세입!X83</f>
        <v>300000</v>
      </c>
      <c r="F13" s="535">
        <f t="shared" si="0"/>
        <v>0</v>
      </c>
      <c r="G13" s="558"/>
      <c r="H13" s="165" t="s">
        <v>77</v>
      </c>
      <c r="I13" s="166">
        <v>0</v>
      </c>
      <c r="J13" s="166">
        <v>0</v>
      </c>
      <c r="K13" s="168">
        <f>J13-I13</f>
        <v>0</v>
      </c>
    </row>
    <row r="14" spans="2:11" ht="24.95" customHeight="1">
      <c r="B14" s="556" t="s">
        <v>78</v>
      </c>
      <c r="C14" s="403" t="s">
        <v>297</v>
      </c>
      <c r="D14" s="404">
        <f>SUM(D15:D16)</f>
        <v>502000</v>
      </c>
      <c r="E14" s="404">
        <f>SUM(E15:E16)</f>
        <v>550000</v>
      </c>
      <c r="F14" s="534">
        <f>SUM(F15:F17)</f>
        <v>48000</v>
      </c>
      <c r="G14" s="558"/>
      <c r="H14" s="165" t="s">
        <v>80</v>
      </c>
      <c r="I14" s="166">
        <v>6500000</v>
      </c>
      <c r="J14" s="166">
        <f>세출!AD124</f>
        <v>5000000</v>
      </c>
      <c r="K14" s="537">
        <f>J14-I14</f>
        <v>-1500000</v>
      </c>
    </row>
    <row r="15" spans="2:11" ht="24.95" customHeight="1">
      <c r="B15" s="558"/>
      <c r="C15" s="165" t="s">
        <v>79</v>
      </c>
      <c r="D15" s="166">
        <v>0</v>
      </c>
      <c r="E15" s="166">
        <v>0</v>
      </c>
      <c r="F15" s="167">
        <f t="shared" si="0"/>
        <v>0</v>
      </c>
      <c r="G15" s="557"/>
      <c r="H15" s="165" t="s">
        <v>82</v>
      </c>
      <c r="I15" s="166">
        <v>600000</v>
      </c>
      <c r="J15" s="166">
        <f>세출!AD136</f>
        <v>1100000</v>
      </c>
      <c r="K15" s="537">
        <f>J15-I15</f>
        <v>500000</v>
      </c>
    </row>
    <row r="16" spans="2:11" ht="24.95" customHeight="1">
      <c r="B16" s="557"/>
      <c r="C16" s="165" t="s">
        <v>81</v>
      </c>
      <c r="D16" s="166">
        <v>502000</v>
      </c>
      <c r="E16" s="166">
        <f>세입!X151</f>
        <v>550000</v>
      </c>
      <c r="F16" s="535">
        <f t="shared" si="0"/>
        <v>48000</v>
      </c>
      <c r="G16" s="556" t="s">
        <v>85</v>
      </c>
      <c r="H16" s="403" t="s">
        <v>297</v>
      </c>
      <c r="I16" s="404">
        <f>SUM(I17:I22)</f>
        <v>20966000</v>
      </c>
      <c r="J16" s="404">
        <f>SUM(J17:J22)</f>
        <v>21806000</v>
      </c>
      <c r="K16" s="536">
        <f>SUM(K17:K22)</f>
        <v>840000</v>
      </c>
    </row>
    <row r="17" spans="2:11" ht="24.95" customHeight="1">
      <c r="B17" s="556" t="s">
        <v>83</v>
      </c>
      <c r="C17" s="403" t="s">
        <v>297</v>
      </c>
      <c r="D17" s="404">
        <v>0</v>
      </c>
      <c r="E17" s="404">
        <v>0</v>
      </c>
      <c r="F17" s="405">
        <f>F18</f>
        <v>0</v>
      </c>
      <c r="G17" s="558"/>
      <c r="H17" s="165" t="s">
        <v>86</v>
      </c>
      <c r="I17" s="166">
        <v>12582000</v>
      </c>
      <c r="J17" s="166">
        <f>세출!AD144</f>
        <v>12582000</v>
      </c>
      <c r="K17" s="537">
        <f t="shared" ref="K17:K22" si="1">J17-I17</f>
        <v>0</v>
      </c>
    </row>
    <row r="18" spans="2:11" ht="24.95" customHeight="1">
      <c r="B18" s="557"/>
      <c r="C18" s="165" t="s">
        <v>84</v>
      </c>
      <c r="D18" s="166">
        <v>0</v>
      </c>
      <c r="E18" s="166">
        <v>0</v>
      </c>
      <c r="F18" s="167">
        <f t="shared" si="0"/>
        <v>0</v>
      </c>
      <c r="G18" s="558"/>
      <c r="H18" s="165" t="s">
        <v>89</v>
      </c>
      <c r="I18" s="166">
        <v>1064000</v>
      </c>
      <c r="J18" s="166">
        <f>세출!AD153</f>
        <v>1184000</v>
      </c>
      <c r="K18" s="537">
        <f t="shared" si="1"/>
        <v>120000</v>
      </c>
    </row>
    <row r="19" spans="2:11" ht="24.95" customHeight="1">
      <c r="B19" s="556" t="s">
        <v>87</v>
      </c>
      <c r="C19" s="403" t="s">
        <v>297</v>
      </c>
      <c r="D19" s="494">
        <f>D20</f>
        <v>5584000</v>
      </c>
      <c r="E19" s="494">
        <f>E20</f>
        <v>6048000</v>
      </c>
      <c r="F19" s="534">
        <f>F20</f>
        <v>464000</v>
      </c>
      <c r="G19" s="558"/>
      <c r="H19" s="165" t="s">
        <v>92</v>
      </c>
      <c r="I19" s="166">
        <v>320000</v>
      </c>
      <c r="J19" s="166">
        <f>세출!AD157</f>
        <v>320000</v>
      </c>
      <c r="K19" s="537">
        <f t="shared" si="1"/>
        <v>0</v>
      </c>
    </row>
    <row r="20" spans="2:11" ht="24.95" customHeight="1">
      <c r="B20" s="557"/>
      <c r="C20" s="165" t="s">
        <v>88</v>
      </c>
      <c r="D20" s="493">
        <v>5584000</v>
      </c>
      <c r="E20" s="493">
        <f>세입!X172</f>
        <v>6048000</v>
      </c>
      <c r="F20" s="535">
        <f t="shared" si="0"/>
        <v>464000</v>
      </c>
      <c r="G20" s="558"/>
      <c r="H20" s="165" t="s">
        <v>93</v>
      </c>
      <c r="I20" s="166">
        <v>460000</v>
      </c>
      <c r="J20" s="166">
        <f>세출!AD160</f>
        <v>460000</v>
      </c>
      <c r="K20" s="537">
        <f t="shared" si="1"/>
        <v>0</v>
      </c>
    </row>
    <row r="21" spans="2:11" ht="24.95" customHeight="1">
      <c r="B21" s="556" t="s">
        <v>90</v>
      </c>
      <c r="C21" s="403" t="s">
        <v>297</v>
      </c>
      <c r="D21" s="494">
        <f>D22</f>
        <v>2434000</v>
      </c>
      <c r="E21" s="494">
        <f>E22</f>
        <v>2096000</v>
      </c>
      <c r="F21" s="534">
        <f>F22</f>
        <v>-338000</v>
      </c>
      <c r="G21" s="558"/>
      <c r="H21" s="165" t="s">
        <v>94</v>
      </c>
      <c r="I21" s="166">
        <v>60000</v>
      </c>
      <c r="J21" s="166">
        <f>세출!AD164</f>
        <v>60000</v>
      </c>
      <c r="K21" s="168">
        <f t="shared" si="1"/>
        <v>0</v>
      </c>
    </row>
    <row r="22" spans="2:11" ht="24.95" customHeight="1">
      <c r="B22" s="557"/>
      <c r="C22" s="165" t="s">
        <v>91</v>
      </c>
      <c r="D22" s="493">
        <v>2434000</v>
      </c>
      <c r="E22" s="493">
        <f>세입!X202</f>
        <v>2096000</v>
      </c>
      <c r="F22" s="535">
        <f t="shared" si="0"/>
        <v>-338000</v>
      </c>
      <c r="G22" s="557"/>
      <c r="H22" s="165" t="s">
        <v>95</v>
      </c>
      <c r="I22" s="166">
        <v>6480000</v>
      </c>
      <c r="J22" s="166">
        <f>세출!AD167</f>
        <v>7200000</v>
      </c>
      <c r="K22" s="537">
        <f t="shared" si="1"/>
        <v>720000</v>
      </c>
    </row>
    <row r="23" spans="2:11" ht="24.95" customHeight="1">
      <c r="B23" s="548"/>
      <c r="C23" s="549"/>
      <c r="D23" s="549"/>
      <c r="E23" s="549"/>
      <c r="F23" s="549"/>
      <c r="G23" s="556" t="s">
        <v>96</v>
      </c>
      <c r="H23" s="403" t="s">
        <v>297</v>
      </c>
      <c r="I23" s="404">
        <f>I24</f>
        <v>0</v>
      </c>
      <c r="J23" s="404">
        <f>J24</f>
        <v>0</v>
      </c>
      <c r="K23" s="407">
        <f>K24</f>
        <v>0</v>
      </c>
    </row>
    <row r="24" spans="2:11" ht="24.95" customHeight="1">
      <c r="B24" s="550"/>
      <c r="C24" s="551"/>
      <c r="D24" s="551"/>
      <c r="E24" s="551"/>
      <c r="F24" s="551"/>
      <c r="G24" s="557"/>
      <c r="H24" s="165" t="s">
        <v>97</v>
      </c>
      <c r="I24" s="166">
        <v>0</v>
      </c>
      <c r="J24" s="166">
        <v>0</v>
      </c>
      <c r="K24" s="168">
        <f>J24-I24</f>
        <v>0</v>
      </c>
    </row>
    <row r="25" spans="2:11" ht="24.95" customHeight="1">
      <c r="B25" s="550"/>
      <c r="C25" s="551"/>
      <c r="D25" s="551"/>
      <c r="E25" s="551"/>
      <c r="F25" s="551"/>
      <c r="G25" s="556" t="s">
        <v>98</v>
      </c>
      <c r="H25" s="403" t="s">
        <v>297</v>
      </c>
      <c r="I25" s="494">
        <f>I26</f>
        <v>22000</v>
      </c>
      <c r="J25" s="494">
        <f>SUM(J26:J26)</f>
        <v>22000</v>
      </c>
      <c r="K25" s="536">
        <f>SUM(K26:K26)</f>
        <v>0</v>
      </c>
    </row>
    <row r="26" spans="2:11" ht="24.95" customHeight="1" thickBot="1">
      <c r="B26" s="552"/>
      <c r="C26" s="553"/>
      <c r="D26" s="553"/>
      <c r="E26" s="553"/>
      <c r="F26" s="553"/>
      <c r="G26" s="559"/>
      <c r="H26" s="515" t="s">
        <v>483</v>
      </c>
      <c r="I26" s="516">
        <v>22000</v>
      </c>
      <c r="J26" s="516">
        <f>세출!AD209</f>
        <v>22000</v>
      </c>
      <c r="K26" s="541">
        <f>J26-I26</f>
        <v>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3"/>
    <mergeCell ref="B14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마르따의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35"/>
  <sheetViews>
    <sheetView workbookViewId="0">
      <selection activeCell="F26" sqref="F26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7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84" t="s">
        <v>517</v>
      </c>
      <c r="B1" s="584"/>
      <c r="C1" s="584"/>
      <c r="D1" s="58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85" t="s">
        <v>62</v>
      </c>
      <c r="B2" s="586"/>
      <c r="C2" s="586"/>
      <c r="D2" s="586"/>
      <c r="E2" s="577" t="s">
        <v>518</v>
      </c>
      <c r="F2" s="577" t="s">
        <v>519</v>
      </c>
      <c r="G2" s="579" t="s">
        <v>23</v>
      </c>
      <c r="H2" s="579"/>
      <c r="I2" s="579" t="s">
        <v>54</v>
      </c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8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78"/>
      <c r="F3" s="578"/>
      <c r="G3" s="132" t="s">
        <v>102</v>
      </c>
      <c r="H3" s="21" t="s">
        <v>4</v>
      </c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2"/>
      <c r="Z3" s="8"/>
    </row>
    <row r="4" spans="1:26" s="3" customFormat="1" ht="19.5" customHeight="1">
      <c r="A4" s="587" t="s">
        <v>24</v>
      </c>
      <c r="B4" s="588"/>
      <c r="C4" s="588"/>
      <c r="D4" s="589"/>
      <c r="E4" s="192">
        <f>SUM(E5,E8,E10,E12,E144,E156,E163,E172,E202)</f>
        <v>173686</v>
      </c>
      <c r="F4" s="192">
        <f>SUM(F5,F8,F10,F12,F144,F156,F163,F172,F202)</f>
        <v>177773</v>
      </c>
      <c r="G4" s="288">
        <f>SUM(G5,G8,G10,G12,G144,G156,G163,G172,G202)</f>
        <v>4087</v>
      </c>
      <c r="H4" s="193">
        <f>IF(E4=0,0,G4/E4)</f>
        <v>2.3530969680918438E-2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SUM(X5,X8,X10,X12,X144,X156,X163,X172,X202)</f>
        <v>177773000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491">
        <v>20640</v>
      </c>
      <c r="F5" s="186">
        <f>ROUND(X5/1000,0)</f>
        <v>20640</v>
      </c>
      <c r="G5" s="187">
        <f>F5-E5</f>
        <v>0</v>
      </c>
      <c r="H5" s="188">
        <f>IF(E5=0,0,G5/E5)</f>
        <v>0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20640000</v>
      </c>
      <c r="Y5" s="36" t="s">
        <v>25</v>
      </c>
    </row>
    <row r="6" spans="1:26" ht="21" customHeight="1">
      <c r="A6" s="37"/>
      <c r="B6" s="38"/>
      <c r="C6" s="39"/>
      <c r="D6" s="39"/>
      <c r="E6" s="421"/>
      <c r="F6" s="421"/>
      <c r="G6" s="422"/>
      <c r="H6" s="423"/>
      <c r="I6" s="283" t="s">
        <v>264</v>
      </c>
      <c r="J6" s="44"/>
      <c r="K6" s="45"/>
      <c r="L6" s="45"/>
      <c r="M6" s="291">
        <v>430000</v>
      </c>
      <c r="N6" s="291" t="s">
        <v>56</v>
      </c>
      <c r="O6" s="292" t="s">
        <v>57</v>
      </c>
      <c r="P6" s="419">
        <v>4</v>
      </c>
      <c r="Q6" s="291" t="s">
        <v>55</v>
      </c>
      <c r="R6" s="292" t="s">
        <v>57</v>
      </c>
      <c r="S6" s="46">
        <v>12</v>
      </c>
      <c r="T6" s="412" t="s">
        <v>0</v>
      </c>
      <c r="U6" s="412" t="s">
        <v>53</v>
      </c>
      <c r="V6" s="412"/>
      <c r="W6" s="291"/>
      <c r="X6" s="291">
        <f>M6*P6*S6</f>
        <v>20640000</v>
      </c>
      <c r="Y6" s="47" t="s">
        <v>56</v>
      </c>
    </row>
    <row r="7" spans="1:26" ht="21" customHeight="1">
      <c r="A7" s="37" t="s">
        <v>59</v>
      </c>
      <c r="B7" s="38" t="s">
        <v>100</v>
      </c>
      <c r="C7" s="39" t="s">
        <v>100</v>
      </c>
      <c r="D7" s="39" t="s">
        <v>100</v>
      </c>
      <c r="E7" s="40"/>
      <c r="F7" s="40"/>
      <c r="G7" s="41"/>
      <c r="H7" s="25"/>
      <c r="I7" s="283"/>
      <c r="J7" s="44"/>
      <c r="K7" s="45"/>
      <c r="L7" s="45"/>
      <c r="M7" s="196"/>
      <c r="N7" s="196" t="s">
        <v>56</v>
      </c>
      <c r="O7" s="197" t="s">
        <v>57</v>
      </c>
      <c r="P7" s="120"/>
      <c r="Q7" s="196" t="s">
        <v>55</v>
      </c>
      <c r="R7" s="197" t="s">
        <v>57</v>
      </c>
      <c r="S7" s="46"/>
      <c r="T7" s="229" t="s">
        <v>0</v>
      </c>
      <c r="U7" s="229" t="s">
        <v>53</v>
      </c>
      <c r="V7" s="229"/>
      <c r="W7" s="196"/>
      <c r="X7" s="196">
        <f>M7*P7*S7</f>
        <v>0</v>
      </c>
      <c r="Y7" s="47" t="s">
        <v>56</v>
      </c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263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75" t="s">
        <v>247</v>
      </c>
      <c r="D12" s="576"/>
      <c r="E12" s="239">
        <f>SUM(E13,E22,E83,E141)</f>
        <v>144526</v>
      </c>
      <c r="F12" s="239">
        <f>SUM(F13,F22,F83,F141)</f>
        <v>148439</v>
      </c>
      <c r="G12" s="240">
        <f>F12-E12</f>
        <v>3913</v>
      </c>
      <c r="H12" s="241">
        <f>IF(E12=0,0,G12/E12)</f>
        <v>2.7074713200393008E-2</v>
      </c>
      <c r="I12" s="242" t="s">
        <v>248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148439000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>F13-E13</f>
        <v>0</v>
      </c>
      <c r="H13" s="191">
        <f>IF(E13=0,0,G13/E13)</f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>F14-E14</f>
        <v>0</v>
      </c>
      <c r="H14" s="265">
        <f>IF(E14=0,0,G14/E14)</f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4" t="s">
        <v>265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4"/>
      <c r="J16" s="58"/>
      <c r="K16" s="180"/>
      <c r="L16" s="180"/>
      <c r="M16" s="291"/>
      <c r="N16" s="291"/>
      <c r="O16" s="177"/>
      <c r="P16" s="346"/>
      <c r="Q16" s="44"/>
      <c r="R16" s="179"/>
      <c r="S16" s="46"/>
      <c r="T16" s="345"/>
      <c r="U16" s="345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>F17-E17</f>
        <v>0</v>
      </c>
      <c r="H17" s="109">
        <f>IF(E17=0,0,G17/E17)</f>
        <v>0</v>
      </c>
      <c r="I17" s="225" t="s">
        <v>423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4"/>
      <c r="U17" s="344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5" t="s">
        <v>266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47" t="s">
        <v>69</v>
      </c>
      <c r="W18" s="62"/>
      <c r="X18" s="347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48"/>
      <c r="J19" s="62"/>
      <c r="K19" s="218"/>
      <c r="L19" s="218"/>
      <c r="M19" s="347"/>
      <c r="N19" s="347"/>
      <c r="O19" s="219"/>
      <c r="P19" s="347"/>
      <c r="Q19" s="117"/>
      <c r="R19" s="220"/>
      <c r="S19" s="72"/>
      <c r="T19" s="169"/>
      <c r="U19" s="169"/>
      <c r="V19" s="221"/>
      <c r="W19" s="348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287</v>
      </c>
      <c r="E20" s="213">
        <v>0</v>
      </c>
      <c r="F20" s="213">
        <f>ROUND(X20/1000,0)</f>
        <v>0</v>
      </c>
      <c r="G20" s="266">
        <f>F20-E20</f>
        <v>0</v>
      </c>
      <c r="H20" s="109">
        <f>IF(E20=0,0,G20/E20)</f>
        <v>0</v>
      </c>
      <c r="I20" s="349" t="s">
        <v>290</v>
      </c>
      <c r="J20" s="350"/>
      <c r="K20" s="351"/>
      <c r="L20" s="351"/>
      <c r="M20" s="352"/>
      <c r="N20" s="352"/>
      <c r="O20" s="353"/>
      <c r="P20" s="352"/>
      <c r="Q20" s="354"/>
      <c r="R20" s="355"/>
      <c r="S20" s="356"/>
      <c r="T20" s="357"/>
      <c r="U20" s="357"/>
      <c r="V20" s="358" t="s">
        <v>291</v>
      </c>
      <c r="W20" s="359"/>
      <c r="X20" s="359">
        <v>0</v>
      </c>
      <c r="Y20" s="360" t="s">
        <v>292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0"/>
      <c r="J21" s="342"/>
      <c r="K21" s="370"/>
      <c r="L21" s="370"/>
      <c r="M21" s="341"/>
      <c r="N21" s="341"/>
      <c r="O21" s="371"/>
      <c r="P21" s="341"/>
      <c r="Q21" s="372"/>
      <c r="R21" s="373"/>
      <c r="S21" s="374"/>
      <c r="T21" s="375"/>
      <c r="U21" s="375"/>
      <c r="V21" s="376"/>
      <c r="W21" s="377"/>
      <c r="X21" s="342"/>
      <c r="Y21" s="343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144226</v>
      </c>
      <c r="F22" s="189">
        <f>SUM(F23:F82)</f>
        <v>148139</v>
      </c>
      <c r="G22" s="190">
        <f>F22-E22</f>
        <v>3913</v>
      </c>
      <c r="H22" s="191">
        <f>IF(E22=0,0,G22/E22)</f>
        <v>2.7131030466074079E-2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148139000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>F23-E23</f>
        <v>0</v>
      </c>
      <c r="H23" s="109">
        <f>IF(E23=0,0,G23/E23)</f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4" t="s">
        <v>265</v>
      </c>
      <c r="J24" s="292"/>
      <c r="K24" s="291"/>
      <c r="L24" s="291"/>
      <c r="M24" s="291">
        <v>0</v>
      </c>
      <c r="N24" s="409" t="s">
        <v>25</v>
      </c>
      <c r="O24" s="177" t="s">
        <v>26</v>
      </c>
      <c r="P24" s="410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09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492">
        <v>132020</v>
      </c>
      <c r="F26" s="213">
        <f>ROUND(X26/1000,0)</f>
        <v>135933</v>
      </c>
      <c r="G26" s="30">
        <f>F26-E26</f>
        <v>3913</v>
      </c>
      <c r="H26" s="109">
        <f>IF(E26=0,0,G26/E26)</f>
        <v>2.9639448568398726E-2</v>
      </c>
      <c r="I26" s="225" t="s">
        <v>305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135933000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5" t="s">
        <v>266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47" t="s">
        <v>69</v>
      </c>
      <c r="W27" s="62"/>
      <c r="X27" s="424">
        <f>SUM(X28:X29)</f>
        <v>81337000</v>
      </c>
      <c r="Y27" s="425" t="s">
        <v>302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4" t="s">
        <v>486</v>
      </c>
      <c r="J28" s="292"/>
      <c r="K28" s="291"/>
      <c r="L28" s="291"/>
      <c r="M28" s="291">
        <v>81337000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303</v>
      </c>
      <c r="V28" s="291"/>
      <c r="W28" s="58"/>
      <c r="X28" s="291">
        <f>ROUND(M28*P28,-3)</f>
        <v>81337000</v>
      </c>
      <c r="Y28" s="47" t="s">
        <v>302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4"/>
      <c r="J29" s="197"/>
      <c r="K29" s="196"/>
      <c r="L29" s="196"/>
      <c r="M29" s="291"/>
      <c r="N29" s="196"/>
      <c r="O29" s="64"/>
      <c r="P29" s="271"/>
      <c r="Q29" s="196"/>
      <c r="R29" s="196"/>
      <c r="S29" s="196"/>
      <c r="T29" s="196"/>
      <c r="U29" s="196" t="s">
        <v>208</v>
      </c>
      <c r="V29" s="291"/>
      <c r="W29" s="58"/>
      <c r="X29" s="291">
        <f>ROUND(M29*P29,-3)</f>
        <v>0</v>
      </c>
      <c r="Y29" s="63" t="s">
        <v>25</v>
      </c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5" t="s">
        <v>267</v>
      </c>
      <c r="J30" s="197"/>
      <c r="K30" s="196"/>
      <c r="L30" s="196"/>
      <c r="M30" s="291"/>
      <c r="N30" s="196"/>
      <c r="O30" s="196"/>
      <c r="P30" s="196"/>
      <c r="Q30" s="196"/>
      <c r="R30" s="196"/>
      <c r="S30" s="196"/>
      <c r="T30" s="196"/>
      <c r="U30" s="196"/>
      <c r="V30" s="55"/>
      <c r="W30" s="426"/>
      <c r="X30" s="55">
        <f>SUM(X31,X34,X37, X40)</f>
        <v>33133000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4" t="s">
        <v>268</v>
      </c>
      <c r="J31" s="197"/>
      <c r="K31" s="196"/>
      <c r="L31" s="196"/>
      <c r="M31" s="291"/>
      <c r="N31" s="196"/>
      <c r="O31" s="64"/>
      <c r="P31" s="271"/>
      <c r="Q31" s="196"/>
      <c r="R31" s="196"/>
      <c r="S31" s="196"/>
      <c r="T31" s="196"/>
      <c r="U31" s="196"/>
      <c r="V31" s="347" t="s">
        <v>69</v>
      </c>
      <c r="W31" s="62"/>
      <c r="X31" s="347">
        <f>SUM(X32:X33)</f>
        <v>8097000</v>
      </c>
      <c r="Y31" s="63" t="s">
        <v>302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4" t="s">
        <v>486</v>
      </c>
      <c r="J32" s="292"/>
      <c r="K32" s="291"/>
      <c r="L32" s="291"/>
      <c r="M32" s="291">
        <v>8097000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2"/>
      <c r="W32" s="412"/>
      <c r="X32" s="291">
        <f>ROUND(M32*P32,-3)</f>
        <v>8097000</v>
      </c>
      <c r="Y32" s="47" t="s">
        <v>304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4"/>
      <c r="J33" s="292"/>
      <c r="K33" s="291"/>
      <c r="L33" s="291"/>
      <c r="M33" s="291"/>
      <c r="N33" s="291" t="s">
        <v>56</v>
      </c>
      <c r="O33" s="64" t="s">
        <v>57</v>
      </c>
      <c r="P33" s="271"/>
      <c r="Q33" s="291"/>
      <c r="R33" s="291"/>
      <c r="S33" s="291"/>
      <c r="T33" s="291"/>
      <c r="U33" s="291" t="s">
        <v>208</v>
      </c>
      <c r="V33" s="412"/>
      <c r="W33" s="412"/>
      <c r="X33" s="291">
        <f>ROUND(M33*P33,-3)</f>
        <v>0</v>
      </c>
      <c r="Y33" s="47" t="s">
        <v>304</v>
      </c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4" t="s">
        <v>269</v>
      </c>
      <c r="J34" s="197"/>
      <c r="K34" s="196"/>
      <c r="L34" s="196"/>
      <c r="M34" s="291"/>
      <c r="N34" s="196"/>
      <c r="O34" s="64"/>
      <c r="P34" s="271"/>
      <c r="Q34" s="196"/>
      <c r="R34" s="196"/>
      <c r="S34" s="196"/>
      <c r="T34" s="196"/>
      <c r="U34" s="196"/>
      <c r="V34" s="347" t="s">
        <v>69</v>
      </c>
      <c r="W34" s="62"/>
      <c r="X34" s="347">
        <f>SUM(X35:X36)</f>
        <v>1680000</v>
      </c>
      <c r="Y34" s="63" t="s">
        <v>302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4" t="s">
        <v>486</v>
      </c>
      <c r="J35" s="292"/>
      <c r="K35" s="291"/>
      <c r="L35" s="291"/>
      <c r="M35" s="291">
        <v>1680000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2"/>
      <c r="W35" s="412"/>
      <c r="X35" s="291">
        <f>ROUND(M35*P35,-3)</f>
        <v>1680000</v>
      </c>
      <c r="Y35" s="47" t="s">
        <v>304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4"/>
      <c r="J36" s="292"/>
      <c r="K36" s="291"/>
      <c r="L36" s="291"/>
      <c r="M36" s="291"/>
      <c r="N36" s="291" t="s">
        <v>56</v>
      </c>
      <c r="O36" s="64" t="s">
        <v>57</v>
      </c>
      <c r="P36" s="271"/>
      <c r="Q36" s="291"/>
      <c r="R36" s="291"/>
      <c r="S36" s="291"/>
      <c r="T36" s="291"/>
      <c r="U36" s="291" t="s">
        <v>208</v>
      </c>
      <c r="V36" s="412"/>
      <c r="W36" s="412"/>
      <c r="X36" s="291">
        <f>ROUND(M36*P36,-3)</f>
        <v>0</v>
      </c>
      <c r="Y36" s="47" t="s">
        <v>304</v>
      </c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4" t="s">
        <v>270</v>
      </c>
      <c r="J37" s="197"/>
      <c r="K37" s="196"/>
      <c r="L37" s="196"/>
      <c r="M37" s="291"/>
      <c r="N37" s="196"/>
      <c r="O37" s="64"/>
      <c r="P37" s="271"/>
      <c r="Q37" s="196"/>
      <c r="R37" s="196"/>
      <c r="S37" s="196"/>
      <c r="T37" s="196"/>
      <c r="U37" s="196"/>
      <c r="V37" s="347" t="s">
        <v>69</v>
      </c>
      <c r="W37" s="62"/>
      <c r="X37" s="347">
        <f>SUM(X38:X39)</f>
        <v>17518000</v>
      </c>
      <c r="Y37" s="63" t="s">
        <v>302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4" t="s">
        <v>486</v>
      </c>
      <c r="J38" s="292"/>
      <c r="K38" s="291"/>
      <c r="L38" s="291"/>
      <c r="M38" s="291">
        <v>17518000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2"/>
      <c r="W38" s="412"/>
      <c r="X38" s="291">
        <f>ROUND(M38*P38,-3)</f>
        <v>17518000</v>
      </c>
      <c r="Y38" s="47" t="s">
        <v>304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4"/>
      <c r="J39" s="292"/>
      <c r="K39" s="291"/>
      <c r="L39" s="291"/>
      <c r="M39" s="291"/>
      <c r="N39" s="291" t="s">
        <v>56</v>
      </c>
      <c r="O39" s="64" t="s">
        <v>57</v>
      </c>
      <c r="P39" s="271"/>
      <c r="Q39" s="291"/>
      <c r="R39" s="291"/>
      <c r="S39" s="291"/>
      <c r="T39" s="291"/>
      <c r="U39" s="291" t="s">
        <v>208</v>
      </c>
      <c r="V39" s="412"/>
      <c r="W39" s="412"/>
      <c r="X39" s="291">
        <f>ROUND(M39*P39,-3)</f>
        <v>0</v>
      </c>
      <c r="Y39" s="47" t="s">
        <v>304</v>
      </c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4" t="s">
        <v>481</v>
      </c>
      <c r="J40" s="292"/>
      <c r="K40" s="291"/>
      <c r="L40" s="291"/>
      <c r="M40" s="291"/>
      <c r="N40" s="291"/>
      <c r="O40" s="64"/>
      <c r="P40" s="271"/>
      <c r="Q40" s="291"/>
      <c r="R40" s="291"/>
      <c r="S40" s="291"/>
      <c r="T40" s="291"/>
      <c r="U40" s="291"/>
      <c r="V40" s="347" t="s">
        <v>69</v>
      </c>
      <c r="W40" s="62"/>
      <c r="X40" s="347">
        <f>SUM(X41:X42)</f>
        <v>5838000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4" t="s">
        <v>486</v>
      </c>
      <c r="J41" s="292"/>
      <c r="K41" s="291"/>
      <c r="L41" s="291"/>
      <c r="M41" s="291">
        <v>5838000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2"/>
      <c r="W41" s="512"/>
      <c r="X41" s="291">
        <f>ROUND(M41*P41,-3)</f>
        <v>5838000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4"/>
      <c r="J42" s="292"/>
      <c r="K42" s="291"/>
      <c r="L42" s="291"/>
      <c r="M42" s="291"/>
      <c r="N42" s="291" t="s">
        <v>56</v>
      </c>
      <c r="O42" s="64" t="s">
        <v>57</v>
      </c>
      <c r="P42" s="271"/>
      <c r="Q42" s="291"/>
      <c r="R42" s="291"/>
      <c r="S42" s="291"/>
      <c r="T42" s="291"/>
      <c r="U42" s="291" t="s">
        <v>53</v>
      </c>
      <c r="V42" s="512"/>
      <c r="W42" s="512"/>
      <c r="X42" s="291">
        <f>ROUND(M42*P42,-3)</f>
        <v>0</v>
      </c>
      <c r="Y42" s="47" t="s">
        <v>56</v>
      </c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5" t="s">
        <v>271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9540000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4" t="s">
        <v>486</v>
      </c>
      <c r="J44" s="197"/>
      <c r="K44" s="196"/>
      <c r="L44" s="196"/>
      <c r="M44" s="291">
        <f>M28+M32+M35+M38+M41</f>
        <v>114470000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9540000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4"/>
      <c r="J45" s="292"/>
      <c r="K45" s="291"/>
      <c r="L45" s="291"/>
      <c r="M45" s="291"/>
      <c r="N45" s="44"/>
      <c r="O45" s="412"/>
      <c r="P45" s="66"/>
      <c r="Q45" s="177"/>
      <c r="R45" s="64"/>
      <c r="S45" s="271"/>
      <c r="T45" s="291"/>
      <c r="U45" s="291" t="s">
        <v>206</v>
      </c>
      <c r="V45" s="291"/>
      <c r="W45" s="291"/>
      <c r="X45" s="58"/>
      <c r="Y45" s="261" t="s">
        <v>56</v>
      </c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5" t="s">
        <v>272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11923000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4" t="s">
        <v>273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5152000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4" t="s">
        <v>486</v>
      </c>
      <c r="J48" s="292"/>
      <c r="K48" s="291"/>
      <c r="L48" s="291"/>
      <c r="M48" s="291">
        <f>M44</f>
        <v>114470000</v>
      </c>
      <c r="N48" s="44" t="s">
        <v>56</v>
      </c>
      <c r="O48" s="64" t="s">
        <v>57</v>
      </c>
      <c r="P48" s="230">
        <v>0.09</v>
      </c>
      <c r="Q48" s="412">
        <v>2</v>
      </c>
      <c r="R48" s="64" t="s">
        <v>57</v>
      </c>
      <c r="S48" s="271">
        <v>1</v>
      </c>
      <c r="T48" s="65"/>
      <c r="U48" s="412" t="s">
        <v>206</v>
      </c>
      <c r="V48" s="291"/>
      <c r="W48" s="58"/>
      <c r="X48" s="58">
        <f>ROUNDUP(M48*P48/Q48*S48,-3)</f>
        <v>5152000</v>
      </c>
      <c r="Y48" s="47" t="s">
        <v>304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4"/>
      <c r="J49" s="292"/>
      <c r="K49" s="291"/>
      <c r="L49" s="291"/>
      <c r="M49" s="291"/>
      <c r="N49" s="44"/>
      <c r="O49" s="64"/>
      <c r="P49" s="230"/>
      <c r="Q49" s="412"/>
      <c r="R49" s="64"/>
      <c r="S49" s="271"/>
      <c r="T49" s="65"/>
      <c r="U49" s="412" t="s">
        <v>206</v>
      </c>
      <c r="V49" s="291"/>
      <c r="W49" s="58"/>
      <c r="X49" s="58"/>
      <c r="Y49" s="47" t="s">
        <v>304</v>
      </c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4" t="s">
        <v>274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47"/>
      <c r="W50" s="62"/>
      <c r="X50" s="62">
        <f>SUM(X51:X52)</f>
        <v>4058000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4" t="s">
        <v>486</v>
      </c>
      <c r="J51" s="292"/>
      <c r="K51" s="291"/>
      <c r="L51" s="291"/>
      <c r="M51" s="291">
        <f>M44</f>
        <v>114470000</v>
      </c>
      <c r="N51" s="44" t="s">
        <v>56</v>
      </c>
      <c r="O51" s="64" t="s">
        <v>57</v>
      </c>
      <c r="P51" s="231">
        <v>7.0900000000000005E-2</v>
      </c>
      <c r="Q51" s="412">
        <v>2</v>
      </c>
      <c r="R51" s="64" t="s">
        <v>57</v>
      </c>
      <c r="S51" s="271">
        <v>1</v>
      </c>
      <c r="T51" s="65"/>
      <c r="U51" s="412"/>
      <c r="V51" s="291"/>
      <c r="W51" s="58"/>
      <c r="X51" s="58">
        <f>ROUND(M51*P51/Q51*S51,-3)</f>
        <v>4058000</v>
      </c>
      <c r="Y51" s="47" t="s">
        <v>304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4"/>
      <c r="J52" s="292"/>
      <c r="K52" s="291"/>
      <c r="L52" s="291"/>
      <c r="M52" s="291"/>
      <c r="N52" s="44"/>
      <c r="O52" s="64"/>
      <c r="P52" s="231"/>
      <c r="Q52" s="412"/>
      <c r="R52" s="64"/>
      <c r="S52" s="271"/>
      <c r="T52" s="65"/>
      <c r="U52" s="412"/>
      <c r="V52" s="291"/>
      <c r="W52" s="58"/>
      <c r="X52" s="58"/>
      <c r="Y52" s="47" t="s">
        <v>304</v>
      </c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4" t="s">
        <v>275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47"/>
      <c r="W53" s="62"/>
      <c r="X53" s="62">
        <f>SUM(X54:X55)</f>
        <v>526000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4" t="s">
        <v>486</v>
      </c>
      <c r="J54" s="292"/>
      <c r="K54" s="291"/>
      <c r="L54" s="291"/>
      <c r="M54" s="291">
        <f>X51</f>
        <v>4058000</v>
      </c>
      <c r="N54" s="44" t="s">
        <v>56</v>
      </c>
      <c r="O54" s="64" t="s">
        <v>57</v>
      </c>
      <c r="P54" s="68">
        <v>0.1295</v>
      </c>
      <c r="Q54" s="69"/>
      <c r="R54" s="64"/>
      <c r="S54" s="67"/>
      <c r="T54" s="70"/>
      <c r="U54" s="412"/>
      <c r="V54" s="291"/>
      <c r="W54" s="58"/>
      <c r="X54" s="58">
        <f>ROUND(M54*P54,-3)</f>
        <v>526000</v>
      </c>
      <c r="Y54" s="47" t="s">
        <v>304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4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2"/>
      <c r="V55" s="291"/>
      <c r="W55" s="58"/>
      <c r="X55" s="58">
        <f>ROUND(M55*P55,-3)</f>
        <v>0</v>
      </c>
      <c r="Y55" s="47" t="s">
        <v>304</v>
      </c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4" t="s">
        <v>276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47"/>
      <c r="W56" s="62"/>
      <c r="X56" s="62">
        <f>SUM(X57:X58)</f>
        <v>1317000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4" t="s">
        <v>486</v>
      </c>
      <c r="J57" s="292"/>
      <c r="K57" s="291"/>
      <c r="L57" s="291"/>
      <c r="M57" s="291">
        <f>M44</f>
        <v>114470000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2" t="s">
        <v>206</v>
      </c>
      <c r="V57" s="291"/>
      <c r="W57" s="58"/>
      <c r="X57" s="58">
        <f>ROUNDUP(M57*P57*S57,-3)</f>
        <v>1317000</v>
      </c>
      <c r="Y57" s="47" t="s">
        <v>304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4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2" t="s">
        <v>206</v>
      </c>
      <c r="V58" s="291"/>
      <c r="W58" s="58"/>
      <c r="X58" s="58">
        <f>ROUND(M58*P58*S58,-3)</f>
        <v>0</v>
      </c>
      <c r="Y58" s="47" t="s">
        <v>304</v>
      </c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4" t="s">
        <v>277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47"/>
      <c r="W59" s="62"/>
      <c r="X59" s="62">
        <f>SUM(X60:X61)</f>
        <v>870000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4" t="s">
        <v>486</v>
      </c>
      <c r="J60" s="292"/>
      <c r="K60" s="291"/>
      <c r="L60" s="291"/>
      <c r="M60" s="291">
        <f>M44</f>
        <v>114470000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2" t="s">
        <v>206</v>
      </c>
      <c r="V60" s="291"/>
      <c r="W60" s="58"/>
      <c r="X60" s="58">
        <f>ROUNDUP(M60*P60*S60,-3)</f>
        <v>870000</v>
      </c>
      <c r="Y60" s="47" t="s">
        <v>304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4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2" t="s">
        <v>206</v>
      </c>
      <c r="V61" s="291"/>
      <c r="W61" s="58"/>
      <c r="X61" s="58">
        <f>ROUND(M61*P61*S61,-3)</f>
        <v>0</v>
      </c>
      <c r="Y61" s="47" t="s">
        <v>304</v>
      </c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10564</v>
      </c>
      <c r="F63" s="213">
        <f>ROUND(X63/1000,0)</f>
        <v>10564</v>
      </c>
      <c r="G63" s="30">
        <f>F63-E63</f>
        <v>0</v>
      </c>
      <c r="H63" s="109">
        <f>IF(E63=0,0,G63/E63)</f>
        <v>0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10564000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2641000</v>
      </c>
      <c r="N64" s="270" t="s">
        <v>25</v>
      </c>
      <c r="O64" s="362" t="s">
        <v>26</v>
      </c>
      <c r="P64" s="363">
        <v>4</v>
      </c>
      <c r="Q64" s="364" t="s">
        <v>55</v>
      </c>
      <c r="R64" s="325" t="s">
        <v>293</v>
      </c>
      <c r="S64" s="365">
        <v>1</v>
      </c>
      <c r="T64" s="328"/>
      <c r="U64" s="326" t="s">
        <v>294</v>
      </c>
      <c r="V64" s="583"/>
      <c r="W64" s="583"/>
      <c r="X64" s="58">
        <f>ROUND(M64*P64*S64,-3)</f>
        <v>10564000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1"/>
      <c r="J65" s="58"/>
      <c r="K65" s="180"/>
      <c r="L65" s="180"/>
      <c r="M65" s="280"/>
      <c r="N65" s="280"/>
      <c r="O65" s="45"/>
      <c r="P65" s="279"/>
      <c r="Q65" s="280"/>
      <c r="R65" s="64"/>
      <c r="S65" s="271"/>
      <c r="T65" s="280"/>
      <c r="U65" s="280"/>
      <c r="V65" s="279"/>
      <c r="W65" s="279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0" t="s">
        <v>295</v>
      </c>
      <c r="J66" s="275"/>
      <c r="K66" s="361"/>
      <c r="L66" s="361"/>
      <c r="M66" s="270"/>
      <c r="N66" s="270"/>
      <c r="O66" s="362"/>
      <c r="P66" s="270"/>
      <c r="Q66" s="364"/>
      <c r="R66" s="368"/>
      <c r="S66" s="369"/>
      <c r="T66" s="326"/>
      <c r="U66" s="326"/>
      <c r="V66" s="366"/>
      <c r="W66" s="274"/>
      <c r="X66" s="275"/>
      <c r="Y66" s="299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7" t="s">
        <v>296</v>
      </c>
      <c r="J67" s="275"/>
      <c r="K67" s="361"/>
      <c r="L67" s="361"/>
      <c r="M67" s="270">
        <v>0</v>
      </c>
      <c r="N67" s="270" t="s">
        <v>25</v>
      </c>
      <c r="O67" s="362" t="s">
        <v>26</v>
      </c>
      <c r="P67" s="367">
        <v>0.5</v>
      </c>
      <c r="Q67" s="364"/>
      <c r="R67" s="368"/>
      <c r="S67" s="369"/>
      <c r="T67" s="326"/>
      <c r="U67" s="326"/>
      <c r="V67" s="366"/>
      <c r="W67" s="274" t="s">
        <v>27</v>
      </c>
      <c r="X67" s="275">
        <f>M67*P67</f>
        <v>0</v>
      </c>
      <c r="Y67" s="299" t="s">
        <v>292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1642</v>
      </c>
      <c r="F69" s="213">
        <f>ROUND(X69/1000,0)</f>
        <v>1642</v>
      </c>
      <c r="G69" s="30">
        <f>F69-E69</f>
        <v>0</v>
      </c>
      <c r="H69" s="109">
        <f>IF(E69=0,0,G69/E69)</f>
        <v>0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4</v>
      </c>
      <c r="Q70" s="235">
        <v>365</v>
      </c>
      <c r="R70" s="196" t="s">
        <v>217</v>
      </c>
      <c r="S70" s="272">
        <v>1</v>
      </c>
      <c r="T70" s="196"/>
      <c r="U70" s="196" t="s">
        <v>206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4</v>
      </c>
      <c r="Q71" s="235">
        <v>12</v>
      </c>
      <c r="R71" s="196" t="s">
        <v>205</v>
      </c>
      <c r="S71" s="272">
        <v>1</v>
      </c>
      <c r="T71" s="196"/>
      <c r="U71" s="196" t="s">
        <v>206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4</v>
      </c>
      <c r="Q72" s="235">
        <v>4</v>
      </c>
      <c r="R72" s="196" t="s">
        <v>220</v>
      </c>
      <c r="S72" s="272">
        <v>1</v>
      </c>
      <c r="T72" s="196"/>
      <c r="U72" s="196" t="s">
        <v>206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424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4</v>
      </c>
      <c r="Q73" s="235">
        <v>4</v>
      </c>
      <c r="R73" s="196" t="s">
        <v>220</v>
      </c>
      <c r="S73" s="272">
        <v>1</v>
      </c>
      <c r="T73" s="196"/>
      <c r="U73" s="196" t="s">
        <v>206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2">
        <v>1</v>
      </c>
      <c r="T75" s="196"/>
      <c r="U75" s="196" t="s">
        <v>206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0</v>
      </c>
      <c r="F77" s="213">
        <f>ROUND(X77/1000,0)</f>
        <v>0</v>
      </c>
      <c r="G77" s="30">
        <f>F77-E77</f>
        <v>0</v>
      </c>
      <c r="H77" s="109">
        <f>IF(E77=0,0,G77/E77)</f>
        <v>0</v>
      </c>
      <c r="I77" s="225" t="s">
        <v>306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307</v>
      </c>
      <c r="E78" s="40"/>
      <c r="F78" s="40"/>
      <c r="G78" s="41"/>
      <c r="H78" s="60"/>
      <c r="I78" s="284" t="s">
        <v>278</v>
      </c>
      <c r="J78" s="197"/>
      <c r="K78" s="196"/>
      <c r="L78" s="196"/>
      <c r="M78" s="237">
        <v>0</v>
      </c>
      <c r="N78" s="59" t="s">
        <v>203</v>
      </c>
      <c r="O78" s="59" t="s">
        <v>207</v>
      </c>
      <c r="P78" s="67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484</v>
      </c>
      <c r="E80" s="40">
        <v>0</v>
      </c>
      <c r="F80" s="213">
        <f>ROUND(X80/1000,0)</f>
        <v>0</v>
      </c>
      <c r="G80" s="41">
        <f>F80-E80</f>
        <v>0</v>
      </c>
      <c r="H80" s="60">
        <f>IF(E80=0,0,G80/E80)</f>
        <v>0</v>
      </c>
      <c r="I80" s="61" t="s">
        <v>226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225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485</v>
      </c>
      <c r="E81" s="40"/>
      <c r="F81" s="40"/>
      <c r="G81" s="41"/>
      <c r="H81" s="60"/>
      <c r="I81" s="274"/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300</v>
      </c>
      <c r="F83" s="189">
        <f>SUM(F84:F140)</f>
        <v>300</v>
      </c>
      <c r="G83" s="190">
        <f>F83-E83</f>
        <v>0</v>
      </c>
      <c r="H83" s="191">
        <f>IF(E83=0,0,G83/E83)</f>
        <v>0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>F84-E84</f>
        <v>0</v>
      </c>
      <c r="H84" s="156">
        <f>IF(E84=0,0,G84/E84)</f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4" t="s">
        <v>265</v>
      </c>
      <c r="J85" s="292"/>
      <c r="K85" s="291"/>
      <c r="L85" s="291"/>
      <c r="M85" s="291">
        <v>0</v>
      </c>
      <c r="N85" s="409" t="s">
        <v>25</v>
      </c>
      <c r="O85" s="177" t="s">
        <v>26</v>
      </c>
      <c r="P85" s="410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09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0</v>
      </c>
      <c r="F87" s="213">
        <f>ROUND(X87/1000,0)</f>
        <v>0</v>
      </c>
      <c r="G87" s="30">
        <f>F87-E87</f>
        <v>0</v>
      </c>
      <c r="H87" s="109">
        <f>IF(E87=0,0,G87/E87)</f>
        <v>0</v>
      </c>
      <c r="I87" s="225" t="s">
        <v>305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13"/>
      <c r="U87" s="413"/>
      <c r="V87" s="226" t="s">
        <v>192</v>
      </c>
      <c r="W87" s="227"/>
      <c r="X87" s="227">
        <f>SUM(X88,X91,X104,X107,)</f>
        <v>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5" t="s">
        <v>266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47" t="s">
        <v>69</v>
      </c>
      <c r="W88" s="62"/>
      <c r="X88" s="424">
        <f>SUM(X89:X90)</f>
        <v>0</v>
      </c>
      <c r="Y88" s="425" t="s">
        <v>302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4" t="s">
        <v>486</v>
      </c>
      <c r="J89" s="292"/>
      <c r="K89" s="291"/>
      <c r="L89" s="291"/>
      <c r="M89" s="291"/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303</v>
      </c>
      <c r="V89" s="291"/>
      <c r="W89" s="58"/>
      <c r="X89" s="291">
        <f>ROUND(M89*P89,-3)</f>
        <v>0</v>
      </c>
      <c r="Y89" s="47" t="s">
        <v>302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4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 t="s">
        <v>208</v>
      </c>
      <c r="V90" s="291"/>
      <c r="W90" s="58"/>
      <c r="X90" s="291">
        <f>ROUNDDOWN(M90*P90,-3)</f>
        <v>0</v>
      </c>
      <c r="Y90" s="63" t="s">
        <v>25</v>
      </c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5" t="s">
        <v>267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26"/>
      <c r="X91" s="55">
        <f>SUM(X92,X95,X98, X101)</f>
        <v>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4" t="s">
        <v>268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47" t="s">
        <v>69</v>
      </c>
      <c r="W92" s="62"/>
      <c r="X92" s="347">
        <f>SUM(X93:X94)</f>
        <v>0</v>
      </c>
      <c r="Y92" s="63" t="s">
        <v>302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4" t="s">
        <v>486</v>
      </c>
      <c r="J93" s="292"/>
      <c r="K93" s="291"/>
      <c r="L93" s="291"/>
      <c r="M93" s="291"/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2"/>
      <c r="W93" s="412"/>
      <c r="X93" s="291">
        <f>ROUND(M93*P93,-3)</f>
        <v>0</v>
      </c>
      <c r="Y93" s="47" t="s">
        <v>304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4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 t="s">
        <v>208</v>
      </c>
      <c r="V94" s="412"/>
      <c r="W94" s="412"/>
      <c r="X94" s="291">
        <f>ROUND(M94*P94,-3)</f>
        <v>0</v>
      </c>
      <c r="Y94" s="47" t="s">
        <v>304</v>
      </c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4" t="s">
        <v>269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47" t="s">
        <v>69</v>
      </c>
      <c r="W95" s="62"/>
      <c r="X95" s="347">
        <f>SUM(X96:X97)</f>
        <v>0</v>
      </c>
      <c r="Y95" s="63" t="s">
        <v>302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4" t="s">
        <v>486</v>
      </c>
      <c r="J96" s="292"/>
      <c r="K96" s="291"/>
      <c r="L96" s="291"/>
      <c r="M96" s="291"/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2"/>
      <c r="W96" s="412"/>
      <c r="X96" s="291">
        <f>ROUND(M96*P96,-3)</f>
        <v>0</v>
      </c>
      <c r="Y96" s="47" t="s">
        <v>304</v>
      </c>
    </row>
    <row r="97" spans="1:25" ht="21" customHeight="1">
      <c r="A97" s="37"/>
      <c r="B97" s="38"/>
      <c r="C97" s="38"/>
      <c r="D97" s="38"/>
      <c r="E97" s="40"/>
      <c r="F97" s="40"/>
      <c r="G97" s="41"/>
      <c r="H97" s="60"/>
      <c r="I97" s="284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 t="s">
        <v>208</v>
      </c>
      <c r="V97" s="412"/>
      <c r="W97" s="412"/>
      <c r="X97" s="291">
        <f>ROUND(M97*P97,-3)</f>
        <v>0</v>
      </c>
      <c r="Y97" s="47" t="s">
        <v>304</v>
      </c>
    </row>
    <row r="98" spans="1:25" ht="21" customHeight="1">
      <c r="A98" s="37"/>
      <c r="B98" s="38"/>
      <c r="C98" s="38"/>
      <c r="D98" s="38"/>
      <c r="E98" s="40"/>
      <c r="F98" s="40"/>
      <c r="G98" s="41"/>
      <c r="H98" s="60"/>
      <c r="I98" s="284" t="s">
        <v>270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47" t="s">
        <v>69</v>
      </c>
      <c r="W98" s="62"/>
      <c r="X98" s="347">
        <f>SUM(X99:X100)</f>
        <v>0</v>
      </c>
      <c r="Y98" s="63" t="s">
        <v>302</v>
      </c>
    </row>
    <row r="99" spans="1:25" ht="21" customHeight="1">
      <c r="A99" s="37"/>
      <c r="B99" s="38"/>
      <c r="C99" s="38"/>
      <c r="D99" s="38"/>
      <c r="E99" s="40"/>
      <c r="F99" s="40"/>
      <c r="G99" s="41"/>
      <c r="H99" s="60"/>
      <c r="I99" s="284" t="s">
        <v>486</v>
      </c>
      <c r="J99" s="292"/>
      <c r="K99" s="291"/>
      <c r="L99" s="291"/>
      <c r="M99" s="291"/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2"/>
      <c r="W99" s="412"/>
      <c r="X99" s="419">
        <f>ROUND(M99*P99,-3)</f>
        <v>0</v>
      </c>
      <c r="Y99" s="47" t="s">
        <v>304</v>
      </c>
    </row>
    <row r="100" spans="1:25" ht="21" customHeight="1">
      <c r="A100" s="37"/>
      <c r="B100" s="38"/>
      <c r="C100" s="38"/>
      <c r="D100" s="38"/>
      <c r="E100" s="40"/>
      <c r="F100" s="40"/>
      <c r="G100" s="41"/>
      <c r="H100" s="60"/>
      <c r="I100" s="284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 t="s">
        <v>208</v>
      </c>
      <c r="V100" s="412"/>
      <c r="W100" s="412"/>
      <c r="X100" s="291">
        <f>ROUND(M100*P100,-3)</f>
        <v>0</v>
      </c>
      <c r="Y100" s="47" t="s">
        <v>304</v>
      </c>
    </row>
    <row r="101" spans="1:25" ht="21" customHeight="1">
      <c r="A101" s="37"/>
      <c r="B101" s="38"/>
      <c r="C101" s="38"/>
      <c r="D101" s="38"/>
      <c r="E101" s="40"/>
      <c r="F101" s="40"/>
      <c r="G101" s="41"/>
      <c r="H101" s="60"/>
      <c r="I101" s="284" t="s">
        <v>481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47" t="s">
        <v>69</v>
      </c>
      <c r="W101" s="62"/>
      <c r="X101" s="347">
        <f>SUM(X102:X103)</f>
        <v>0</v>
      </c>
      <c r="Y101" s="63" t="s">
        <v>56</v>
      </c>
    </row>
    <row r="102" spans="1:25" ht="21" customHeight="1">
      <c r="A102" s="37"/>
      <c r="B102" s="38"/>
      <c r="C102" s="38"/>
      <c r="D102" s="38"/>
      <c r="E102" s="40"/>
      <c r="F102" s="40"/>
      <c r="G102" s="41"/>
      <c r="H102" s="60"/>
      <c r="I102" s="284" t="s">
        <v>486</v>
      </c>
      <c r="J102" s="292"/>
      <c r="K102" s="291"/>
      <c r="L102" s="291"/>
      <c r="M102" s="291"/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2"/>
      <c r="W102" s="512"/>
      <c r="X102" s="456">
        <f>ROUND(M102*P102,-3)</f>
        <v>0</v>
      </c>
      <c r="Y102" s="47" t="s">
        <v>56</v>
      </c>
    </row>
    <row r="103" spans="1:25" ht="21" customHeight="1">
      <c r="A103" s="37"/>
      <c r="B103" s="38"/>
      <c r="C103" s="38"/>
      <c r="D103" s="38"/>
      <c r="E103" s="40"/>
      <c r="F103" s="40"/>
      <c r="G103" s="41"/>
      <c r="H103" s="60"/>
      <c r="I103" s="284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 t="s">
        <v>53</v>
      </c>
      <c r="V103" s="512"/>
      <c r="W103" s="512"/>
      <c r="X103" s="291"/>
      <c r="Y103" s="47" t="s">
        <v>56</v>
      </c>
    </row>
    <row r="104" spans="1:25" ht="21" customHeight="1">
      <c r="A104" s="37"/>
      <c r="B104" s="38"/>
      <c r="C104" s="38"/>
      <c r="D104" s="38"/>
      <c r="E104" s="40"/>
      <c r="F104" s="40"/>
      <c r="G104" s="41"/>
      <c r="H104" s="60"/>
      <c r="I104" s="285" t="s">
        <v>271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47" t="s">
        <v>69</v>
      </c>
      <c r="W104" s="62"/>
      <c r="X104" s="347">
        <f>SUM(X105:X106)</f>
        <v>0</v>
      </c>
      <c r="Y104" s="63" t="s">
        <v>25</v>
      </c>
    </row>
    <row r="105" spans="1:25" ht="21" customHeight="1">
      <c r="A105" s="37"/>
      <c r="B105" s="38"/>
      <c r="C105" s="38"/>
      <c r="D105" s="38"/>
      <c r="E105" s="40"/>
      <c r="F105" s="40"/>
      <c r="G105" s="41"/>
      <c r="H105" s="60"/>
      <c r="I105" s="284" t="s">
        <v>486</v>
      </c>
      <c r="J105" s="292"/>
      <c r="K105" s="291"/>
      <c r="L105" s="291"/>
      <c r="M105" s="291">
        <f>SUM(M89,M93,M96,M99, M102)</f>
        <v>0</v>
      </c>
      <c r="N105" s="44" t="s">
        <v>56</v>
      </c>
      <c r="O105" s="412" t="s">
        <v>204</v>
      </c>
      <c r="P105" s="66">
        <v>12</v>
      </c>
      <c r="Q105" s="177" t="s">
        <v>205</v>
      </c>
      <c r="R105" s="64" t="s">
        <v>57</v>
      </c>
      <c r="S105" s="271">
        <v>0</v>
      </c>
      <c r="T105" s="291"/>
      <c r="U105" s="291" t="s">
        <v>206</v>
      </c>
      <c r="V105" s="79"/>
      <c r="W105" s="79"/>
      <c r="X105" s="224">
        <f>ROUNDUP(M105/P105*S105,-3)</f>
        <v>0</v>
      </c>
      <c r="Y105" s="261" t="s">
        <v>56</v>
      </c>
    </row>
    <row r="106" spans="1:25" ht="21" customHeight="1">
      <c r="A106" s="37"/>
      <c r="B106" s="38"/>
      <c r="C106" s="38"/>
      <c r="D106" s="38"/>
      <c r="E106" s="40"/>
      <c r="F106" s="40"/>
      <c r="G106" s="41"/>
      <c r="H106" s="60"/>
      <c r="I106" s="284"/>
      <c r="J106" s="292"/>
      <c r="K106" s="291"/>
      <c r="L106" s="291"/>
      <c r="M106" s="291"/>
      <c r="N106" s="44"/>
      <c r="O106" s="412"/>
      <c r="P106" s="66"/>
      <c r="Q106" s="177"/>
      <c r="R106" s="64"/>
      <c r="S106" s="271"/>
      <c r="T106" s="291"/>
      <c r="U106" s="291" t="s">
        <v>206</v>
      </c>
      <c r="V106" s="291"/>
      <c r="W106" s="291"/>
      <c r="X106" s="58"/>
      <c r="Y106" s="261" t="s">
        <v>56</v>
      </c>
    </row>
    <row r="107" spans="1:25" ht="21" customHeight="1">
      <c r="A107" s="37"/>
      <c r="B107" s="38"/>
      <c r="C107" s="38"/>
      <c r="D107" s="38"/>
      <c r="E107" s="40"/>
      <c r="F107" s="40"/>
      <c r="G107" s="41"/>
      <c r="H107" s="60"/>
      <c r="I107" s="285" t="s">
        <v>272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47" t="s">
        <v>69</v>
      </c>
      <c r="W107" s="62"/>
      <c r="X107" s="347">
        <f>SUM(X108,X111,X114,X117,X120)</f>
        <v>0</v>
      </c>
      <c r="Y107" s="63" t="s">
        <v>25</v>
      </c>
    </row>
    <row r="108" spans="1:25" ht="21" customHeight="1">
      <c r="A108" s="37"/>
      <c r="B108" s="38"/>
      <c r="C108" s="38"/>
      <c r="D108" s="38"/>
      <c r="E108" s="40"/>
      <c r="F108" s="40"/>
      <c r="G108" s="41"/>
      <c r="H108" s="60"/>
      <c r="I108" s="284" t="s">
        <v>273</v>
      </c>
      <c r="J108" s="292"/>
      <c r="K108" s="291"/>
      <c r="L108" s="291"/>
      <c r="M108" s="291"/>
      <c r="N108" s="44"/>
      <c r="O108" s="64"/>
      <c r="P108" s="230"/>
      <c r="Q108" s="412"/>
      <c r="R108" s="64"/>
      <c r="S108" s="271"/>
      <c r="T108" s="65"/>
      <c r="U108" s="412"/>
      <c r="V108" s="128"/>
      <c r="W108" s="129"/>
      <c r="X108" s="129">
        <f>SUM(X109:X110)</f>
        <v>0</v>
      </c>
      <c r="Y108" s="130" t="s">
        <v>56</v>
      </c>
    </row>
    <row r="109" spans="1:25" ht="21" customHeight="1">
      <c r="A109" s="37"/>
      <c r="B109" s="38"/>
      <c r="C109" s="38"/>
      <c r="D109" s="38"/>
      <c r="E109" s="40"/>
      <c r="F109" s="40"/>
      <c r="G109" s="41"/>
      <c r="H109" s="60"/>
      <c r="I109" s="284" t="s">
        <v>486</v>
      </c>
      <c r="J109" s="292"/>
      <c r="K109" s="291"/>
      <c r="L109" s="291"/>
      <c r="M109" s="291">
        <f>M105</f>
        <v>0</v>
      </c>
      <c r="N109" s="44" t="s">
        <v>56</v>
      </c>
      <c r="O109" s="64" t="s">
        <v>57</v>
      </c>
      <c r="P109" s="230">
        <v>0.09</v>
      </c>
      <c r="Q109" s="412">
        <v>2</v>
      </c>
      <c r="R109" s="64" t="s">
        <v>57</v>
      </c>
      <c r="S109" s="271">
        <v>0</v>
      </c>
      <c r="T109" s="65"/>
      <c r="U109" s="412" t="s">
        <v>206</v>
      </c>
      <c r="V109" s="291"/>
      <c r="W109" s="58"/>
      <c r="X109" s="58">
        <f>ROUNDUP(M109*P109/Q109*S109,-3)</f>
        <v>0</v>
      </c>
      <c r="Y109" s="47" t="s">
        <v>304</v>
      </c>
    </row>
    <row r="110" spans="1:25" ht="21" customHeight="1">
      <c r="A110" s="37"/>
      <c r="B110" s="38"/>
      <c r="C110" s="38"/>
      <c r="D110" s="38"/>
      <c r="E110" s="40"/>
      <c r="F110" s="40"/>
      <c r="G110" s="41"/>
      <c r="H110" s="60"/>
      <c r="I110" s="284"/>
      <c r="J110" s="292"/>
      <c r="K110" s="291"/>
      <c r="L110" s="291"/>
      <c r="M110" s="291"/>
      <c r="N110" s="44"/>
      <c r="O110" s="64"/>
      <c r="P110" s="230"/>
      <c r="Q110" s="412"/>
      <c r="R110" s="64"/>
      <c r="S110" s="271"/>
      <c r="T110" s="65"/>
      <c r="U110" s="412" t="s">
        <v>206</v>
      </c>
      <c r="V110" s="291"/>
      <c r="W110" s="58"/>
      <c r="X110" s="121"/>
      <c r="Y110" s="47" t="s">
        <v>304</v>
      </c>
    </row>
    <row r="111" spans="1:25" ht="21" customHeight="1">
      <c r="A111" s="37"/>
      <c r="B111" s="38"/>
      <c r="C111" s="38"/>
      <c r="D111" s="38"/>
      <c r="E111" s="40"/>
      <c r="F111" s="40"/>
      <c r="G111" s="41"/>
      <c r="H111" s="60"/>
      <c r="I111" s="284" t="s">
        <v>274</v>
      </c>
      <c r="J111" s="292"/>
      <c r="K111" s="291"/>
      <c r="L111" s="291"/>
      <c r="M111" s="291"/>
      <c r="N111" s="44"/>
      <c r="O111" s="64"/>
      <c r="P111" s="231"/>
      <c r="Q111" s="412"/>
      <c r="R111" s="64"/>
      <c r="S111" s="271"/>
      <c r="T111" s="65"/>
      <c r="U111" s="412"/>
      <c r="V111" s="347"/>
      <c r="W111" s="62"/>
      <c r="X111" s="62">
        <f>SUM(X112:X113)</f>
        <v>0</v>
      </c>
      <c r="Y111" s="63" t="s">
        <v>56</v>
      </c>
    </row>
    <row r="112" spans="1:25" ht="21" customHeight="1">
      <c r="A112" s="37"/>
      <c r="B112" s="38"/>
      <c r="C112" s="38"/>
      <c r="D112" s="38"/>
      <c r="E112" s="40"/>
      <c r="F112" s="40"/>
      <c r="G112" s="41"/>
      <c r="H112" s="60"/>
      <c r="I112" s="284" t="s">
        <v>486</v>
      </c>
      <c r="J112" s="292"/>
      <c r="K112" s="291"/>
      <c r="L112" s="291"/>
      <c r="M112" s="291">
        <f>M105</f>
        <v>0</v>
      </c>
      <c r="N112" s="44" t="s">
        <v>56</v>
      </c>
      <c r="O112" s="64" t="s">
        <v>57</v>
      </c>
      <c r="P112" s="231">
        <v>7.0900000000000005E-2</v>
      </c>
      <c r="Q112" s="412">
        <v>2</v>
      </c>
      <c r="R112" s="64" t="s">
        <v>57</v>
      </c>
      <c r="S112" s="271">
        <v>0</v>
      </c>
      <c r="T112" s="65"/>
      <c r="U112" s="412"/>
      <c r="V112" s="291"/>
      <c r="W112" s="58"/>
      <c r="X112" s="121">
        <f>ROUND(M112*P112/Q112*S112,-3)</f>
        <v>0</v>
      </c>
      <c r="Y112" s="47" t="s">
        <v>304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4"/>
      <c r="J113" s="292"/>
      <c r="K113" s="291"/>
      <c r="L113" s="291"/>
      <c r="M113" s="291"/>
      <c r="N113" s="44"/>
      <c r="O113" s="64"/>
      <c r="P113" s="231"/>
      <c r="Q113" s="412"/>
      <c r="R113" s="64"/>
      <c r="S113" s="271"/>
      <c r="T113" s="65"/>
      <c r="U113" s="412"/>
      <c r="V113" s="291"/>
      <c r="W113" s="58"/>
      <c r="X113" s="121"/>
      <c r="Y113" s="47" t="s">
        <v>304</v>
      </c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4" t="s">
        <v>275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2"/>
      <c r="V114" s="347"/>
      <c r="W114" s="62"/>
      <c r="X114" s="62">
        <f>SUM(X115:X116)</f>
        <v>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4" t="s">
        <v>486</v>
      </c>
      <c r="J115" s="292"/>
      <c r="K115" s="291"/>
      <c r="L115" s="291"/>
      <c r="M115" s="291">
        <f>X112</f>
        <v>0</v>
      </c>
      <c r="N115" s="44" t="s">
        <v>56</v>
      </c>
      <c r="O115" s="64" t="s">
        <v>57</v>
      </c>
      <c r="P115" s="68">
        <v>0.1295</v>
      </c>
      <c r="Q115" s="69"/>
      <c r="R115" s="64"/>
      <c r="S115" s="67"/>
      <c r="T115" s="70"/>
      <c r="U115" s="412"/>
      <c r="V115" s="291"/>
      <c r="W115" s="58"/>
      <c r="X115" s="58">
        <f>ROUNDUP(M115*P115,-3)</f>
        <v>0</v>
      </c>
      <c r="Y115" s="47" t="s">
        <v>304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4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2"/>
      <c r="V116" s="291"/>
      <c r="W116" s="58"/>
      <c r="X116" s="58">
        <f>ROUND(M116*P116,-3)</f>
        <v>0</v>
      </c>
      <c r="Y116" s="47" t="s">
        <v>304</v>
      </c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4" t="s">
        <v>276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2"/>
      <c r="V117" s="347"/>
      <c r="W117" s="62"/>
      <c r="X117" s="62">
        <f>SUM(X118:X119)</f>
        <v>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4" t="s">
        <v>486</v>
      </c>
      <c r="J118" s="292"/>
      <c r="K118" s="291"/>
      <c r="L118" s="291"/>
      <c r="M118" s="291">
        <f>M105</f>
        <v>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2" t="s">
        <v>206</v>
      </c>
      <c r="V118" s="291"/>
      <c r="W118" s="58"/>
      <c r="X118" s="58">
        <f>ROUNDDOWN(M118*P118*S118,-3)</f>
        <v>0</v>
      </c>
      <c r="Y118" s="47" t="s">
        <v>304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4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2" t="s">
        <v>206</v>
      </c>
      <c r="V119" s="291"/>
      <c r="W119" s="58"/>
      <c r="X119" s="58">
        <f>ROUND(M119*P119*S119,-3)</f>
        <v>0</v>
      </c>
      <c r="Y119" s="47" t="s">
        <v>304</v>
      </c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4" t="s">
        <v>277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2"/>
      <c r="V120" s="347"/>
      <c r="W120" s="62"/>
      <c r="X120" s="62">
        <f>SUM(X121:X122)</f>
        <v>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4" t="s">
        <v>486</v>
      </c>
      <c r="J121" s="292"/>
      <c r="K121" s="291"/>
      <c r="L121" s="291"/>
      <c r="M121" s="291">
        <f>M105</f>
        <v>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2" t="s">
        <v>206</v>
      </c>
      <c r="V121" s="291"/>
      <c r="W121" s="58"/>
      <c r="X121" s="58">
        <f>ROUNDUP(M121*P121*S121,-3)</f>
        <v>0</v>
      </c>
      <c r="Y121" s="47" t="s">
        <v>304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4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2" t="s">
        <v>206</v>
      </c>
      <c r="V122" s="291"/>
      <c r="W122" s="58"/>
      <c r="X122" s="121">
        <f>ROUNDUP(M122*P122*S122,-3)</f>
        <v>0</v>
      </c>
      <c r="Y122" s="47" t="s">
        <v>304</v>
      </c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0</v>
      </c>
      <c r="F124" s="213">
        <f>ROUND(X124/1000,0)</f>
        <v>0</v>
      </c>
      <c r="G124" s="30">
        <f>F124-E124</f>
        <v>0</v>
      </c>
      <c r="H124" s="109">
        <f>IF(E124=0,0,G124/E124)</f>
        <v>0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70">
        <v>2641000</v>
      </c>
      <c r="N125" s="270" t="s">
        <v>25</v>
      </c>
      <c r="O125" s="362" t="s">
        <v>26</v>
      </c>
      <c r="P125" s="363">
        <v>4</v>
      </c>
      <c r="Q125" s="364" t="s">
        <v>55</v>
      </c>
      <c r="R125" s="325" t="s">
        <v>293</v>
      </c>
      <c r="S125" s="365">
        <v>0</v>
      </c>
      <c r="T125" s="328"/>
      <c r="U125" s="326" t="s">
        <v>294</v>
      </c>
      <c r="V125" s="583"/>
      <c r="W125" s="58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0</v>
      </c>
      <c r="F127" s="213">
        <f>ROUND(X127/1000,0)</f>
        <v>0</v>
      </c>
      <c r="G127" s="30">
        <f>F127-E127</f>
        <v>0</v>
      </c>
      <c r="H127" s="109">
        <f>IF(E127=0,0,G127/E127)</f>
        <v>0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/>
      <c r="N128" s="196" t="s">
        <v>203</v>
      </c>
      <c r="O128" s="197" t="s">
        <v>207</v>
      </c>
      <c r="P128" s="234"/>
      <c r="Q128" s="235">
        <v>365</v>
      </c>
      <c r="R128" s="196" t="s">
        <v>217</v>
      </c>
      <c r="S128" s="272">
        <v>0</v>
      </c>
      <c r="T128" s="196"/>
      <c r="U128" s="196" t="s">
        <v>206</v>
      </c>
      <c r="V128" s="196"/>
      <c r="W128" s="58"/>
      <c r="X128" s="58">
        <f>ROUNDUP(M128*P128*Q128*S128,-3)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/>
      <c r="N129" s="196" t="s">
        <v>203</v>
      </c>
      <c r="O129" s="197" t="s">
        <v>207</v>
      </c>
      <c r="P129" s="234"/>
      <c r="Q129" s="235">
        <v>12</v>
      </c>
      <c r="R129" s="196" t="s">
        <v>205</v>
      </c>
      <c r="S129" s="272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/>
      <c r="N130" s="196" t="s">
        <v>203</v>
      </c>
      <c r="O130" s="197" t="s">
        <v>207</v>
      </c>
      <c r="P130" s="234"/>
      <c r="Q130" s="235">
        <v>4</v>
      </c>
      <c r="R130" s="196" t="s">
        <v>220</v>
      </c>
      <c r="S130" s="272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424</v>
      </c>
      <c r="J131" s="197"/>
      <c r="K131" s="196"/>
      <c r="L131" s="196"/>
      <c r="M131" s="196"/>
      <c r="N131" s="196" t="s">
        <v>203</v>
      </c>
      <c r="O131" s="197" t="s">
        <v>207</v>
      </c>
      <c r="P131" s="234"/>
      <c r="Q131" s="235">
        <v>4</v>
      </c>
      <c r="R131" s="196" t="s">
        <v>220</v>
      </c>
      <c r="S131" s="272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/>
      <c r="N133" s="196" t="s">
        <v>203</v>
      </c>
      <c r="O133" s="197" t="s">
        <v>207</v>
      </c>
      <c r="P133" s="234"/>
      <c r="Q133" s="235">
        <v>1</v>
      </c>
      <c r="R133" s="196" t="s">
        <v>220</v>
      </c>
      <c r="S133" s="272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0</v>
      </c>
      <c r="F135" s="213">
        <f>ROUND(X135/1000,0)</f>
        <v>0</v>
      </c>
      <c r="G135" s="30">
        <f>F135-E135</f>
        <v>0</v>
      </c>
      <c r="H135" s="109">
        <f>IF(E135=0,0,G135/E135)</f>
        <v>0</v>
      </c>
      <c r="I135" s="225" t="s">
        <v>306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4"/>
      <c r="U135" s="344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307</v>
      </c>
      <c r="E136" s="40"/>
      <c r="F136" s="40"/>
      <c r="G136" s="41"/>
      <c r="H136" s="60"/>
      <c r="I136" s="284" t="s">
        <v>278</v>
      </c>
      <c r="J136" s="292"/>
      <c r="K136" s="291"/>
      <c r="L136" s="291"/>
      <c r="M136" s="237"/>
      <c r="N136" s="59" t="s">
        <v>56</v>
      </c>
      <c r="O136" s="59" t="s">
        <v>57</v>
      </c>
      <c r="P136" s="67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48"/>
      <c r="J137" s="62"/>
      <c r="K137" s="218"/>
      <c r="L137" s="218"/>
      <c r="M137" s="347"/>
      <c r="N137" s="347"/>
      <c r="O137" s="219"/>
      <c r="P137" s="347"/>
      <c r="Q137" s="117"/>
      <c r="R137" s="220"/>
      <c r="S137" s="347"/>
      <c r="T137" s="169"/>
      <c r="U137" s="169"/>
      <c r="V137" s="221"/>
      <c r="W137" s="348"/>
      <c r="X137" s="62"/>
      <c r="Y137" s="63"/>
    </row>
    <row r="138" spans="1:26" ht="21" customHeight="1">
      <c r="A138" s="37"/>
      <c r="B138" s="38"/>
      <c r="C138" s="38"/>
      <c r="D138" s="38" t="s">
        <v>311</v>
      </c>
      <c r="E138" s="40">
        <v>300</v>
      </c>
      <c r="F138" s="213">
        <f>ROUND(X138/1000,0)</f>
        <v>300</v>
      </c>
      <c r="G138" s="41">
        <f>F138-E138</f>
        <v>0</v>
      </c>
      <c r="H138" s="60">
        <f>IF(E138=0,0,G138/E138)</f>
        <v>0</v>
      </c>
      <c r="I138" s="61" t="s">
        <v>310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225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224</v>
      </c>
      <c r="E139" s="40"/>
      <c r="F139" s="40"/>
      <c r="G139" s="41"/>
      <c r="H139" s="60"/>
      <c r="I139" s="284" t="s">
        <v>279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0</v>
      </c>
      <c r="F141" s="189">
        <f>F142</f>
        <v>0</v>
      </c>
      <c r="G141" s="190">
        <f>F141-E141</f>
        <v>0</v>
      </c>
      <c r="H141" s="191">
        <f>IF(E141=0,0,G141/E141)</f>
        <v>0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0</v>
      </c>
      <c r="F142" s="40">
        <f>ROUND(X142/1000,0)</f>
        <v>0</v>
      </c>
      <c r="G142" s="266">
        <f>F142-E142</f>
        <v>0</v>
      </c>
      <c r="H142" s="156">
        <f>IF(E142=0,0,G142/E142)</f>
        <v>0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71</v>
      </c>
      <c r="B144" s="28" t="s">
        <v>30</v>
      </c>
      <c r="C144" s="575" t="s">
        <v>249</v>
      </c>
      <c r="D144" s="576"/>
      <c r="E144" s="239">
        <f>SUM(E145,E151)</f>
        <v>502</v>
      </c>
      <c r="F144" s="239">
        <f>SUM(F145,F151)</f>
        <v>550</v>
      </c>
      <c r="G144" s="240">
        <f>F144-E144</f>
        <v>48</v>
      </c>
      <c r="H144" s="241">
        <f>IF(E144=0,0,G144/E144)</f>
        <v>9.5617529880478086E-2</v>
      </c>
      <c r="I144" s="242" t="s">
        <v>250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550000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255</v>
      </c>
      <c r="E145" s="189">
        <f>E146+E149</f>
        <v>0</v>
      </c>
      <c r="F145" s="189">
        <f>F146+F149</f>
        <v>0</v>
      </c>
      <c r="G145" s="190">
        <f>F145-E145</f>
        <v>0</v>
      </c>
      <c r="H145" s="191">
        <f>IF(E145=0,0,G145/E145)</f>
        <v>0</v>
      </c>
      <c r="I145" s="173" t="s">
        <v>256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244</v>
      </c>
      <c r="W145" s="211"/>
      <c r="X145" s="212">
        <f>SUM(X146,X149)</f>
        <v>0</v>
      </c>
      <c r="Y145" s="259" t="s">
        <v>243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>F146-E146</f>
        <v>0</v>
      </c>
      <c r="H146" s="156">
        <f>IF(E146=0,0,G146/E146)</f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74" t="s">
        <v>69</v>
      </c>
      <c r="W146" s="57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245</v>
      </c>
      <c r="E149" s="29">
        <v>0</v>
      </c>
      <c r="F149" s="40">
        <f>ROUND(X149/1000,0)</f>
        <v>0</v>
      </c>
      <c r="G149" s="30">
        <f>F149-E149</f>
        <v>0</v>
      </c>
      <c r="H149" s="31">
        <f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74" t="s">
        <v>69</v>
      </c>
      <c r="W149" s="57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246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502</v>
      </c>
      <c r="F151" s="189">
        <f>F152</f>
        <v>550</v>
      </c>
      <c r="G151" s="190">
        <f>F151-E151</f>
        <v>48</v>
      </c>
      <c r="H151" s="191">
        <f>IF(E151=0,0,G151/E151)</f>
        <v>9.5617529880478086E-2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550000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502</v>
      </c>
      <c r="F152" s="40">
        <f>ROUND(X152/1000,0)</f>
        <v>550</v>
      </c>
      <c r="G152" s="266">
        <f>F152-E152</f>
        <v>48</v>
      </c>
      <c r="H152" s="156">
        <f>IF(E152=0,0,G152/E152)</f>
        <v>9.5617529880478086E-2</v>
      </c>
      <c r="I152" s="127" t="s">
        <v>300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74" t="s">
        <v>69</v>
      </c>
      <c r="W152" s="574"/>
      <c r="X152" s="129">
        <f>SUM(X153)</f>
        <v>550000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72</v>
      </c>
      <c r="J153" s="292"/>
      <c r="K153" s="291"/>
      <c r="L153" s="291"/>
      <c r="M153" s="291"/>
      <c r="N153" s="409"/>
      <c r="O153" s="64"/>
      <c r="P153" s="59"/>
      <c r="Q153" s="64"/>
      <c r="R153" s="71"/>
      <c r="S153" s="65"/>
      <c r="T153" s="65"/>
      <c r="U153" s="409" t="s">
        <v>53</v>
      </c>
      <c r="V153" s="291"/>
      <c r="W153" s="58"/>
      <c r="X153" s="58">
        <v>550000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7"/>
      <c r="J154" s="292"/>
      <c r="K154" s="291"/>
      <c r="L154" s="291"/>
      <c r="M154" s="291"/>
      <c r="N154" s="538"/>
      <c r="O154" s="64"/>
      <c r="P154" s="59"/>
      <c r="Q154" s="64"/>
      <c r="R154" s="71"/>
      <c r="S154" s="65"/>
      <c r="T154" s="65"/>
      <c r="U154" s="538"/>
      <c r="V154" s="291"/>
      <c r="W154" s="58"/>
      <c r="X154" s="58"/>
      <c r="Y154" s="47"/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61"/>
      <c r="J155" s="199"/>
      <c r="K155" s="198"/>
      <c r="L155" s="198"/>
      <c r="M155" s="198"/>
      <c r="N155" s="169"/>
      <c r="O155" s="182"/>
      <c r="P155" s="183"/>
      <c r="Q155" s="182"/>
      <c r="R155" s="184"/>
      <c r="S155" s="185"/>
      <c r="T155" s="185"/>
      <c r="U155" s="169"/>
      <c r="V155" s="198"/>
      <c r="W155" s="62"/>
      <c r="X155" s="62"/>
      <c r="Y155" s="63"/>
    </row>
    <row r="156" spans="1:25" ht="21" customHeight="1">
      <c r="A156" s="27" t="s">
        <v>154</v>
      </c>
      <c r="B156" s="28" t="s">
        <v>154</v>
      </c>
      <c r="C156" s="575" t="s">
        <v>249</v>
      </c>
      <c r="D156" s="576"/>
      <c r="E156" s="239">
        <f>E157+E160</f>
        <v>0</v>
      </c>
      <c r="F156" s="239">
        <f>F157+F160</f>
        <v>0</v>
      </c>
      <c r="G156" s="240">
        <f>F156-E156</f>
        <v>0</v>
      </c>
      <c r="H156" s="241">
        <f>IF(E156=0,0,G156/E156)</f>
        <v>0</v>
      </c>
      <c r="I156" s="242" t="s">
        <v>251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>F157-E157</f>
        <v>0</v>
      </c>
      <c r="H157" s="191">
        <f>IF(E157=0,0,G157/E157)</f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>F158-E158</f>
        <v>0</v>
      </c>
      <c r="H158" s="31">
        <f>IF(E158=0,0,G158/E158)</f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74" t="s">
        <v>69</v>
      </c>
      <c r="W158" s="57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>F160-E160</f>
        <v>0</v>
      </c>
      <c r="H160" s="191">
        <f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>F161-E161</f>
        <v>0</v>
      </c>
      <c r="H161" s="31">
        <f>IF(E161=0,0,G161/E161)</f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73</v>
      </c>
      <c r="B163" s="28" t="s">
        <v>13</v>
      </c>
      <c r="C163" s="575" t="s">
        <v>249</v>
      </c>
      <c r="D163" s="576"/>
      <c r="E163" s="239">
        <f>SUM(E164,E168)</f>
        <v>0</v>
      </c>
      <c r="F163" s="239">
        <f>SUM(F164,F168)</f>
        <v>0</v>
      </c>
      <c r="G163" s="240">
        <f>F163-E163</f>
        <v>0</v>
      </c>
      <c r="H163" s="241">
        <f>IF(E163=0,0,G163/E163)</f>
        <v>0</v>
      </c>
      <c r="I163" s="242" t="s">
        <v>252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255</v>
      </c>
      <c r="E164" s="189">
        <f>E165</f>
        <v>0</v>
      </c>
      <c r="F164" s="189">
        <f>F165</f>
        <v>0</v>
      </c>
      <c r="G164" s="190">
        <f>F164-E164</f>
        <v>0</v>
      </c>
      <c r="H164" s="191">
        <f>IF(E164=0,0,G164/E164)</f>
        <v>0</v>
      </c>
      <c r="I164" s="173" t="s">
        <v>257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244</v>
      </c>
      <c r="W164" s="211"/>
      <c r="X164" s="212">
        <f>SUM(X165:X165)</f>
        <v>0</v>
      </c>
      <c r="Y164" s="259" t="s">
        <v>243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>F165-E165</f>
        <v>0</v>
      </c>
      <c r="H165" s="31">
        <f>IF(E165=0,0,G165/E165)</f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74" t="s">
        <v>69</v>
      </c>
      <c r="W165" s="574"/>
      <c r="X165" s="129">
        <f>SUM(X166:X167)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229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230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255</v>
      </c>
      <c r="E168" s="189">
        <f>E169</f>
        <v>0</v>
      </c>
      <c r="F168" s="189">
        <f>F169</f>
        <v>0</v>
      </c>
      <c r="G168" s="190">
        <f>F168-E168</f>
        <v>0</v>
      </c>
      <c r="H168" s="191">
        <f>IF(E168=0,0,G168/E168)</f>
        <v>0</v>
      </c>
      <c r="I168" s="173" t="s">
        <v>258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244</v>
      </c>
      <c r="W168" s="211"/>
      <c r="X168" s="211">
        <f>SUM(X169:X169)</f>
        <v>0</v>
      </c>
      <c r="Y168" s="259" t="s">
        <v>243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0</v>
      </c>
      <c r="F169" s="40">
        <f>ROUND(X169/1000,0)</f>
        <v>0</v>
      </c>
      <c r="G169" s="30">
        <f>F169-E169</f>
        <v>0</v>
      </c>
      <c r="H169" s="31">
        <f>IF(E169=0,0,G169/E169)</f>
        <v>0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74" t="s">
        <v>69</v>
      </c>
      <c r="W169" s="57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227</v>
      </c>
      <c r="D170" s="38" t="s">
        <v>228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75" t="s">
        <v>249</v>
      </c>
      <c r="D172" s="576"/>
      <c r="E172" s="239">
        <f>SUM(E173,E194,E199)</f>
        <v>5584</v>
      </c>
      <c r="F172" s="239">
        <f>SUM(F173,F194,F199)</f>
        <v>6048</v>
      </c>
      <c r="G172" s="240">
        <f>F172-E172</f>
        <v>464</v>
      </c>
      <c r="H172" s="241">
        <f>IF(E172=0,0,G172/E172)</f>
        <v>8.3094555873925502E-2</v>
      </c>
      <c r="I172" s="242" t="s">
        <v>253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SUM(X173,X194,X199)</f>
        <v>6048000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255</v>
      </c>
      <c r="E173" s="189">
        <f>SUM(E174,E177,E181,E185)</f>
        <v>5052</v>
      </c>
      <c r="F173" s="189">
        <f>SUM(F174,F177,F181,F185)</f>
        <v>5452</v>
      </c>
      <c r="G173" s="190">
        <f>F173-E173</f>
        <v>400</v>
      </c>
      <c r="H173" s="191">
        <f>IF(E173=0,0,G173/E173)</f>
        <v>7.9176563737133804E-2</v>
      </c>
      <c r="I173" s="173" t="s">
        <v>259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244</v>
      </c>
      <c r="W173" s="211"/>
      <c r="X173" s="212">
        <f>SUM(X174,X177,X181,X185)</f>
        <v>5452000</v>
      </c>
      <c r="Y173" s="259" t="s">
        <v>243</v>
      </c>
    </row>
    <row r="174" spans="1:27" ht="21" customHeight="1">
      <c r="A174" s="37"/>
      <c r="B174" s="38"/>
      <c r="C174" s="38" t="s">
        <v>172</v>
      </c>
      <c r="D174" s="28" t="s">
        <v>233</v>
      </c>
      <c r="E174" s="29">
        <v>3866</v>
      </c>
      <c r="F174" s="40">
        <f>ROUND(X174/1000,0)</f>
        <v>3883</v>
      </c>
      <c r="G174" s="30">
        <f>F174-E174</f>
        <v>17</v>
      </c>
      <c r="H174" s="31">
        <f>IF(E174=0,0,G174/E174)</f>
        <v>4.3973098810139678E-3</v>
      </c>
      <c r="I174" s="127" t="s">
        <v>232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74" t="s">
        <v>69</v>
      </c>
      <c r="W174" s="574"/>
      <c r="X174" s="129">
        <f>ROUNDUP(SUM(W175:X176),-3)</f>
        <v>3883000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4" t="s">
        <v>280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28">
        <v>3882521</v>
      </c>
      <c r="Y175" s="47" t="s">
        <v>230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5" t="s">
        <v>281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230</v>
      </c>
    </row>
    <row r="177" spans="1:27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>F177-E177</f>
        <v>0</v>
      </c>
      <c r="H177" s="31">
        <f>IF(E177=0,0,G177/E177)</f>
        <v>0</v>
      </c>
      <c r="I177" s="127" t="s">
        <v>234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74" t="s">
        <v>69</v>
      </c>
      <c r="W177" s="574"/>
      <c r="X177" s="129">
        <f>ROUNDUP(SUM(W178:X179),-3)</f>
        <v>0</v>
      </c>
      <c r="Y177" s="130" t="s">
        <v>56</v>
      </c>
    </row>
    <row r="178" spans="1:27" ht="21" customHeight="1">
      <c r="A178" s="37"/>
      <c r="B178" s="38"/>
      <c r="C178" s="38"/>
      <c r="D178" s="38"/>
      <c r="E178" s="40"/>
      <c r="F178" s="40"/>
      <c r="G178" s="41"/>
      <c r="H178" s="25"/>
      <c r="I178" s="284" t="s">
        <v>282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230</v>
      </c>
    </row>
    <row r="179" spans="1:27" ht="21" customHeight="1">
      <c r="A179" s="37"/>
      <c r="B179" s="38"/>
      <c r="C179" s="38"/>
      <c r="D179" s="38"/>
      <c r="E179" s="40"/>
      <c r="F179" s="40"/>
      <c r="G179" s="41"/>
      <c r="H179" s="25"/>
      <c r="I179" s="284" t="s">
        <v>283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230</v>
      </c>
    </row>
    <row r="180" spans="1:27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7" ht="21" customHeight="1">
      <c r="A181" s="37"/>
      <c r="B181" s="38"/>
      <c r="C181" s="38"/>
      <c r="D181" s="28" t="s">
        <v>236</v>
      </c>
      <c r="E181" s="29">
        <v>0</v>
      </c>
      <c r="F181" s="29">
        <f>ROUND(X181/1000,0)</f>
        <v>0</v>
      </c>
      <c r="G181" s="30">
        <f>F181-E181</f>
        <v>0</v>
      </c>
      <c r="H181" s="31">
        <f>IF(E181=0,0,G181/E181)</f>
        <v>0</v>
      </c>
      <c r="I181" s="127" t="s">
        <v>237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74" t="s">
        <v>69</v>
      </c>
      <c r="W181" s="574"/>
      <c r="X181" s="129">
        <f>ROUNDUP(SUM(W182:X183),-3)</f>
        <v>0</v>
      </c>
      <c r="Y181" s="130" t="s">
        <v>56</v>
      </c>
    </row>
    <row r="182" spans="1:27" ht="21" customHeight="1">
      <c r="A182" s="37"/>
      <c r="B182" s="38"/>
      <c r="C182" s="38"/>
      <c r="D182" s="38"/>
      <c r="E182" s="40"/>
      <c r="F182" s="40"/>
      <c r="G182" s="41"/>
      <c r="H182" s="25"/>
      <c r="I182" s="284" t="s">
        <v>550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28">
        <v>0</v>
      </c>
      <c r="Y182" s="47" t="s">
        <v>230</v>
      </c>
    </row>
    <row r="183" spans="1:27" ht="21" customHeight="1">
      <c r="A183" s="37"/>
      <c r="B183" s="38"/>
      <c r="C183" s="38"/>
      <c r="D183" s="38"/>
      <c r="E183" s="40"/>
      <c r="F183" s="40"/>
      <c r="G183" s="41"/>
      <c r="H183" s="25"/>
      <c r="I183" s="284" t="s">
        <v>284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230</v>
      </c>
    </row>
    <row r="184" spans="1:27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7" ht="21" customHeight="1">
      <c r="A185" s="37"/>
      <c r="B185" s="38"/>
      <c r="C185" s="38"/>
      <c r="D185" s="38" t="s">
        <v>235</v>
      </c>
      <c r="E185" s="40">
        <v>1186</v>
      </c>
      <c r="F185" s="29">
        <f>ROUND(X185/1000,0)</f>
        <v>1569</v>
      </c>
      <c r="G185" s="30">
        <f>F185-E185</f>
        <v>383</v>
      </c>
      <c r="H185" s="31">
        <f>IF(E185=0,0,G185/E185)</f>
        <v>0.32293423271500843</v>
      </c>
      <c r="I185" s="127" t="s">
        <v>239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74" t="s">
        <v>69</v>
      </c>
      <c r="W185" s="574"/>
      <c r="X185" s="129">
        <f>ROUNDUP(SUM(W186:X193),-3)</f>
        <v>1569000</v>
      </c>
      <c r="Y185" s="130" t="s">
        <v>56</v>
      </c>
    </row>
    <row r="186" spans="1:27" ht="21" customHeight="1">
      <c r="A186" s="37"/>
      <c r="B186" s="38"/>
      <c r="C186" s="38"/>
      <c r="D186" s="38"/>
      <c r="E186" s="40"/>
      <c r="F186" s="40"/>
      <c r="G186" s="41"/>
      <c r="H186" s="25"/>
      <c r="I186" s="284" t="s">
        <v>285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29">
        <v>1518344</v>
      </c>
      <c r="Y186" s="47" t="s">
        <v>230</v>
      </c>
    </row>
    <row r="187" spans="1:27" ht="21" customHeight="1">
      <c r="A187" s="37"/>
      <c r="B187" s="38"/>
      <c r="C187" s="38"/>
      <c r="D187" s="38"/>
      <c r="E187" s="40"/>
      <c r="F187" s="40"/>
      <c r="G187" s="41"/>
      <c r="H187" s="25"/>
      <c r="I187" s="57" t="s">
        <v>541</v>
      </c>
      <c r="J187" s="292"/>
      <c r="K187" s="291"/>
      <c r="L187" s="291"/>
      <c r="M187" s="291"/>
      <c r="N187" s="291"/>
      <c r="O187" s="291"/>
      <c r="P187" s="291"/>
      <c r="Q187" s="44"/>
      <c r="R187" s="44"/>
      <c r="S187" s="44"/>
      <c r="T187" s="291"/>
      <c r="U187" s="291"/>
      <c r="V187" s="291"/>
      <c r="W187" s="58"/>
      <c r="X187" s="58">
        <v>4000</v>
      </c>
      <c r="Y187" s="47" t="s">
        <v>56</v>
      </c>
      <c r="Z187" s="547">
        <v>3780</v>
      </c>
      <c r="AA187" s="291" t="s">
        <v>56</v>
      </c>
    </row>
    <row r="188" spans="1:27" ht="21" customHeight="1">
      <c r="A188" s="37"/>
      <c r="B188" s="38"/>
      <c r="C188" s="38"/>
      <c r="D188" s="38"/>
      <c r="E188" s="40"/>
      <c r="F188" s="40"/>
      <c r="G188" s="41"/>
      <c r="H188" s="25"/>
      <c r="I188" s="57" t="s">
        <v>542</v>
      </c>
      <c r="J188" s="292"/>
      <c r="K188" s="291"/>
      <c r="L188" s="291"/>
      <c r="M188" s="291"/>
      <c r="N188" s="291"/>
      <c r="O188" s="291"/>
      <c r="P188" s="291"/>
      <c r="Q188" s="44"/>
      <c r="R188" s="44"/>
      <c r="S188" s="44"/>
      <c r="T188" s="291"/>
      <c r="U188" s="291"/>
      <c r="V188" s="291"/>
      <c r="W188" s="58"/>
      <c r="X188" s="58">
        <v>1000</v>
      </c>
      <c r="Y188" s="47" t="s">
        <v>56</v>
      </c>
      <c r="Z188" s="547">
        <v>37</v>
      </c>
      <c r="AA188" s="291" t="s">
        <v>56</v>
      </c>
    </row>
    <row r="189" spans="1:27" ht="21" customHeight="1">
      <c r="A189" s="37"/>
      <c r="B189" s="38"/>
      <c r="C189" s="38"/>
      <c r="D189" s="38"/>
      <c r="E189" s="40"/>
      <c r="F189" s="40"/>
      <c r="G189" s="41"/>
      <c r="H189" s="25"/>
      <c r="I189" s="57" t="s">
        <v>543</v>
      </c>
      <c r="J189" s="292"/>
      <c r="K189" s="291"/>
      <c r="L189" s="291"/>
      <c r="M189" s="291"/>
      <c r="N189" s="291"/>
      <c r="O189" s="291"/>
      <c r="P189" s="291"/>
      <c r="Q189" s="44"/>
      <c r="R189" s="44"/>
      <c r="S189" s="44"/>
      <c r="T189" s="291"/>
      <c r="U189" s="291"/>
      <c r="V189" s="291"/>
      <c r="W189" s="58"/>
      <c r="X189" s="58">
        <v>2000</v>
      </c>
      <c r="Y189" s="47" t="s">
        <v>56</v>
      </c>
      <c r="Z189" s="547">
        <v>1086</v>
      </c>
      <c r="AA189" s="291" t="s">
        <v>56</v>
      </c>
    </row>
    <row r="190" spans="1:27" ht="21" customHeight="1">
      <c r="A190" s="37"/>
      <c r="B190" s="38"/>
      <c r="C190" s="38"/>
      <c r="D190" s="38"/>
      <c r="E190" s="40"/>
      <c r="F190" s="40"/>
      <c r="G190" s="41"/>
      <c r="H190" s="25"/>
      <c r="I190" s="57" t="s">
        <v>544</v>
      </c>
      <c r="J190" s="292"/>
      <c r="K190" s="291"/>
      <c r="L190" s="291"/>
      <c r="M190" s="291"/>
      <c r="N190" s="291"/>
      <c r="O190" s="291"/>
      <c r="P190" s="291"/>
      <c r="Q190" s="44"/>
      <c r="R190" s="44"/>
      <c r="S190" s="44"/>
      <c r="T190" s="291"/>
      <c r="U190" s="291"/>
      <c r="V190" s="291"/>
      <c r="W190" s="58"/>
      <c r="X190" s="58">
        <v>1000</v>
      </c>
      <c r="Y190" s="47" t="s">
        <v>56</v>
      </c>
      <c r="Z190" s="547">
        <v>415</v>
      </c>
      <c r="AA190" s="291" t="s">
        <v>56</v>
      </c>
    </row>
    <row r="191" spans="1:27" ht="21" customHeight="1">
      <c r="A191" s="37"/>
      <c r="B191" s="38"/>
      <c r="C191" s="38"/>
      <c r="D191" s="38"/>
      <c r="E191" s="40"/>
      <c r="F191" s="40"/>
      <c r="G191" s="41"/>
      <c r="H191" s="25"/>
      <c r="I191" s="546" t="s">
        <v>545</v>
      </c>
      <c r="J191" s="498"/>
      <c r="K191" s="502"/>
      <c r="L191" s="502"/>
      <c r="M191" s="502"/>
      <c r="N191" s="502"/>
      <c r="O191" s="502"/>
      <c r="P191" s="502"/>
      <c r="Q191" s="502"/>
      <c r="R191" s="502"/>
      <c r="S191" s="502"/>
      <c r="T191" s="502"/>
      <c r="U191" s="502"/>
      <c r="V191" s="502"/>
      <c r="W191" s="506"/>
      <c r="X191" s="506">
        <v>39000</v>
      </c>
      <c r="Y191" s="501" t="s">
        <v>56</v>
      </c>
      <c r="Z191" s="547">
        <v>38565</v>
      </c>
      <c r="AA191" s="291" t="s">
        <v>56</v>
      </c>
    </row>
    <row r="192" spans="1:27" ht="21" customHeight="1">
      <c r="A192" s="37"/>
      <c r="B192" s="38"/>
      <c r="C192" s="38"/>
      <c r="D192" s="38"/>
      <c r="E192" s="40"/>
      <c r="F192" s="40"/>
      <c r="G192" s="41"/>
      <c r="H192" s="25"/>
      <c r="I192" s="546" t="s">
        <v>546</v>
      </c>
      <c r="J192" s="498"/>
      <c r="K192" s="502"/>
      <c r="L192" s="502"/>
      <c r="M192" s="502"/>
      <c r="N192" s="502"/>
      <c r="O192" s="502"/>
      <c r="P192" s="502"/>
      <c r="Q192" s="502"/>
      <c r="R192" s="502"/>
      <c r="S192" s="502"/>
      <c r="T192" s="502"/>
      <c r="U192" s="502"/>
      <c r="V192" s="502"/>
      <c r="W192" s="506"/>
      <c r="X192" s="506">
        <v>3000</v>
      </c>
      <c r="Y192" s="501" t="s">
        <v>25</v>
      </c>
      <c r="Z192" s="547">
        <v>2894</v>
      </c>
      <c r="AA192" s="291" t="s">
        <v>56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25"/>
      <c r="I193" s="546" t="s">
        <v>547</v>
      </c>
      <c r="J193" s="498"/>
      <c r="K193" s="502"/>
      <c r="L193" s="502"/>
      <c r="M193" s="502"/>
      <c r="N193" s="502"/>
      <c r="O193" s="502"/>
      <c r="P193" s="502"/>
      <c r="Q193" s="502"/>
      <c r="R193" s="502"/>
      <c r="S193" s="502"/>
      <c r="T193" s="502"/>
      <c r="U193" s="502"/>
      <c r="V193" s="502"/>
      <c r="W193" s="506"/>
      <c r="X193" s="506">
        <v>0</v>
      </c>
      <c r="Y193" s="501" t="s">
        <v>56</v>
      </c>
      <c r="Z193" s="547">
        <v>0</v>
      </c>
      <c r="AA193" s="291" t="s">
        <v>56</v>
      </c>
    </row>
    <row r="194" spans="1:47" ht="21" customHeight="1">
      <c r="A194" s="37"/>
      <c r="B194" s="38"/>
      <c r="C194" s="28" t="s">
        <v>171</v>
      </c>
      <c r="D194" s="256" t="s">
        <v>109</v>
      </c>
      <c r="E194" s="189">
        <f>E195</f>
        <v>532</v>
      </c>
      <c r="F194" s="189">
        <f>F195</f>
        <v>596</v>
      </c>
      <c r="G194" s="190">
        <f>F194-E194</f>
        <v>64</v>
      </c>
      <c r="H194" s="191">
        <f>IF(E194=0,0,G194/E194)</f>
        <v>0.12030075187969924</v>
      </c>
      <c r="I194" s="173" t="s">
        <v>175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X195</f>
        <v>596000</v>
      </c>
      <c r="Y194" s="259" t="s">
        <v>56</v>
      </c>
    </row>
    <row r="195" spans="1:47" ht="21" customHeight="1">
      <c r="A195" s="37"/>
      <c r="B195" s="38"/>
      <c r="C195" s="38" t="s">
        <v>172</v>
      </c>
      <c r="D195" s="38" t="s">
        <v>174</v>
      </c>
      <c r="E195" s="40">
        <v>532</v>
      </c>
      <c r="F195" s="40">
        <f>ROUND(X195/1000,0)</f>
        <v>596</v>
      </c>
      <c r="G195" s="30">
        <f>F195-E195</f>
        <v>64</v>
      </c>
      <c r="H195" s="31">
        <f>IF(E195=0,0,G195/E195)</f>
        <v>0.12030075187969924</v>
      </c>
      <c r="I195" s="286" t="s">
        <v>286</v>
      </c>
      <c r="J195" s="13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574"/>
      <c r="W195" s="574"/>
      <c r="X195" s="129">
        <f>ROUNDUP(SUM(W196:X198),-3)+1000</f>
        <v>596000</v>
      </c>
      <c r="Y195" s="130" t="s">
        <v>56</v>
      </c>
    </row>
    <row r="196" spans="1:47" ht="21" customHeight="1">
      <c r="A196" s="37"/>
      <c r="B196" s="38"/>
      <c r="C196" s="38" t="s">
        <v>167</v>
      </c>
      <c r="D196" s="38" t="s">
        <v>168</v>
      </c>
      <c r="E196" s="40"/>
      <c r="F196" s="40"/>
      <c r="G196" s="41"/>
      <c r="H196" s="60"/>
      <c r="I196" s="284" t="s">
        <v>308</v>
      </c>
      <c r="J196" s="197"/>
      <c r="K196" s="196"/>
      <c r="L196" s="196"/>
      <c r="M196" s="196"/>
      <c r="N196" s="196"/>
      <c r="O196" s="196"/>
      <c r="P196" s="196"/>
      <c r="Q196" s="44"/>
      <c r="R196" s="44"/>
      <c r="S196" s="44"/>
      <c r="T196" s="196"/>
      <c r="U196" s="196"/>
      <c r="V196" s="196"/>
      <c r="W196" s="58"/>
      <c r="X196" s="428">
        <v>594093</v>
      </c>
      <c r="Y196" s="47" t="s">
        <v>104</v>
      </c>
    </row>
    <row r="197" spans="1:47" ht="21" customHeight="1">
      <c r="A197" s="37"/>
      <c r="B197" s="38"/>
      <c r="C197" s="38"/>
      <c r="D197" s="38"/>
      <c r="E197" s="40"/>
      <c r="F197" s="40"/>
      <c r="G197" s="41"/>
      <c r="H197" s="60"/>
      <c r="I197" s="284" t="s">
        <v>309</v>
      </c>
      <c r="J197" s="292"/>
      <c r="K197" s="291"/>
      <c r="L197" s="291"/>
      <c r="M197" s="291"/>
      <c r="N197" s="291"/>
      <c r="O197" s="291"/>
      <c r="P197" s="291"/>
      <c r="Q197" s="44"/>
      <c r="R197" s="44"/>
      <c r="S197" s="44"/>
      <c r="T197" s="291"/>
      <c r="U197" s="291"/>
      <c r="V197" s="291"/>
      <c r="W197" s="58"/>
      <c r="X197" s="58">
        <v>0</v>
      </c>
      <c r="Y197" s="47" t="s">
        <v>104</v>
      </c>
    </row>
    <row r="198" spans="1:47" ht="21" customHeight="1">
      <c r="A198" s="37"/>
      <c r="B198" s="38"/>
      <c r="C198" s="38"/>
      <c r="D198" s="38"/>
      <c r="E198" s="40"/>
      <c r="F198" s="40"/>
      <c r="G198" s="41"/>
      <c r="H198" s="60"/>
      <c r="I198" s="284" t="s">
        <v>550</v>
      </c>
      <c r="J198" s="197"/>
      <c r="K198" s="196"/>
      <c r="L198" s="196"/>
      <c r="M198" s="196"/>
      <c r="N198" s="196"/>
      <c r="O198" s="196"/>
      <c r="P198" s="196"/>
      <c r="Q198" s="44"/>
      <c r="R198" s="44"/>
      <c r="S198" s="44"/>
      <c r="T198" s="196"/>
      <c r="U198" s="196"/>
      <c r="V198" s="196"/>
      <c r="W198" s="58"/>
      <c r="X198" s="58">
        <v>37</v>
      </c>
      <c r="Y198" s="47" t="s">
        <v>56</v>
      </c>
    </row>
    <row r="199" spans="1:47" ht="21" customHeight="1">
      <c r="A199" s="37"/>
      <c r="B199" s="38"/>
      <c r="C199" s="28" t="s">
        <v>176</v>
      </c>
      <c r="D199" s="256" t="s">
        <v>109</v>
      </c>
      <c r="E199" s="189">
        <f>E200</f>
        <v>0</v>
      </c>
      <c r="F199" s="189">
        <f>F200</f>
        <v>0</v>
      </c>
      <c r="G199" s="190">
        <f>F199-E199</f>
        <v>0</v>
      </c>
      <c r="H199" s="191">
        <f>IF(E199=0,0,G199/E199)</f>
        <v>0</v>
      </c>
      <c r="I199" s="173" t="s">
        <v>179</v>
      </c>
      <c r="J199" s="174"/>
      <c r="K199" s="175"/>
      <c r="L199" s="175"/>
      <c r="M199" s="175"/>
      <c r="N199" s="175"/>
      <c r="O199" s="175"/>
      <c r="P199" s="176"/>
      <c r="Q199" s="176"/>
      <c r="R199" s="176"/>
      <c r="S199" s="176"/>
      <c r="T199" s="176"/>
      <c r="U199" s="176"/>
      <c r="V199" s="210" t="s">
        <v>69</v>
      </c>
      <c r="W199" s="211"/>
      <c r="X199" s="211">
        <f>ROUND(SUM(W200:X201),-3)</f>
        <v>0</v>
      </c>
      <c r="Y199" s="259" t="s">
        <v>56</v>
      </c>
    </row>
    <row r="200" spans="1:47" ht="21" customHeight="1">
      <c r="A200" s="37"/>
      <c r="B200" s="38"/>
      <c r="C200" s="38" t="s">
        <v>177</v>
      </c>
      <c r="D200" s="38" t="s">
        <v>178</v>
      </c>
      <c r="E200" s="40">
        <v>0</v>
      </c>
      <c r="F200" s="40">
        <f>ROUND(X200/1000,0)</f>
        <v>0</v>
      </c>
      <c r="G200" s="30">
        <f>F200-E200</f>
        <v>0</v>
      </c>
      <c r="H200" s="31">
        <f>IF(E200=0,0,G200/E200)</f>
        <v>0</v>
      </c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</row>
    <row r="201" spans="1:47" ht="21" customHeight="1">
      <c r="A201" s="48"/>
      <c r="B201" s="49"/>
      <c r="C201" s="49"/>
      <c r="D201" s="49"/>
      <c r="E201" s="51"/>
      <c r="F201" s="51"/>
      <c r="G201" s="52"/>
      <c r="H201" s="75"/>
      <c r="I201" s="61"/>
      <c r="J201" s="199"/>
      <c r="K201" s="198"/>
      <c r="L201" s="198"/>
      <c r="M201" s="198"/>
      <c r="N201" s="198"/>
      <c r="O201" s="198"/>
      <c r="P201" s="198"/>
      <c r="Q201" s="117"/>
      <c r="R201" s="117"/>
      <c r="S201" s="117"/>
      <c r="T201" s="198"/>
      <c r="U201" s="198"/>
      <c r="V201" s="198"/>
      <c r="W201" s="62"/>
      <c r="X201" s="62">
        <v>0</v>
      </c>
      <c r="Y201" s="63" t="s">
        <v>56</v>
      </c>
    </row>
    <row r="202" spans="1:47" s="4" customFormat="1" ht="21" customHeight="1">
      <c r="A202" s="37" t="s">
        <v>74</v>
      </c>
      <c r="B202" s="78" t="s">
        <v>16</v>
      </c>
      <c r="C202" s="575" t="s">
        <v>249</v>
      </c>
      <c r="D202" s="576"/>
      <c r="E202" s="239">
        <f>SUM(E203,E206,E215)</f>
        <v>2434</v>
      </c>
      <c r="F202" s="239">
        <f>SUM(F203,F206,F215)</f>
        <v>2096</v>
      </c>
      <c r="G202" s="240">
        <f>F202-E202</f>
        <v>-338</v>
      </c>
      <c r="H202" s="241">
        <f>IF(E202=0,0,G202/E202)</f>
        <v>-0.13886606409202959</v>
      </c>
      <c r="I202" s="242" t="s">
        <v>254</v>
      </c>
      <c r="J202" s="243"/>
      <c r="K202" s="244"/>
      <c r="L202" s="244"/>
      <c r="M202" s="243"/>
      <c r="N202" s="243"/>
      <c r="O202" s="243"/>
      <c r="P202" s="243"/>
      <c r="Q202" s="243" t="s">
        <v>64</v>
      </c>
      <c r="R202" s="245"/>
      <c r="S202" s="245"/>
      <c r="T202" s="245"/>
      <c r="U202" s="245"/>
      <c r="V202" s="245"/>
      <c r="W202" s="245"/>
      <c r="X202" s="255">
        <f>SUM(X203,X206,X215)</f>
        <v>2096000</v>
      </c>
      <c r="Y202" s="263" t="s">
        <v>243</v>
      </c>
      <c r="Z202" s="247"/>
      <c r="AA202" s="248"/>
      <c r="AB202" s="248"/>
      <c r="AC202" s="249"/>
      <c r="AD202" s="250"/>
      <c r="AE202" s="251"/>
      <c r="AF202" s="252"/>
      <c r="AG202" s="253"/>
      <c r="AH202" s="253"/>
      <c r="AI202" s="252"/>
      <c r="AJ202" s="252"/>
      <c r="AK202" s="252"/>
      <c r="AL202" s="252"/>
      <c r="AM202" s="252"/>
      <c r="AN202" s="251"/>
      <c r="AO202" s="251"/>
      <c r="AP202" s="251"/>
      <c r="AQ202" s="251"/>
      <c r="AR202" s="251"/>
      <c r="AS202" s="251"/>
      <c r="AT202" s="254"/>
      <c r="AU202" s="252"/>
    </row>
    <row r="203" spans="1:47" ht="21" customHeight="1">
      <c r="A203" s="37"/>
      <c r="B203" s="84"/>
      <c r="C203" s="28" t="s">
        <v>180</v>
      </c>
      <c r="D203" s="256" t="s">
        <v>109</v>
      </c>
      <c r="E203" s="189">
        <f>E204</f>
        <v>0</v>
      </c>
      <c r="F203" s="189">
        <f>F204</f>
        <v>0</v>
      </c>
      <c r="G203" s="190">
        <f>F203-E203</f>
        <v>0</v>
      </c>
      <c r="H203" s="191">
        <f>IF(E203=0,0,G203/E203)</f>
        <v>0</v>
      </c>
      <c r="I203" s="173" t="s">
        <v>189</v>
      </c>
      <c r="J203" s="174"/>
      <c r="K203" s="175"/>
      <c r="L203" s="175"/>
      <c r="M203" s="175"/>
      <c r="N203" s="175"/>
      <c r="O203" s="175"/>
      <c r="P203" s="176"/>
      <c r="Q203" s="176"/>
      <c r="R203" s="176"/>
      <c r="S203" s="176"/>
      <c r="T203" s="176"/>
      <c r="U203" s="176"/>
      <c r="V203" s="210" t="s">
        <v>69</v>
      </c>
      <c r="W203" s="211"/>
      <c r="X203" s="212">
        <f>SUM(X204:X204)</f>
        <v>0</v>
      </c>
      <c r="Y203" s="259" t="s">
        <v>56</v>
      </c>
    </row>
    <row r="204" spans="1:47" s="11" customFormat="1" ht="19.5" customHeight="1">
      <c r="A204" s="50"/>
      <c r="B204" s="86"/>
      <c r="C204" s="38" t="s">
        <v>181</v>
      </c>
      <c r="D204" s="28" t="s">
        <v>182</v>
      </c>
      <c r="E204" s="29">
        <v>0</v>
      </c>
      <c r="F204" s="40">
        <f>ROUND(X204/1000,0)</f>
        <v>0</v>
      </c>
      <c r="G204" s="30">
        <f>F204-E204</f>
        <v>0</v>
      </c>
      <c r="H204" s="31">
        <f>IF(E204=0,0,G204/E204)</f>
        <v>0</v>
      </c>
      <c r="I204" s="127" t="s">
        <v>189</v>
      </c>
      <c r="J204" s="139"/>
      <c r="K204" s="79"/>
      <c r="L204" s="79"/>
      <c r="M204" s="79"/>
      <c r="N204" s="79"/>
      <c r="O204" s="79"/>
      <c r="P204" s="79"/>
      <c r="Q204" s="79"/>
      <c r="R204" s="79"/>
      <c r="S204" s="79"/>
      <c r="T204" s="79"/>
      <c r="U204" s="79"/>
      <c r="V204" s="574" t="s">
        <v>69</v>
      </c>
      <c r="W204" s="574"/>
      <c r="X204" s="129">
        <f>SUM(X205:X205)</f>
        <v>0</v>
      </c>
      <c r="Y204" s="130" t="s">
        <v>56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25"/>
      <c r="I205" s="57"/>
      <c r="J205" s="197"/>
      <c r="K205" s="196"/>
      <c r="L205" s="196"/>
      <c r="M205" s="196"/>
      <c r="N205" s="229"/>
      <c r="O205" s="64"/>
      <c r="P205" s="59"/>
      <c r="Q205" s="64"/>
      <c r="R205" s="71"/>
      <c r="S205" s="65"/>
      <c r="T205" s="65"/>
      <c r="U205" s="229"/>
      <c r="V205" s="196"/>
      <c r="W205" s="58"/>
      <c r="X205" s="58">
        <f>M205*P205</f>
        <v>0</v>
      </c>
      <c r="Y205" s="47" t="s">
        <v>56</v>
      </c>
      <c r="Z205" s="6"/>
    </row>
    <row r="206" spans="1:47" s="11" customFormat="1" ht="19.5" customHeight="1">
      <c r="A206" s="50"/>
      <c r="B206" s="80"/>
      <c r="C206" s="28" t="s">
        <v>183</v>
      </c>
      <c r="D206" s="256" t="s">
        <v>109</v>
      </c>
      <c r="E206" s="189">
        <f>E207</f>
        <v>29</v>
      </c>
      <c r="F206" s="189">
        <f>F207</f>
        <v>30</v>
      </c>
      <c r="G206" s="190">
        <f>F206-E206</f>
        <v>1</v>
      </c>
      <c r="H206" s="191">
        <f>IF(E206=0,0,G206/E206)</f>
        <v>3.4482758620689655E-2</v>
      </c>
      <c r="I206" s="173" t="s">
        <v>190</v>
      </c>
      <c r="J206" s="174"/>
      <c r="K206" s="175"/>
      <c r="L206" s="175"/>
      <c r="M206" s="175"/>
      <c r="N206" s="175"/>
      <c r="O206" s="175"/>
      <c r="P206" s="176"/>
      <c r="Q206" s="176"/>
      <c r="R206" s="176"/>
      <c r="S206" s="176"/>
      <c r="T206" s="176"/>
      <c r="U206" s="176"/>
      <c r="V206" s="210" t="s">
        <v>69</v>
      </c>
      <c r="W206" s="211"/>
      <c r="X206" s="211">
        <f>SUM(X207:X207)</f>
        <v>30000</v>
      </c>
      <c r="Y206" s="259" t="s">
        <v>56</v>
      </c>
      <c r="Z206" s="6"/>
    </row>
    <row r="207" spans="1:47" s="11" customFormat="1" ht="19.5" customHeight="1">
      <c r="A207" s="50"/>
      <c r="B207" s="80"/>
      <c r="C207" s="38" t="s">
        <v>184</v>
      </c>
      <c r="D207" s="38" t="s">
        <v>185</v>
      </c>
      <c r="E207" s="40">
        <v>29</v>
      </c>
      <c r="F207" s="40">
        <f>ROUND(X207/1000,0)</f>
        <v>30</v>
      </c>
      <c r="G207" s="30">
        <f>F207-E207</f>
        <v>1</v>
      </c>
      <c r="H207" s="31">
        <f>IF(E207=0,0,G207/E207)</f>
        <v>3.4482758620689655E-2</v>
      </c>
      <c r="I207" s="127" t="s">
        <v>241</v>
      </c>
      <c r="J207" s="13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574"/>
      <c r="W207" s="574"/>
      <c r="X207" s="129">
        <f>ROUND(SUM(W208:X213),-3)</f>
        <v>30000</v>
      </c>
      <c r="Y207" s="130" t="s">
        <v>56</v>
      </c>
      <c r="Z207" s="6"/>
    </row>
    <row r="208" spans="1:47" s="11" customFormat="1" ht="19.5" customHeight="1">
      <c r="A208" s="50"/>
      <c r="B208" s="80"/>
      <c r="C208" s="38" t="s">
        <v>130</v>
      </c>
      <c r="D208" s="38" t="s">
        <v>186</v>
      </c>
      <c r="E208" s="40"/>
      <c r="F208" s="40"/>
      <c r="G208" s="41"/>
      <c r="H208" s="60"/>
      <c r="I208" s="57" t="s">
        <v>312</v>
      </c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>
        <v>20000</v>
      </c>
      <c r="Y208" s="47" t="s">
        <v>56</v>
      </c>
      <c r="Z208" s="6"/>
    </row>
    <row r="209" spans="1:26" s="11" customFormat="1" ht="19.5" customHeight="1">
      <c r="A209" s="50"/>
      <c r="B209" s="80"/>
      <c r="C209" s="38"/>
      <c r="D209" s="38"/>
      <c r="E209" s="40"/>
      <c r="F209" s="40"/>
      <c r="G209" s="41"/>
      <c r="H209" s="60"/>
      <c r="I209" s="277" t="s">
        <v>500</v>
      </c>
      <c r="J209" s="274"/>
      <c r="K209" s="270"/>
      <c r="L209" s="270"/>
      <c r="M209" s="270"/>
      <c r="N209" s="270"/>
      <c r="O209" s="270"/>
      <c r="P209" s="270"/>
      <c r="Q209" s="364"/>
      <c r="R209" s="364"/>
      <c r="S209" s="364"/>
      <c r="T209" s="270"/>
      <c r="U209" s="270"/>
      <c r="V209" s="270"/>
      <c r="W209" s="275"/>
      <c r="X209" s="275">
        <v>2000</v>
      </c>
      <c r="Y209" s="299" t="s">
        <v>56</v>
      </c>
      <c r="Z209" s="6"/>
    </row>
    <row r="210" spans="1:26" s="11" customFormat="1" ht="19.5" customHeight="1">
      <c r="A210" s="50"/>
      <c r="B210" s="80"/>
      <c r="C210" s="38"/>
      <c r="D210" s="38"/>
      <c r="E210" s="40"/>
      <c r="F210" s="40"/>
      <c r="G210" s="41"/>
      <c r="H210" s="60"/>
      <c r="I210" s="57" t="s">
        <v>231</v>
      </c>
      <c r="J210" s="197"/>
      <c r="K210" s="196"/>
      <c r="L210" s="196"/>
      <c r="M210" s="196"/>
      <c r="N210" s="196"/>
      <c r="O210" s="196"/>
      <c r="P210" s="196"/>
      <c r="Q210" s="44"/>
      <c r="R210" s="44"/>
      <c r="S210" s="44"/>
      <c r="T210" s="196"/>
      <c r="U210" s="196"/>
      <c r="V210" s="196"/>
      <c r="W210" s="58"/>
      <c r="X210" s="58">
        <v>5000</v>
      </c>
      <c r="Y210" s="47" t="s">
        <v>56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60"/>
      <c r="I211" s="57" t="s">
        <v>238</v>
      </c>
      <c r="J211" s="292"/>
      <c r="K211" s="291"/>
      <c r="L211" s="291"/>
      <c r="M211" s="291"/>
      <c r="N211" s="291"/>
      <c r="O211" s="291"/>
      <c r="P211" s="291"/>
      <c r="Q211" s="44"/>
      <c r="R211" s="44"/>
      <c r="S211" s="44"/>
      <c r="T211" s="291"/>
      <c r="U211" s="291"/>
      <c r="V211" s="291"/>
      <c r="W211" s="58"/>
      <c r="X211" s="58">
        <v>0</v>
      </c>
      <c r="Y211" s="47" t="s">
        <v>56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60"/>
      <c r="I212" s="57" t="s">
        <v>240</v>
      </c>
      <c r="J212" s="292"/>
      <c r="K212" s="291"/>
      <c r="L212" s="291"/>
      <c r="M212" s="291"/>
      <c r="N212" s="291"/>
      <c r="O212" s="291"/>
      <c r="P212" s="291"/>
      <c r="Q212" s="44"/>
      <c r="R212" s="44"/>
      <c r="S212" s="44"/>
      <c r="T212" s="291"/>
      <c r="U212" s="291"/>
      <c r="V212" s="291"/>
      <c r="W212" s="58"/>
      <c r="X212" s="58">
        <v>2000</v>
      </c>
      <c r="Y212" s="47" t="s">
        <v>56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60"/>
      <c r="I213" s="57" t="s">
        <v>540</v>
      </c>
      <c r="J213" s="292"/>
      <c r="K213" s="291"/>
      <c r="L213" s="291"/>
      <c r="M213" s="291"/>
      <c r="N213" s="291"/>
      <c r="O213" s="291"/>
      <c r="P213" s="291"/>
      <c r="Q213" s="44"/>
      <c r="R213" s="44"/>
      <c r="S213" s="44"/>
      <c r="T213" s="291"/>
      <c r="U213" s="291"/>
      <c r="V213" s="291"/>
      <c r="W213" s="58"/>
      <c r="X213" s="58">
        <v>1000</v>
      </c>
      <c r="Y213" s="47" t="s">
        <v>56</v>
      </c>
      <c r="Z213" s="6"/>
    </row>
    <row r="214" spans="1:26" s="11" customFormat="1" ht="19.5" customHeight="1">
      <c r="A214" s="50"/>
      <c r="B214" s="80"/>
      <c r="C214" s="38"/>
      <c r="D214" s="38"/>
      <c r="E214" s="40"/>
      <c r="F214" s="40"/>
      <c r="G214" s="41"/>
      <c r="H214" s="60"/>
      <c r="I214" s="57"/>
      <c r="J214" s="197"/>
      <c r="K214" s="196"/>
      <c r="L214" s="196"/>
      <c r="M214" s="196"/>
      <c r="N214" s="196"/>
      <c r="O214" s="196"/>
      <c r="P214" s="196"/>
      <c r="Q214" s="44"/>
      <c r="R214" s="44"/>
      <c r="S214" s="44"/>
      <c r="T214" s="196"/>
      <c r="U214" s="196"/>
      <c r="V214" s="196"/>
      <c r="W214" s="58"/>
      <c r="X214" s="58" t="s">
        <v>313</v>
      </c>
      <c r="Y214" s="47"/>
      <c r="Z214" s="6"/>
    </row>
    <row r="215" spans="1:26" s="11" customFormat="1" ht="19.5" customHeight="1">
      <c r="A215" s="50"/>
      <c r="B215" s="80"/>
      <c r="C215" s="28" t="s">
        <v>145</v>
      </c>
      <c r="D215" s="256" t="s">
        <v>255</v>
      </c>
      <c r="E215" s="189">
        <f>E216</f>
        <v>2405</v>
      </c>
      <c r="F215" s="189">
        <f>F216</f>
        <v>2066</v>
      </c>
      <c r="G215" s="190">
        <f>F215-E215</f>
        <v>-339</v>
      </c>
      <c r="H215" s="191">
        <f>IF(E215=0,0,G215/E215)</f>
        <v>-0.14095634095634096</v>
      </c>
      <c r="I215" s="173" t="s">
        <v>242</v>
      </c>
      <c r="J215" s="174"/>
      <c r="K215" s="175"/>
      <c r="L215" s="175"/>
      <c r="M215" s="175"/>
      <c r="N215" s="175"/>
      <c r="O215" s="175"/>
      <c r="P215" s="176"/>
      <c r="Q215" s="176"/>
      <c r="R215" s="176"/>
      <c r="S215" s="176"/>
      <c r="T215" s="176"/>
      <c r="U215" s="176"/>
      <c r="V215" s="210" t="s">
        <v>244</v>
      </c>
      <c r="W215" s="211"/>
      <c r="X215" s="211">
        <f>SUM(X216:X216)</f>
        <v>2066000</v>
      </c>
      <c r="Y215" s="259" t="s">
        <v>243</v>
      </c>
      <c r="Z215" s="6"/>
    </row>
    <row r="216" spans="1:26" s="11" customFormat="1" ht="19.5" customHeight="1">
      <c r="A216" s="50"/>
      <c r="B216" s="80"/>
      <c r="C216" s="38" t="s">
        <v>187</v>
      </c>
      <c r="D216" s="38" t="s">
        <v>188</v>
      </c>
      <c r="E216" s="40">
        <v>2405</v>
      </c>
      <c r="F216" s="40">
        <f>ROUND(X216/1000,0)</f>
        <v>2066</v>
      </c>
      <c r="G216" s="30">
        <f>F216-E216</f>
        <v>-339</v>
      </c>
      <c r="H216" s="31">
        <f>IF(E216=0,0,G216/E216)</f>
        <v>-0.14095634095634096</v>
      </c>
      <c r="I216" s="127" t="s">
        <v>242</v>
      </c>
      <c r="J216" s="13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574"/>
      <c r="W216" s="574"/>
      <c r="X216" s="129">
        <f>ROUND(SUM(W217:X223),-3)</f>
        <v>2066000</v>
      </c>
      <c r="Y216" s="130" t="s">
        <v>56</v>
      </c>
      <c r="Z216" s="6"/>
    </row>
    <row r="217" spans="1:26" s="11" customFormat="1" ht="19.5" customHeight="1">
      <c r="A217" s="50"/>
      <c r="B217" s="80"/>
      <c r="C217" s="38"/>
      <c r="D217" s="38"/>
      <c r="E217" s="40"/>
      <c r="F217" s="40"/>
      <c r="G217" s="41"/>
      <c r="H217" s="25"/>
      <c r="I217" s="495" t="s">
        <v>459</v>
      </c>
      <c r="J217" s="454"/>
      <c r="K217" s="453"/>
      <c r="L217" s="453"/>
      <c r="M217" s="453"/>
      <c r="N217" s="453"/>
      <c r="O217" s="453"/>
      <c r="P217" s="453"/>
      <c r="Q217" s="453"/>
      <c r="R217" s="453"/>
      <c r="S217" s="453"/>
      <c r="T217" s="453"/>
      <c r="U217" s="453"/>
      <c r="V217" s="453"/>
      <c r="W217" s="428"/>
      <c r="X217" s="428">
        <v>0</v>
      </c>
      <c r="Y217" s="459" t="s">
        <v>25</v>
      </c>
      <c r="Z217" s="6"/>
    </row>
    <row r="218" spans="1:26" s="11" customFormat="1" ht="19.5" customHeight="1">
      <c r="A218" s="50"/>
      <c r="B218" s="80"/>
      <c r="C218" s="38"/>
      <c r="D218" s="38"/>
      <c r="E218" s="40"/>
      <c r="F218" s="40"/>
      <c r="G218" s="41"/>
      <c r="H218" s="25"/>
      <c r="I218" s="472" t="s">
        <v>460</v>
      </c>
      <c r="J218" s="454"/>
      <c r="K218" s="453"/>
      <c r="L218" s="453"/>
      <c r="M218" s="453"/>
      <c r="N218" s="453"/>
      <c r="O218" s="453"/>
      <c r="P218" s="453"/>
      <c r="Q218" s="453"/>
      <c r="R218" s="453"/>
      <c r="S218" s="453"/>
      <c r="T218" s="453"/>
      <c r="U218" s="453"/>
      <c r="V218" s="453"/>
      <c r="W218" s="428"/>
      <c r="X218" s="428">
        <v>0</v>
      </c>
      <c r="Y218" s="459" t="s">
        <v>25</v>
      </c>
      <c r="Z218" s="6"/>
    </row>
    <row r="219" spans="1:26" s="11" customFormat="1" ht="19.5" customHeight="1">
      <c r="A219" s="50"/>
      <c r="B219" s="80"/>
      <c r="C219" s="38"/>
      <c r="D219" s="38"/>
      <c r="E219" s="40"/>
      <c r="F219" s="40"/>
      <c r="G219" s="41"/>
      <c r="H219" s="25"/>
      <c r="I219" s="472" t="s">
        <v>461</v>
      </c>
      <c r="J219" s="454"/>
      <c r="K219" s="453"/>
      <c r="L219" s="453"/>
      <c r="M219" s="453"/>
      <c r="N219" s="453"/>
      <c r="O219" s="453"/>
      <c r="P219" s="453"/>
      <c r="Q219" s="453"/>
      <c r="R219" s="453"/>
      <c r="S219" s="453"/>
      <c r="T219" s="453"/>
      <c r="U219" s="453"/>
      <c r="V219" s="453"/>
      <c r="W219" s="428"/>
      <c r="X219" s="428">
        <v>30000</v>
      </c>
      <c r="Y219" s="459" t="s">
        <v>25</v>
      </c>
      <c r="Z219" s="6"/>
    </row>
    <row r="220" spans="1:26" s="11" customFormat="1" ht="19.5" customHeight="1">
      <c r="A220" s="50"/>
      <c r="B220" s="80"/>
      <c r="C220" s="38"/>
      <c r="D220" s="38"/>
      <c r="E220" s="40"/>
      <c r="F220" s="40"/>
      <c r="G220" s="41"/>
      <c r="H220" s="25"/>
      <c r="I220" s="472" t="s">
        <v>462</v>
      </c>
      <c r="J220" s="454"/>
      <c r="K220" s="453"/>
      <c r="L220" s="453"/>
      <c r="M220" s="453"/>
      <c r="N220" s="453"/>
      <c r="O220" s="453"/>
      <c r="P220" s="453"/>
      <c r="Q220" s="453"/>
      <c r="R220" s="453"/>
      <c r="S220" s="453"/>
      <c r="T220" s="453"/>
      <c r="U220" s="453"/>
      <c r="V220" s="453"/>
      <c r="W220" s="428"/>
      <c r="X220" s="428">
        <v>5000</v>
      </c>
      <c r="Y220" s="459" t="s">
        <v>25</v>
      </c>
      <c r="Z220" s="6"/>
    </row>
    <row r="221" spans="1:26" s="11" customFormat="1" ht="19.5" customHeight="1">
      <c r="A221" s="50"/>
      <c r="B221" s="80"/>
      <c r="C221" s="38"/>
      <c r="D221" s="38"/>
      <c r="E221" s="40"/>
      <c r="F221" s="40"/>
      <c r="G221" s="41"/>
      <c r="H221" s="25"/>
      <c r="I221" s="472" t="s">
        <v>539</v>
      </c>
      <c r="J221" s="454"/>
      <c r="K221" s="453"/>
      <c r="L221" s="453"/>
      <c r="M221" s="453"/>
      <c r="N221" s="453"/>
      <c r="O221" s="453"/>
      <c r="P221" s="453"/>
      <c r="Q221" s="453"/>
      <c r="R221" s="453"/>
      <c r="S221" s="453"/>
      <c r="T221" s="453"/>
      <c r="U221" s="453"/>
      <c r="V221" s="453"/>
      <c r="W221" s="428"/>
      <c r="X221" s="428">
        <v>1000</v>
      </c>
      <c r="Y221" s="459" t="s">
        <v>25</v>
      </c>
      <c r="Z221" s="6"/>
    </row>
    <row r="222" spans="1:26" s="11" customFormat="1" ht="19.5" customHeight="1">
      <c r="A222" s="50"/>
      <c r="B222" s="80"/>
      <c r="C222" s="38"/>
      <c r="D222" s="38"/>
      <c r="E222" s="40"/>
      <c r="F222" s="40"/>
      <c r="G222" s="41"/>
      <c r="H222" s="25"/>
      <c r="I222" s="496" t="s">
        <v>537</v>
      </c>
      <c r="J222" s="453"/>
      <c r="K222" s="453"/>
      <c r="L222" s="453"/>
      <c r="M222" s="453"/>
      <c r="N222" s="453"/>
      <c r="O222" s="453"/>
      <c r="P222" s="453"/>
      <c r="Q222" s="453"/>
      <c r="R222" s="453"/>
      <c r="S222" s="453"/>
      <c r="T222" s="453"/>
      <c r="U222" s="453"/>
      <c r="V222" s="453"/>
      <c r="W222" s="453"/>
      <c r="X222" s="545">
        <v>350000</v>
      </c>
      <c r="Y222" s="459" t="s">
        <v>25</v>
      </c>
      <c r="Z222" s="6"/>
    </row>
    <row r="223" spans="1:26" s="11" customFormat="1" ht="19.5" customHeight="1">
      <c r="A223" s="50"/>
      <c r="B223" s="80"/>
      <c r="C223" s="38"/>
      <c r="D223" s="38"/>
      <c r="E223" s="40"/>
      <c r="F223" s="40"/>
      <c r="G223" s="41"/>
      <c r="H223" s="25"/>
      <c r="I223" s="472" t="s">
        <v>538</v>
      </c>
      <c r="J223" s="453"/>
      <c r="K223" s="453"/>
      <c r="L223" s="453"/>
      <c r="M223" s="453">
        <v>70000</v>
      </c>
      <c r="N223" s="453" t="s">
        <v>25</v>
      </c>
      <c r="O223" s="453" t="s">
        <v>26</v>
      </c>
      <c r="P223" s="453">
        <v>2</v>
      </c>
      <c r="Q223" s="453" t="s">
        <v>108</v>
      </c>
      <c r="R223" s="453" t="s">
        <v>26</v>
      </c>
      <c r="S223" s="453">
        <v>12</v>
      </c>
      <c r="T223" s="453" t="s">
        <v>29</v>
      </c>
      <c r="U223" s="453" t="s">
        <v>27</v>
      </c>
      <c r="V223" s="453"/>
      <c r="W223" s="453"/>
      <c r="X223" s="453">
        <f>M223*P223*S223</f>
        <v>1680000</v>
      </c>
      <c r="Y223" s="459" t="s">
        <v>25</v>
      </c>
      <c r="Z223" s="6"/>
    </row>
    <row r="224" spans="1:26" s="11" customFormat="1" ht="19.5" customHeight="1" thickBot="1">
      <c r="A224" s="88"/>
      <c r="B224" s="89"/>
      <c r="C224" s="89"/>
      <c r="D224" s="90"/>
      <c r="E224" s="91"/>
      <c r="F224" s="91"/>
      <c r="G224" s="92"/>
      <c r="H224" s="93"/>
      <c r="I224" s="53"/>
      <c r="J224" s="55"/>
      <c r="K224" s="55"/>
      <c r="L224" s="55"/>
      <c r="M224" s="55"/>
      <c r="N224" s="55"/>
      <c r="O224" s="54"/>
      <c r="P224" s="55"/>
      <c r="Q224" s="54"/>
      <c r="R224" s="54"/>
      <c r="S224" s="55"/>
      <c r="T224" s="55"/>
      <c r="U224" s="94"/>
      <c r="V224" s="94"/>
      <c r="W224" s="54"/>
      <c r="X224" s="55"/>
      <c r="Y224" s="56"/>
      <c r="Z224" s="6"/>
    </row>
    <row r="235" spans="26:26" ht="19.5" customHeight="1">
      <c r="Z235" s="6" t="s">
        <v>61</v>
      </c>
    </row>
  </sheetData>
  <mergeCells count="29">
    <mergeCell ref="A1:D1"/>
    <mergeCell ref="A2:D2"/>
    <mergeCell ref="E2:E3"/>
    <mergeCell ref="A4:D4"/>
    <mergeCell ref="C172:D172"/>
    <mergeCell ref="C202:D202"/>
    <mergeCell ref="V204:W204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V216:W216"/>
    <mergeCell ref="V149:W149"/>
    <mergeCell ref="V169:W169"/>
    <mergeCell ref="V177:W177"/>
    <mergeCell ref="V195:W195"/>
    <mergeCell ref="V181:W181"/>
    <mergeCell ref="V185:W185"/>
    <mergeCell ref="V207:W207"/>
    <mergeCell ref="V152:W152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60" firstPageNumber="16" orientation="landscape" r:id="rId1"/>
  <headerFooter>
    <oddFooter>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  <pageSetUpPr fitToPage="1"/>
  </sheetPr>
  <dimension ref="A1:AF223"/>
  <sheetViews>
    <sheetView tabSelected="1" workbookViewId="0">
      <selection activeCell="J7" sqref="J7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6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84" t="s">
        <v>535</v>
      </c>
      <c r="B1" s="584"/>
      <c r="C1" s="584"/>
      <c r="D1" s="58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85" t="s">
        <v>22</v>
      </c>
      <c r="B2" s="586"/>
      <c r="C2" s="586"/>
      <c r="D2" s="577" t="s">
        <v>518</v>
      </c>
      <c r="E2" s="592" t="s">
        <v>520</v>
      </c>
      <c r="F2" s="593"/>
      <c r="G2" s="593"/>
      <c r="H2" s="593"/>
      <c r="I2" s="593"/>
      <c r="J2" s="593"/>
      <c r="K2" s="593"/>
      <c r="L2" s="594"/>
      <c r="M2" s="579" t="s">
        <v>23</v>
      </c>
      <c r="N2" s="579"/>
      <c r="O2" s="595" t="s">
        <v>316</v>
      </c>
      <c r="P2" s="596"/>
      <c r="Q2" s="596"/>
      <c r="R2" s="596"/>
      <c r="S2" s="596"/>
      <c r="T2" s="596"/>
      <c r="U2" s="596"/>
      <c r="V2" s="596"/>
      <c r="W2" s="596"/>
      <c r="X2" s="596"/>
      <c r="Y2" s="596"/>
      <c r="Z2" s="596"/>
      <c r="AA2" s="596"/>
      <c r="AB2" s="596"/>
      <c r="AC2" s="596"/>
      <c r="AD2" s="596"/>
      <c r="AE2" s="59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78"/>
      <c r="E3" s="149" t="s">
        <v>317</v>
      </c>
      <c r="F3" s="149" t="s">
        <v>314</v>
      </c>
      <c r="G3" s="149" t="s">
        <v>315</v>
      </c>
      <c r="H3" s="149" t="s">
        <v>420</v>
      </c>
      <c r="I3" s="149" t="s">
        <v>318</v>
      </c>
      <c r="J3" s="149" t="s">
        <v>319</v>
      </c>
      <c r="K3" s="149" t="s">
        <v>320</v>
      </c>
      <c r="L3" s="149" t="s">
        <v>321</v>
      </c>
      <c r="M3" s="132" t="s">
        <v>322</v>
      </c>
      <c r="N3" s="96" t="s">
        <v>4</v>
      </c>
      <c r="O3" s="598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600"/>
    </row>
    <row r="4" spans="1:31" s="11" customFormat="1" ht="21" customHeight="1">
      <c r="A4" s="601" t="s">
        <v>31</v>
      </c>
      <c r="B4" s="602"/>
      <c r="C4" s="602"/>
      <c r="D4" s="305">
        <f t="shared" ref="D4:L4" si="0">SUM(D5,D120,D142,D195,D198)</f>
        <v>173686</v>
      </c>
      <c r="E4" s="305">
        <f t="shared" si="0"/>
        <v>177773</v>
      </c>
      <c r="F4" s="305">
        <f t="shared" ca="1" si="0"/>
        <v>146517</v>
      </c>
      <c r="G4" s="305">
        <f t="shared" si="0"/>
        <v>1644</v>
      </c>
      <c r="H4" s="305">
        <f t="shared" si="0"/>
        <v>300</v>
      </c>
      <c r="I4" s="305">
        <f t="shared" si="0"/>
        <v>1146</v>
      </c>
      <c r="J4" s="305">
        <f t="shared" si="0"/>
        <v>24523</v>
      </c>
      <c r="K4" s="305">
        <f t="shared" si="0"/>
        <v>0</v>
      </c>
      <c r="L4" s="305">
        <f t="shared" si="0"/>
        <v>3643</v>
      </c>
      <c r="M4" s="306">
        <f>E4-D4</f>
        <v>4087</v>
      </c>
      <c r="N4" s="307">
        <f>IF(D4=0,0,M4/D4)</f>
        <v>2.3530969680918438E-2</v>
      </c>
      <c r="O4" s="308" t="s">
        <v>323</v>
      </c>
      <c r="P4" s="309"/>
      <c r="Q4" s="309"/>
      <c r="R4" s="309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>
        <f>SUM(AD5,AD120,AD142,AD195,AD198)</f>
        <v>177773000</v>
      </c>
      <c r="AE4" s="311" t="s">
        <v>25</v>
      </c>
    </row>
    <row r="5" spans="1:31" s="11" customFormat="1" ht="21" customHeight="1">
      <c r="A5" s="101" t="s">
        <v>6</v>
      </c>
      <c r="B5" s="603" t="s">
        <v>7</v>
      </c>
      <c r="C5" s="604"/>
      <c r="D5" s="312">
        <f t="shared" ref="D5:L5" si="1">SUM(D6,D73,D82)</f>
        <v>145598</v>
      </c>
      <c r="E5" s="312">
        <f t="shared" si="1"/>
        <v>149845</v>
      </c>
      <c r="F5" s="312">
        <f t="shared" si="1"/>
        <v>140337</v>
      </c>
      <c r="G5" s="312">
        <f t="shared" si="1"/>
        <v>0</v>
      </c>
      <c r="H5" s="312">
        <f t="shared" si="1"/>
        <v>300</v>
      </c>
      <c r="I5" s="312">
        <f t="shared" si="1"/>
        <v>487</v>
      </c>
      <c r="J5" s="312">
        <f t="shared" si="1"/>
        <v>5078</v>
      </c>
      <c r="K5" s="312">
        <f t="shared" si="1"/>
        <v>0</v>
      </c>
      <c r="L5" s="312">
        <f t="shared" si="1"/>
        <v>3643</v>
      </c>
      <c r="M5" s="313">
        <f>E5-D5</f>
        <v>4247</v>
      </c>
      <c r="N5" s="314">
        <f>IF(D5=0,0,M5/D5)</f>
        <v>2.9169356721932993E-2</v>
      </c>
      <c r="O5" s="315" t="s">
        <v>289</v>
      </c>
      <c r="P5" s="315"/>
      <c r="Q5" s="315"/>
      <c r="R5" s="315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316">
        <f>SUM(AD6,AD73,AD82)</f>
        <v>149845000</v>
      </c>
      <c r="AE5" s="317" t="s">
        <v>25</v>
      </c>
    </row>
    <row r="6" spans="1:31" s="11" customFormat="1" ht="21" customHeight="1">
      <c r="A6" s="37"/>
      <c r="B6" s="28" t="s">
        <v>8</v>
      </c>
      <c r="C6" s="318" t="s">
        <v>5</v>
      </c>
      <c r="D6" s="411">
        <f t="shared" ref="D6:L6" si="2">SUM(D7,D11,D14,D35,D44,D68)</f>
        <v>132820</v>
      </c>
      <c r="E6" s="319">
        <f t="shared" si="2"/>
        <v>136719</v>
      </c>
      <c r="F6" s="319">
        <f t="shared" si="2"/>
        <v>135933</v>
      </c>
      <c r="G6" s="319">
        <f t="shared" si="2"/>
        <v>0</v>
      </c>
      <c r="H6" s="319">
        <f t="shared" si="2"/>
        <v>300</v>
      </c>
      <c r="I6" s="319">
        <f t="shared" si="2"/>
        <v>486</v>
      </c>
      <c r="J6" s="319">
        <f t="shared" si="2"/>
        <v>0</v>
      </c>
      <c r="K6" s="319">
        <f t="shared" si="2"/>
        <v>0</v>
      </c>
      <c r="L6" s="319">
        <f t="shared" si="2"/>
        <v>0</v>
      </c>
      <c r="M6" s="320">
        <f>E6-D6</f>
        <v>3899</v>
      </c>
      <c r="N6" s="321">
        <f>IF(D6=0,0,M6/D6)</f>
        <v>2.935551874717663E-2</v>
      </c>
      <c r="O6" s="322" t="s">
        <v>298</v>
      </c>
      <c r="P6" s="322"/>
      <c r="Q6" s="322"/>
      <c r="R6" s="322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>
        <f>SUM(AD7,AD11,AD14,AD35,AD44,AD68)</f>
        <v>136719000</v>
      </c>
      <c r="AE6" s="324" t="s">
        <v>25</v>
      </c>
    </row>
    <row r="7" spans="1:31" s="11" customFormat="1" ht="21" customHeight="1">
      <c r="A7" s="37"/>
      <c r="B7" s="38"/>
      <c r="C7" s="28" t="s">
        <v>32</v>
      </c>
      <c r="D7" s="135">
        <v>78966</v>
      </c>
      <c r="E7" s="103">
        <f>ROUND(AD7/1000,0)</f>
        <v>81337</v>
      </c>
      <c r="F7" s="103">
        <f>SUMIF($AB$8:$AB$10,"보조",$AD$8:$AD$10)/1000</f>
        <v>81337</v>
      </c>
      <c r="G7" s="103">
        <f>SUMIF($AB$8:$AB$10,"4종",$AD$8:$AD$10)/1000</f>
        <v>0</v>
      </c>
      <c r="H7" s="103">
        <f>SUMIF($AB$8:$AB$10,"6종",$AD$8:$AD$10)/1000</f>
        <v>0</v>
      </c>
      <c r="I7" s="103">
        <f>SUMIF($AB$8:$AB$10,"후원",$AD$8:$AD$10)/1000</f>
        <v>0</v>
      </c>
      <c r="J7" s="103">
        <f>SUMIF($AB$8:$AB$10,"입소",$AD$8:$AD$10)/1000</f>
        <v>0</v>
      </c>
      <c r="K7" s="103">
        <f>SUMIF($AB$8:$AB$10,"법인",$AD$8:$AD$10)/1000</f>
        <v>0</v>
      </c>
      <c r="L7" s="103">
        <f>SUMIF($AB$8:$AB$10,"잡수",$AD$8:$AD$10)/1000</f>
        <v>0</v>
      </c>
      <c r="M7" s="102">
        <f>E7-D7</f>
        <v>2371</v>
      </c>
      <c r="N7" s="278">
        <f>IF(D7=0,0,M7/D7)</f>
        <v>3.002558062963807E-2</v>
      </c>
      <c r="O7" s="105" t="s">
        <v>324</v>
      </c>
      <c r="P7" s="105"/>
      <c r="Q7" s="151"/>
      <c r="R7" s="151"/>
      <c r="S7" s="151"/>
      <c r="T7" s="150"/>
      <c r="U7" s="150"/>
      <c r="V7" s="150"/>
      <c r="W7" s="87" t="s">
        <v>60</v>
      </c>
      <c r="X7" s="87"/>
      <c r="Y7" s="87"/>
      <c r="Z7" s="87"/>
      <c r="AA7" s="87"/>
      <c r="AB7" s="87"/>
      <c r="AC7" s="107"/>
      <c r="AD7" s="107">
        <f>SUM(AD8:AD9)</f>
        <v>81337000</v>
      </c>
      <c r="AE7" s="108" t="s">
        <v>325</v>
      </c>
    </row>
    <row r="8" spans="1:31" s="11" customFormat="1" ht="21" customHeight="1">
      <c r="A8" s="37"/>
      <c r="B8" s="38"/>
      <c r="C8" s="38"/>
      <c r="D8" s="432"/>
      <c r="E8" s="433"/>
      <c r="F8" s="433"/>
      <c r="G8" s="433"/>
      <c r="H8" s="433"/>
      <c r="I8" s="433"/>
      <c r="J8" s="433"/>
      <c r="K8" s="433"/>
      <c r="L8" s="433"/>
      <c r="M8" s="97"/>
      <c r="N8" s="60"/>
      <c r="O8" s="377" t="s">
        <v>487</v>
      </c>
      <c r="P8" s="377"/>
      <c r="Q8" s="377"/>
      <c r="R8" s="377"/>
      <c r="S8" s="274"/>
      <c r="T8" s="270"/>
      <c r="U8" s="270"/>
      <c r="V8" s="270"/>
      <c r="W8" s="270"/>
      <c r="X8" s="270"/>
      <c r="Y8" s="270"/>
      <c r="Z8" s="270"/>
      <c r="AA8" s="341"/>
      <c r="AB8" s="341" t="s">
        <v>326</v>
      </c>
      <c r="AC8" s="342"/>
      <c r="AD8" s="395">
        <v>81337000</v>
      </c>
      <c r="AE8" s="343" t="s">
        <v>325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7"/>
      <c r="P9" s="377"/>
      <c r="Q9" s="377"/>
      <c r="R9" s="377"/>
      <c r="S9" s="274"/>
      <c r="T9" s="270"/>
      <c r="U9" s="270"/>
      <c r="V9" s="270"/>
      <c r="W9" s="270"/>
      <c r="X9" s="270"/>
      <c r="Y9" s="270"/>
      <c r="Z9" s="270"/>
      <c r="AA9" s="341"/>
      <c r="AB9" s="341"/>
      <c r="AC9" s="342"/>
      <c r="AD9" s="395"/>
      <c r="AE9" s="343" t="s">
        <v>325</v>
      </c>
    </row>
    <row r="10" spans="1:31" s="11" customFormat="1" ht="21" customHeight="1">
      <c r="A10" s="37"/>
      <c r="B10" s="38"/>
      <c r="C10" s="38"/>
      <c r="D10" s="133"/>
      <c r="E10" s="97"/>
      <c r="F10" s="97"/>
      <c r="G10" s="97"/>
      <c r="H10" s="97"/>
      <c r="I10" s="97"/>
      <c r="J10" s="97"/>
      <c r="K10" s="97"/>
      <c r="L10" s="97"/>
      <c r="M10" s="97"/>
      <c r="N10" s="60"/>
      <c r="O10" s="292"/>
      <c r="P10" s="292"/>
      <c r="Q10" s="292"/>
      <c r="R10" s="292"/>
      <c r="S10" s="292"/>
      <c r="T10" s="291"/>
      <c r="U10" s="291"/>
      <c r="V10" s="347"/>
      <c r="W10" s="347"/>
      <c r="X10" s="347"/>
      <c r="Y10" s="347"/>
      <c r="Z10" s="347"/>
      <c r="AA10" s="347"/>
      <c r="AB10" s="347"/>
      <c r="AC10" s="62"/>
      <c r="AD10" s="62"/>
      <c r="AE10" s="63"/>
    </row>
    <row r="11" spans="1:31" s="11" customFormat="1" ht="21" customHeight="1">
      <c r="A11" s="37"/>
      <c r="B11" s="38"/>
      <c r="C11" s="28" t="s">
        <v>331</v>
      </c>
      <c r="D11" s="135">
        <v>0</v>
      </c>
      <c r="E11" s="103">
        <f>ROUND(AD11/1000,0)</f>
        <v>0</v>
      </c>
      <c r="F11" s="103">
        <f>SUMIF($AB$12:$AB$13,"보조",$AD$12:$AD$13)/1000</f>
        <v>0</v>
      </c>
      <c r="G11" s="103">
        <f>SUMIF($AB$12:$AB$13,"4종",$AD$12:$AD$13)/1000</f>
        <v>0</v>
      </c>
      <c r="H11" s="103">
        <f>SUMIF($AB$12:$AB$13,"6종",$AD$12:$AD$13)/1000</f>
        <v>0</v>
      </c>
      <c r="I11" s="103">
        <f>SUMIF($AB$12:$AB$13,"후원",$AD$12:$AD$13)/1000</f>
        <v>0</v>
      </c>
      <c r="J11" s="103">
        <f>SUMIF($AB$12:$AB$13,"입소",$AD$12:$AD$13)/1000</f>
        <v>0</v>
      </c>
      <c r="K11" s="103">
        <f>SUMIF($AB$12:$AB$13,"법인",$AD$12:$AD$13)/1000</f>
        <v>0</v>
      </c>
      <c r="L11" s="103">
        <f>SUMIF($AB$12:$AB$13,"잡수",$AD$12:$AD$13)/1000</f>
        <v>0</v>
      </c>
      <c r="M11" s="112">
        <f>E11-D11</f>
        <v>0</v>
      </c>
      <c r="N11" s="109">
        <f>IF(D11=0,0,M11/D11)</f>
        <v>0</v>
      </c>
      <c r="O11" s="85" t="s">
        <v>332</v>
      </c>
      <c r="P11" s="417"/>
      <c r="Q11" s="153"/>
      <c r="R11" s="153"/>
      <c r="S11" s="153"/>
      <c r="T11" s="152"/>
      <c r="U11" s="152"/>
      <c r="V11" s="150"/>
      <c r="W11" s="87" t="s">
        <v>333</v>
      </c>
      <c r="X11" s="87"/>
      <c r="Y11" s="87"/>
      <c r="Z11" s="87"/>
      <c r="AA11" s="87"/>
      <c r="AB11" s="87"/>
      <c r="AC11" s="107"/>
      <c r="AD11" s="107">
        <v>0</v>
      </c>
      <c r="AE11" s="108" t="s">
        <v>334</v>
      </c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151"/>
      <c r="P12" s="151"/>
      <c r="Q12" s="151"/>
      <c r="R12" s="151"/>
      <c r="S12" s="151"/>
      <c r="T12" s="150"/>
      <c r="U12" s="150"/>
      <c r="V12" s="150"/>
      <c r="W12" s="150"/>
      <c r="X12" s="150"/>
      <c r="Y12" s="150"/>
      <c r="Z12" s="150"/>
      <c r="AA12" s="150"/>
      <c r="AB12" s="150"/>
      <c r="AC12" s="42"/>
      <c r="AD12" s="42"/>
      <c r="AE12" s="26"/>
    </row>
    <row r="13" spans="1:31" s="11" customFormat="1" ht="21" customHeight="1">
      <c r="A13" s="37"/>
      <c r="B13" s="38"/>
      <c r="C13" s="38"/>
      <c r="D13" s="133"/>
      <c r="E13" s="97"/>
      <c r="F13" s="97"/>
      <c r="G13" s="97"/>
      <c r="H13" s="97"/>
      <c r="I13" s="97"/>
      <c r="J13" s="97"/>
      <c r="K13" s="97"/>
      <c r="L13" s="97"/>
      <c r="M13" s="97"/>
      <c r="N13" s="60"/>
      <c r="O13" s="292"/>
      <c r="P13" s="292"/>
      <c r="Q13" s="292"/>
      <c r="R13" s="292"/>
      <c r="S13" s="291"/>
      <c r="T13" s="291"/>
      <c r="U13" s="292"/>
      <c r="V13" s="291"/>
      <c r="W13" s="291"/>
      <c r="X13" s="292"/>
      <c r="Y13" s="81"/>
      <c r="Z13" s="291"/>
      <c r="AA13" s="291"/>
      <c r="AB13" s="291"/>
      <c r="AC13" s="58"/>
      <c r="AD13" s="291"/>
      <c r="AE13" s="47"/>
    </row>
    <row r="14" spans="1:31" s="11" customFormat="1" ht="21" customHeight="1">
      <c r="A14" s="37"/>
      <c r="B14" s="38"/>
      <c r="C14" s="28" t="s">
        <v>33</v>
      </c>
      <c r="D14" s="135">
        <v>32514</v>
      </c>
      <c r="E14" s="103">
        <f>ROUND(AD14/1000,0)</f>
        <v>33419</v>
      </c>
      <c r="F14" s="103">
        <f>SUMIF($AB$15:$AB$34,"보조",$AD$15:$AD$34)/1000</f>
        <v>33133</v>
      </c>
      <c r="G14" s="103">
        <f>SUMIF($AB$15:$AB$34,"4종",$AD$15:$AD$34)/1000</f>
        <v>0</v>
      </c>
      <c r="H14" s="103">
        <f>SUMIF($AB$15:$AB$34,"6종",$AD$15:$AD$34)/1000</f>
        <v>0</v>
      </c>
      <c r="I14" s="103">
        <f>SUMIF($AB$15:$AB$34,"후원",$AD$15:$AD$34)/1000</f>
        <v>286</v>
      </c>
      <c r="J14" s="103">
        <f>SUMIF($AB$15:$AB$34,"입소",$AD$15:$AD$34)/1000</f>
        <v>0</v>
      </c>
      <c r="K14" s="103">
        <f>SUMIF($AB$15:$AB$34,"법인",$AD$15:$AD$34)/1000</f>
        <v>0</v>
      </c>
      <c r="L14" s="103">
        <f>SUMIF($AB$15:$AB$34,"잡수",$AD$15:$AD$34)/1000</f>
        <v>0</v>
      </c>
      <c r="M14" s="102">
        <f>E14-D14</f>
        <v>905</v>
      </c>
      <c r="N14" s="109">
        <f>IF(D14=0,0,M14/D14)</f>
        <v>2.7834163744848373E-2</v>
      </c>
      <c r="O14" s="85" t="s">
        <v>34</v>
      </c>
      <c r="P14" s="417"/>
      <c r="Q14" s="153"/>
      <c r="R14" s="153"/>
      <c r="S14" s="153"/>
      <c r="T14" s="152"/>
      <c r="U14" s="152"/>
      <c r="V14" s="152"/>
      <c r="W14" s="416" t="s">
        <v>333</v>
      </c>
      <c r="X14" s="416"/>
      <c r="Y14" s="416"/>
      <c r="Z14" s="416"/>
      <c r="AA14" s="416"/>
      <c r="AB14" s="416"/>
      <c r="AC14" s="147"/>
      <c r="AD14" s="147">
        <f>명절휴가비+가족수당+연장근로수당+AD27+AD31</f>
        <v>33419000</v>
      </c>
      <c r="AE14" s="146" t="s">
        <v>325</v>
      </c>
    </row>
    <row r="15" spans="1:31" s="11" customFormat="1" ht="21" customHeight="1">
      <c r="A15" s="37"/>
      <c r="B15" s="38"/>
      <c r="C15" s="38"/>
      <c r="D15" s="430"/>
      <c r="E15" s="431"/>
      <c r="F15" s="431"/>
      <c r="G15" s="431"/>
      <c r="H15" s="431"/>
      <c r="I15" s="431"/>
      <c r="J15" s="431"/>
      <c r="K15" s="431"/>
      <c r="L15" s="431"/>
      <c r="M15" s="97"/>
      <c r="N15" s="60"/>
      <c r="O15" s="377" t="s">
        <v>335</v>
      </c>
      <c r="P15" s="274"/>
      <c r="Q15" s="274"/>
      <c r="R15" s="274"/>
      <c r="S15" s="274"/>
      <c r="T15" s="270"/>
      <c r="U15" s="270"/>
      <c r="V15" s="270"/>
      <c r="W15" s="341" t="s">
        <v>336</v>
      </c>
      <c r="X15" s="341"/>
      <c r="Y15" s="341"/>
      <c r="Z15" s="341"/>
      <c r="AA15" s="341"/>
      <c r="AB15" s="341"/>
      <c r="AC15" s="342" t="s">
        <v>337</v>
      </c>
      <c r="AD15" s="342">
        <f>ROUND(SUM(AD16:AD17),-3)</f>
        <v>8097000</v>
      </c>
      <c r="AE15" s="343" t="s">
        <v>325</v>
      </c>
    </row>
    <row r="16" spans="1:31" s="11" customFormat="1" ht="21" customHeight="1">
      <c r="A16" s="37"/>
      <c r="B16" s="38"/>
      <c r="C16" s="38"/>
      <c r="D16" s="432"/>
      <c r="E16" s="433"/>
      <c r="F16" s="433"/>
      <c r="G16" s="433"/>
      <c r="H16" s="433"/>
      <c r="I16" s="433"/>
      <c r="J16" s="433"/>
      <c r="K16" s="433"/>
      <c r="L16" s="433"/>
      <c r="M16" s="97"/>
      <c r="N16" s="60"/>
      <c r="O16" s="274" t="s">
        <v>488</v>
      </c>
      <c r="P16" s="274"/>
      <c r="Q16" s="274"/>
      <c r="R16" s="274"/>
      <c r="S16" s="274"/>
      <c r="T16" s="270"/>
      <c r="U16" s="270"/>
      <c r="V16" s="270"/>
      <c r="W16" s="270"/>
      <c r="X16" s="270"/>
      <c r="Y16" s="270"/>
      <c r="Z16" s="270"/>
      <c r="AA16" s="270"/>
      <c r="AB16" s="270" t="s">
        <v>326</v>
      </c>
      <c r="AC16" s="275"/>
      <c r="AD16" s="121">
        <v>8097000</v>
      </c>
      <c r="AE16" s="299" t="s">
        <v>325</v>
      </c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274"/>
      <c r="P17" s="274"/>
      <c r="Q17" s="274"/>
      <c r="R17" s="274"/>
      <c r="S17" s="274"/>
      <c r="T17" s="270"/>
      <c r="U17" s="270"/>
      <c r="V17" s="270"/>
      <c r="W17" s="270"/>
      <c r="X17" s="270"/>
      <c r="Y17" s="270"/>
      <c r="Z17" s="270"/>
      <c r="AA17" s="270"/>
      <c r="AB17" s="270"/>
      <c r="AC17" s="275"/>
      <c r="AD17" s="121"/>
      <c r="AE17" s="299"/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4"/>
      <c r="P18" s="274"/>
      <c r="Q18" s="274"/>
      <c r="R18" s="274"/>
      <c r="S18" s="274"/>
      <c r="T18" s="270"/>
      <c r="U18" s="270"/>
      <c r="V18" s="270"/>
      <c r="W18" s="270"/>
      <c r="X18" s="270"/>
      <c r="Y18" s="270"/>
      <c r="Z18" s="270"/>
      <c r="AA18" s="270"/>
      <c r="AB18" s="270"/>
      <c r="AC18" s="275"/>
      <c r="AD18" s="275"/>
      <c r="AE18" s="299"/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377" t="s">
        <v>338</v>
      </c>
      <c r="P19" s="274"/>
      <c r="Q19" s="274"/>
      <c r="R19" s="274"/>
      <c r="S19" s="274"/>
      <c r="T19" s="270"/>
      <c r="U19" s="270"/>
      <c r="V19" s="270"/>
      <c r="W19" s="341" t="s">
        <v>336</v>
      </c>
      <c r="X19" s="341"/>
      <c r="Y19" s="341"/>
      <c r="Z19" s="341"/>
      <c r="AA19" s="341"/>
      <c r="AB19" s="341"/>
      <c r="AC19" s="342" t="s">
        <v>337</v>
      </c>
      <c r="AD19" s="342">
        <f>SUM(AD20:AD21)</f>
        <v>1680000</v>
      </c>
      <c r="AE19" s="343" t="s">
        <v>325</v>
      </c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274" t="s">
        <v>488</v>
      </c>
      <c r="P20" s="274"/>
      <c r="Q20" s="274"/>
      <c r="R20" s="274"/>
      <c r="S20" s="274"/>
      <c r="T20" s="270"/>
      <c r="U20" s="270"/>
      <c r="V20" s="270"/>
      <c r="W20" s="270"/>
      <c r="X20" s="270"/>
      <c r="Y20" s="270"/>
      <c r="Z20" s="270"/>
      <c r="AA20" s="270"/>
      <c r="AB20" s="270" t="s">
        <v>326</v>
      </c>
      <c r="AC20" s="275"/>
      <c r="AD20" s="275">
        <v>1680000</v>
      </c>
      <c r="AE20" s="299" t="s">
        <v>325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4"/>
      <c r="P21" s="274"/>
      <c r="Q21" s="274"/>
      <c r="R21" s="274"/>
      <c r="S21" s="274"/>
      <c r="T21" s="270"/>
      <c r="U21" s="270"/>
      <c r="V21" s="270"/>
      <c r="W21" s="270"/>
      <c r="X21" s="270"/>
      <c r="Y21" s="270"/>
      <c r="Z21" s="270"/>
      <c r="AA21" s="270"/>
      <c r="AB21" s="270"/>
      <c r="AC21" s="275"/>
      <c r="AD21" s="275"/>
      <c r="AE21" s="299"/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4"/>
      <c r="P22" s="274"/>
      <c r="Q22" s="274"/>
      <c r="R22" s="274"/>
      <c r="S22" s="274"/>
      <c r="T22" s="270"/>
      <c r="U22" s="270"/>
      <c r="V22" s="270"/>
      <c r="W22" s="270"/>
      <c r="X22" s="270"/>
      <c r="Y22" s="270"/>
      <c r="Z22" s="270"/>
      <c r="AA22" s="270"/>
      <c r="AB22" s="270"/>
      <c r="AC22" s="275"/>
      <c r="AD22" s="275"/>
      <c r="AE22" s="299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7" t="s">
        <v>339</v>
      </c>
      <c r="P23" s="274"/>
      <c r="Q23" s="274"/>
      <c r="R23" s="274"/>
      <c r="S23" s="274"/>
      <c r="T23" s="270"/>
      <c r="U23" s="270"/>
      <c r="V23" s="270"/>
      <c r="W23" s="341" t="s">
        <v>336</v>
      </c>
      <c r="X23" s="341"/>
      <c r="Y23" s="341"/>
      <c r="Z23" s="341"/>
      <c r="AA23" s="341"/>
      <c r="AB23" s="341"/>
      <c r="AC23" s="342" t="s">
        <v>337</v>
      </c>
      <c r="AD23" s="342">
        <f>ROUND(SUM(AD24:AD25),-3)</f>
        <v>17518000</v>
      </c>
      <c r="AE23" s="343" t="s">
        <v>325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4" t="s">
        <v>488</v>
      </c>
      <c r="P24" s="274"/>
      <c r="Q24" s="274"/>
      <c r="R24" s="274"/>
      <c r="S24" s="274"/>
      <c r="T24" s="270"/>
      <c r="U24" s="270"/>
      <c r="V24" s="270"/>
      <c r="W24" s="270"/>
      <c r="X24" s="270"/>
      <c r="Y24" s="270"/>
      <c r="Z24" s="270"/>
      <c r="AA24" s="270"/>
      <c r="AB24" s="270" t="s">
        <v>326</v>
      </c>
      <c r="AC24" s="275"/>
      <c r="AD24" s="121">
        <v>17518000</v>
      </c>
      <c r="AE24" s="299" t="s">
        <v>325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4"/>
      <c r="P25" s="274"/>
      <c r="Q25" s="274"/>
      <c r="R25" s="274"/>
      <c r="S25" s="274"/>
      <c r="T25" s="270"/>
      <c r="U25" s="270"/>
      <c r="V25" s="270"/>
      <c r="W25" s="270"/>
      <c r="X25" s="270"/>
      <c r="Y25" s="270"/>
      <c r="Z25" s="270"/>
      <c r="AA25" s="270"/>
      <c r="AB25" s="270"/>
      <c r="AC25" s="275"/>
      <c r="AD25" s="121"/>
      <c r="AE25" s="299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274"/>
      <c r="P26" s="274"/>
      <c r="Q26" s="274"/>
      <c r="R26" s="274"/>
      <c r="S26" s="274"/>
      <c r="T26" s="270"/>
      <c r="U26" s="270"/>
      <c r="V26" s="270"/>
      <c r="W26" s="270"/>
      <c r="X26" s="270"/>
      <c r="Y26" s="270"/>
      <c r="Z26" s="270"/>
      <c r="AA26" s="270"/>
      <c r="AB26" s="270"/>
      <c r="AC26" s="275"/>
      <c r="AD26" s="121"/>
      <c r="AE26" s="299"/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377" t="s">
        <v>412</v>
      </c>
      <c r="P27" s="274"/>
      <c r="Q27" s="274"/>
      <c r="R27" s="274"/>
      <c r="S27" s="274"/>
      <c r="T27" s="270"/>
      <c r="U27" s="270"/>
      <c r="V27" s="270"/>
      <c r="W27" s="341" t="s">
        <v>336</v>
      </c>
      <c r="X27" s="341"/>
      <c r="Y27" s="341"/>
      <c r="Z27" s="341"/>
      <c r="AA27" s="341"/>
      <c r="AB27" s="341"/>
      <c r="AC27" s="342" t="s">
        <v>337</v>
      </c>
      <c r="AD27" s="342">
        <f>ROUNDUP(SUM(AD28:AD29),-3)</f>
        <v>5838000</v>
      </c>
      <c r="AE27" s="343" t="s">
        <v>325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4" t="s">
        <v>488</v>
      </c>
      <c r="P28" s="274"/>
      <c r="Q28" s="274"/>
      <c r="R28" s="274"/>
      <c r="S28" s="274"/>
      <c r="T28" s="270"/>
      <c r="U28" s="270"/>
      <c r="V28" s="270"/>
      <c r="W28" s="270"/>
      <c r="X28" s="270"/>
      <c r="Y28" s="270"/>
      <c r="Z28" s="270"/>
      <c r="AA28" s="270"/>
      <c r="AB28" s="270" t="s">
        <v>326</v>
      </c>
      <c r="AC28" s="275"/>
      <c r="AD28" s="121">
        <v>5838000</v>
      </c>
      <c r="AE28" s="299" t="s">
        <v>325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4"/>
      <c r="P29" s="274"/>
      <c r="Q29" s="274"/>
      <c r="R29" s="274"/>
      <c r="S29" s="274"/>
      <c r="T29" s="270"/>
      <c r="U29" s="270"/>
      <c r="V29" s="270"/>
      <c r="W29" s="270"/>
      <c r="X29" s="270"/>
      <c r="Y29" s="270"/>
      <c r="Z29" s="270"/>
      <c r="AA29" s="270"/>
      <c r="AB29" s="270"/>
      <c r="AC29" s="275"/>
      <c r="AD29" s="121"/>
      <c r="AE29" s="299"/>
    </row>
    <row r="30" spans="1:31" s="11" customFormat="1" ht="21" customHeight="1">
      <c r="A30" s="37"/>
      <c r="B30" s="38"/>
      <c r="C30" s="38"/>
      <c r="D30" s="133"/>
      <c r="E30" s="97"/>
      <c r="F30" s="97"/>
      <c r="G30" s="97"/>
      <c r="H30" s="97"/>
      <c r="I30" s="97"/>
      <c r="J30" s="97"/>
      <c r="K30" s="97"/>
      <c r="L30" s="97"/>
      <c r="M30" s="97"/>
      <c r="N30" s="60"/>
      <c r="O30" s="274"/>
      <c r="P30" s="274"/>
      <c r="Q30" s="274"/>
      <c r="R30" s="274"/>
      <c r="S30" s="274"/>
      <c r="T30" s="270"/>
      <c r="U30" s="270"/>
      <c r="V30" s="270"/>
      <c r="W30" s="270"/>
      <c r="X30" s="270"/>
      <c r="Y30" s="270"/>
      <c r="Z30" s="270"/>
      <c r="AA30" s="270"/>
      <c r="AB30" s="270"/>
      <c r="AC30" s="275"/>
      <c r="AD30" s="121"/>
      <c r="AE30" s="299"/>
    </row>
    <row r="31" spans="1:31" s="11" customFormat="1" ht="21" customHeight="1">
      <c r="A31" s="37"/>
      <c r="B31" s="38"/>
      <c r="C31" s="38"/>
      <c r="D31" s="133"/>
      <c r="E31" s="97"/>
      <c r="F31" s="97"/>
      <c r="G31" s="97"/>
      <c r="H31" s="97"/>
      <c r="I31" s="97"/>
      <c r="J31" s="97"/>
      <c r="K31" s="97"/>
      <c r="L31" s="97"/>
      <c r="M31" s="97"/>
      <c r="N31" s="60"/>
      <c r="O31" s="377" t="s">
        <v>413</v>
      </c>
      <c r="P31" s="274"/>
      <c r="Q31" s="274"/>
      <c r="R31" s="274"/>
      <c r="S31" s="274"/>
      <c r="T31" s="270"/>
      <c r="U31" s="270"/>
      <c r="V31" s="270"/>
      <c r="W31" s="341" t="s">
        <v>336</v>
      </c>
      <c r="X31" s="341"/>
      <c r="Y31" s="341"/>
      <c r="Z31" s="341"/>
      <c r="AA31" s="341"/>
      <c r="AB31" s="341"/>
      <c r="AC31" s="342" t="s">
        <v>337</v>
      </c>
      <c r="AD31" s="342">
        <f>SUM(AD32:AD33)</f>
        <v>286000</v>
      </c>
      <c r="AE31" s="343" t="s">
        <v>325</v>
      </c>
    </row>
    <row r="32" spans="1:31" s="11" customFormat="1" ht="21" customHeight="1">
      <c r="A32" s="37"/>
      <c r="B32" s="38"/>
      <c r="C32" s="38"/>
      <c r="D32" s="133"/>
      <c r="E32" s="97"/>
      <c r="F32" s="97"/>
      <c r="G32" s="97"/>
      <c r="H32" s="97"/>
      <c r="I32" s="97"/>
      <c r="J32" s="97"/>
      <c r="K32" s="97"/>
      <c r="L32" s="97"/>
      <c r="M32" s="97"/>
      <c r="N32" s="60"/>
      <c r="O32" s="274" t="s">
        <v>340</v>
      </c>
      <c r="P32" s="274"/>
      <c r="Q32" s="274"/>
      <c r="R32" s="274"/>
      <c r="S32" s="291">
        <v>0</v>
      </c>
      <c r="T32" s="291" t="s">
        <v>325</v>
      </c>
      <c r="U32" s="292" t="s">
        <v>327</v>
      </c>
      <c r="V32" s="291">
        <v>0</v>
      </c>
      <c r="W32" s="291" t="s">
        <v>341</v>
      </c>
      <c r="X32" s="292" t="s">
        <v>327</v>
      </c>
      <c r="Y32" s="294">
        <v>0</v>
      </c>
      <c r="Z32" s="412" t="s">
        <v>328</v>
      </c>
      <c r="AA32" s="412" t="s">
        <v>329</v>
      </c>
      <c r="AB32" s="270" t="s">
        <v>330</v>
      </c>
      <c r="AC32" s="275"/>
      <c r="AD32" s="121">
        <f>S32*V32*Y32</f>
        <v>0</v>
      </c>
      <c r="AE32" s="299" t="s">
        <v>325</v>
      </c>
    </row>
    <row r="33" spans="1:31" s="11" customFormat="1" ht="21" customHeight="1">
      <c r="A33" s="37"/>
      <c r="B33" s="38"/>
      <c r="C33" s="38"/>
      <c r="D33" s="133"/>
      <c r="E33" s="97"/>
      <c r="F33" s="97"/>
      <c r="G33" s="97"/>
      <c r="H33" s="97"/>
      <c r="I33" s="97"/>
      <c r="J33" s="97"/>
      <c r="K33" s="97"/>
      <c r="L33" s="97"/>
      <c r="M33" s="97"/>
      <c r="N33" s="60"/>
      <c r="O33" s="457" t="s">
        <v>499</v>
      </c>
      <c r="P33" s="457"/>
      <c r="Q33" s="457"/>
      <c r="R33" s="457"/>
      <c r="S33" s="456"/>
      <c r="T33" s="456"/>
      <c r="U33" s="457"/>
      <c r="V33" s="456"/>
      <c r="W33" s="456"/>
      <c r="X33" s="457"/>
      <c r="Y33" s="294"/>
      <c r="Z33" s="289"/>
      <c r="AA33" s="289"/>
      <c r="AB33" s="456" t="s">
        <v>358</v>
      </c>
      <c r="AC33" s="121"/>
      <c r="AD33" s="121">
        <v>286000</v>
      </c>
      <c r="AE33" s="122" t="s">
        <v>325</v>
      </c>
    </row>
    <row r="34" spans="1:31" s="11" customFormat="1" ht="21" customHeight="1">
      <c r="A34" s="37"/>
      <c r="B34" s="38"/>
      <c r="C34" s="38"/>
      <c r="D34" s="133"/>
      <c r="E34" s="97"/>
      <c r="F34" s="97"/>
      <c r="G34" s="97"/>
      <c r="H34" s="97"/>
      <c r="I34" s="97"/>
      <c r="J34" s="97"/>
      <c r="K34" s="97"/>
      <c r="L34" s="97"/>
      <c r="M34" s="97"/>
      <c r="N34" s="60"/>
      <c r="O34" s="274"/>
      <c r="P34" s="274"/>
      <c r="Q34" s="274"/>
      <c r="R34" s="274"/>
      <c r="S34" s="270"/>
      <c r="T34" s="329"/>
      <c r="U34" s="379"/>
      <c r="V34" s="329"/>
      <c r="W34" s="380"/>
      <c r="X34" s="380"/>
      <c r="Y34" s="270"/>
      <c r="Z34" s="270"/>
      <c r="AA34" s="270"/>
      <c r="AB34" s="270"/>
      <c r="AC34" s="270"/>
      <c r="AD34" s="270"/>
      <c r="AE34" s="299"/>
    </row>
    <row r="35" spans="1:31" s="11" customFormat="1" ht="21" customHeight="1">
      <c r="A35" s="37"/>
      <c r="B35" s="38"/>
      <c r="C35" s="28" t="s">
        <v>9</v>
      </c>
      <c r="D35" s="135">
        <v>9265</v>
      </c>
      <c r="E35" s="103">
        <f>ROUND(AD35/1000,0)</f>
        <v>9540</v>
      </c>
      <c r="F35" s="103">
        <f>SUMIF($AB$36:$AB$43,"보조",$AD$36:$AD$43)/1000</f>
        <v>9540</v>
      </c>
      <c r="G35" s="103">
        <f>SUMIF($AB$36:$AB$43,"4종",$AD$36:$AD$43)/1000</f>
        <v>0</v>
      </c>
      <c r="H35" s="103">
        <f>SUMIF($AB$36:$AB$43,"6종",$AD$36:$AD$43)/1000</f>
        <v>0</v>
      </c>
      <c r="I35" s="103">
        <f>SUMIF($AB$36:$AB$43,"후원",$AD$36:$AD$43)/1000</f>
        <v>0</v>
      </c>
      <c r="J35" s="103">
        <f>SUMIF($AB$36:$AB$43,"입소",$AD$36:$AD$43)/1000</f>
        <v>0</v>
      </c>
      <c r="K35" s="103">
        <f>SUMIF($AB$36:$AB$43,"법인",$AD$36:$AD$43)/1000</f>
        <v>0</v>
      </c>
      <c r="L35" s="103">
        <f>SUMIF($AB$36:$AB$43,"잡수",$AD$36:$AD$43)/1000</f>
        <v>0</v>
      </c>
      <c r="M35" s="102">
        <f>E35-D35</f>
        <v>275</v>
      </c>
      <c r="N35" s="109">
        <f>IF(D35=0,0,M35/D35)</f>
        <v>2.9681597409606044E-2</v>
      </c>
      <c r="O35" s="85" t="s">
        <v>35</v>
      </c>
      <c r="P35" s="417"/>
      <c r="Q35" s="153"/>
      <c r="R35" s="153"/>
      <c r="S35" s="153"/>
      <c r="T35" s="152"/>
      <c r="U35" s="152"/>
      <c r="V35" s="152"/>
      <c r="W35" s="416" t="s">
        <v>336</v>
      </c>
      <c r="X35" s="416"/>
      <c r="Y35" s="416"/>
      <c r="Z35" s="416"/>
      <c r="AA35" s="416"/>
      <c r="AB35" s="416"/>
      <c r="AC35" s="147" t="s">
        <v>337</v>
      </c>
      <c r="AD35" s="147">
        <f>SUM(AD36,AD40)</f>
        <v>9540000</v>
      </c>
      <c r="AE35" s="146" t="s">
        <v>325</v>
      </c>
    </row>
    <row r="36" spans="1:31" s="11" customFormat="1" ht="21" customHeight="1">
      <c r="A36" s="37"/>
      <c r="B36" s="38"/>
      <c r="C36" s="38"/>
      <c r="D36" s="430"/>
      <c r="E36" s="431"/>
      <c r="F36" s="431"/>
      <c r="G36" s="431"/>
      <c r="H36" s="431"/>
      <c r="I36" s="431"/>
      <c r="J36" s="431"/>
      <c r="K36" s="431"/>
      <c r="L36" s="431"/>
      <c r="M36" s="104"/>
      <c r="N36" s="60"/>
      <c r="O36" s="377" t="s">
        <v>414</v>
      </c>
      <c r="P36" s="274"/>
      <c r="Q36" s="274"/>
      <c r="R36" s="274"/>
      <c r="S36" s="274"/>
      <c r="T36" s="270"/>
      <c r="U36" s="270"/>
      <c r="V36" s="270"/>
      <c r="W36" s="341" t="s">
        <v>336</v>
      </c>
      <c r="X36" s="341"/>
      <c r="Y36" s="341"/>
      <c r="Z36" s="341"/>
      <c r="AA36" s="341"/>
      <c r="AB36" s="341"/>
      <c r="AC36" s="342"/>
      <c r="AD36" s="342">
        <f>SUM(AD37:AD38)</f>
        <v>9540000</v>
      </c>
      <c r="AE36" s="343" t="s">
        <v>325</v>
      </c>
    </row>
    <row r="37" spans="1:31" s="11" customFormat="1" ht="21" customHeight="1">
      <c r="A37" s="37"/>
      <c r="B37" s="38"/>
      <c r="C37" s="38"/>
      <c r="D37" s="432"/>
      <c r="E37" s="433"/>
      <c r="F37" s="433"/>
      <c r="G37" s="433"/>
      <c r="H37" s="433"/>
      <c r="I37" s="433"/>
      <c r="J37" s="433"/>
      <c r="K37" s="433"/>
      <c r="L37" s="433"/>
      <c r="M37" s="104"/>
      <c r="N37" s="60"/>
      <c r="O37" s="274" t="s">
        <v>489</v>
      </c>
      <c r="P37" s="274"/>
      <c r="Q37" s="274"/>
      <c r="R37" s="274"/>
      <c r="S37" s="270">
        <f>SUM(AD8,AD16,AD20,AD24, AD28)</f>
        <v>114470000</v>
      </c>
      <c r="T37" s="326" t="s">
        <v>325</v>
      </c>
      <c r="U37" s="326" t="s">
        <v>342</v>
      </c>
      <c r="V37" s="381">
        <v>12</v>
      </c>
      <c r="W37" s="325" t="s">
        <v>328</v>
      </c>
      <c r="X37" s="270"/>
      <c r="Y37" s="270"/>
      <c r="Z37" s="270"/>
      <c r="AA37" s="270" t="s">
        <v>329</v>
      </c>
      <c r="AB37" s="270" t="s">
        <v>326</v>
      </c>
      <c r="AC37" s="275"/>
      <c r="AD37" s="121">
        <f>ROUNDUP(S37/V37,-3)</f>
        <v>9540000</v>
      </c>
      <c r="AE37" s="299" t="s">
        <v>325</v>
      </c>
    </row>
    <row r="38" spans="1:31" s="11" customFormat="1" ht="21" customHeight="1">
      <c r="A38" s="37"/>
      <c r="B38" s="38"/>
      <c r="C38" s="38"/>
      <c r="D38" s="136"/>
      <c r="E38" s="97"/>
      <c r="F38" s="97"/>
      <c r="G38" s="97"/>
      <c r="H38" s="97"/>
      <c r="I38" s="97"/>
      <c r="J38" s="97"/>
      <c r="K38" s="97"/>
      <c r="L38" s="97"/>
      <c r="M38" s="104"/>
      <c r="N38" s="60"/>
      <c r="O38" s="274"/>
      <c r="P38" s="274"/>
      <c r="Q38" s="274"/>
      <c r="R38" s="274"/>
      <c r="S38" s="270"/>
      <c r="T38" s="326"/>
      <c r="U38" s="326"/>
      <c r="V38" s="381"/>
      <c r="W38" s="325"/>
      <c r="X38" s="270"/>
      <c r="Y38" s="270"/>
      <c r="Z38" s="270"/>
      <c r="AA38" s="270"/>
      <c r="AB38" s="270"/>
      <c r="AC38" s="275"/>
      <c r="AD38" s="121"/>
      <c r="AE38" s="299"/>
    </row>
    <row r="39" spans="1:31" s="11" customFormat="1" ht="21" customHeight="1">
      <c r="A39" s="37"/>
      <c r="B39" s="38"/>
      <c r="C39" s="38"/>
      <c r="D39" s="136"/>
      <c r="E39" s="97"/>
      <c r="F39" s="97"/>
      <c r="G39" s="97"/>
      <c r="H39" s="97"/>
      <c r="I39" s="97"/>
      <c r="J39" s="97"/>
      <c r="K39" s="97"/>
      <c r="L39" s="97"/>
      <c r="M39" s="104"/>
      <c r="N39" s="60"/>
      <c r="O39" s="274"/>
      <c r="P39" s="274"/>
      <c r="Q39" s="274"/>
      <c r="R39" s="274"/>
      <c r="S39" s="270"/>
      <c r="T39" s="326"/>
      <c r="U39" s="326"/>
      <c r="V39" s="381"/>
      <c r="W39" s="325"/>
      <c r="X39" s="270"/>
      <c r="Y39" s="270"/>
      <c r="Z39" s="270"/>
      <c r="AA39" s="270"/>
      <c r="AB39" s="270"/>
      <c r="AC39" s="275"/>
      <c r="AD39" s="121"/>
      <c r="AE39" s="299"/>
    </row>
    <row r="40" spans="1:31" s="11" customFormat="1" ht="21" customHeight="1">
      <c r="A40" s="37"/>
      <c r="B40" s="38"/>
      <c r="C40" s="38"/>
      <c r="D40" s="136"/>
      <c r="E40" s="97"/>
      <c r="F40" s="97"/>
      <c r="G40" s="97"/>
      <c r="H40" s="97"/>
      <c r="I40" s="97"/>
      <c r="J40" s="97"/>
      <c r="K40" s="97"/>
      <c r="L40" s="97"/>
      <c r="M40" s="104"/>
      <c r="N40" s="60"/>
      <c r="O40" s="377" t="s">
        <v>415</v>
      </c>
      <c r="P40" s="274"/>
      <c r="Q40" s="274"/>
      <c r="R40" s="274"/>
      <c r="S40" s="274"/>
      <c r="T40" s="270"/>
      <c r="U40" s="270"/>
      <c r="V40" s="270"/>
      <c r="W40" s="341" t="s">
        <v>343</v>
      </c>
      <c r="X40" s="341"/>
      <c r="Y40" s="341"/>
      <c r="Z40" s="341"/>
      <c r="AA40" s="341"/>
      <c r="AB40" s="341"/>
      <c r="AC40" s="342" t="s">
        <v>344</v>
      </c>
      <c r="AD40" s="342">
        <f>SUM(AD41:AD42)</f>
        <v>0</v>
      </c>
      <c r="AE40" s="343" t="s">
        <v>345</v>
      </c>
    </row>
    <row r="41" spans="1:31" s="11" customFormat="1" ht="21" customHeight="1">
      <c r="A41" s="37"/>
      <c r="B41" s="38"/>
      <c r="C41" s="38"/>
      <c r="D41" s="136"/>
      <c r="E41" s="97"/>
      <c r="F41" s="97"/>
      <c r="G41" s="97"/>
      <c r="H41" s="97"/>
      <c r="I41" s="97"/>
      <c r="J41" s="97"/>
      <c r="K41" s="97"/>
      <c r="L41" s="97"/>
      <c r="M41" s="104"/>
      <c r="N41" s="60"/>
      <c r="O41" s="420" t="s">
        <v>416</v>
      </c>
      <c r="P41" s="420"/>
      <c r="Q41" s="420"/>
      <c r="R41" s="420"/>
      <c r="S41" s="419">
        <v>0</v>
      </c>
      <c r="T41" s="289" t="s">
        <v>325</v>
      </c>
      <c r="U41" s="289" t="s">
        <v>342</v>
      </c>
      <c r="V41" s="434">
        <v>12</v>
      </c>
      <c r="W41" s="388" t="s">
        <v>328</v>
      </c>
      <c r="X41" s="419"/>
      <c r="Y41" s="419"/>
      <c r="Z41" s="419"/>
      <c r="AA41" s="419" t="s">
        <v>329</v>
      </c>
      <c r="AB41" s="419" t="s">
        <v>330</v>
      </c>
      <c r="AC41" s="121"/>
      <c r="AD41" s="121">
        <f>ROUNDUP(S41/V41,-3)</f>
        <v>0</v>
      </c>
      <c r="AE41" s="122" t="s">
        <v>325</v>
      </c>
    </row>
    <row r="42" spans="1:31" s="11" customFormat="1" ht="21" customHeight="1">
      <c r="A42" s="37"/>
      <c r="B42" s="38"/>
      <c r="C42" s="38"/>
      <c r="D42" s="136"/>
      <c r="E42" s="97"/>
      <c r="F42" s="97"/>
      <c r="G42" s="97"/>
      <c r="H42" s="97"/>
      <c r="I42" s="97"/>
      <c r="J42" s="97"/>
      <c r="K42" s="97"/>
      <c r="L42" s="97"/>
      <c r="M42" s="104"/>
      <c r="N42" s="60"/>
      <c r="O42" s="420" t="s">
        <v>346</v>
      </c>
      <c r="P42" s="420"/>
      <c r="Q42" s="420"/>
      <c r="R42" s="420"/>
      <c r="S42" s="419">
        <f>($K$7+$K$14)*1000</f>
        <v>0</v>
      </c>
      <c r="T42" s="289" t="s">
        <v>325</v>
      </c>
      <c r="U42" s="289" t="s">
        <v>342</v>
      </c>
      <c r="V42" s="434">
        <v>12</v>
      </c>
      <c r="W42" s="388" t="s">
        <v>328</v>
      </c>
      <c r="X42" s="419"/>
      <c r="Y42" s="419"/>
      <c r="Z42" s="419"/>
      <c r="AA42" s="419" t="s">
        <v>329</v>
      </c>
      <c r="AB42" s="419" t="s">
        <v>330</v>
      </c>
      <c r="AC42" s="121"/>
      <c r="AD42" s="121">
        <f>ROUND(S42/V42,-3)</f>
        <v>0</v>
      </c>
      <c r="AE42" s="122" t="s">
        <v>325</v>
      </c>
    </row>
    <row r="43" spans="1:31" s="11" customFormat="1" ht="21" customHeight="1">
      <c r="A43" s="37"/>
      <c r="B43" s="38"/>
      <c r="C43" s="38"/>
      <c r="D43" s="137"/>
      <c r="E43" s="97"/>
      <c r="F43" s="97"/>
      <c r="G43" s="97"/>
      <c r="H43" s="97"/>
      <c r="I43" s="97"/>
      <c r="J43" s="97"/>
      <c r="K43" s="97"/>
      <c r="L43" s="97"/>
      <c r="M43" s="104"/>
      <c r="N43" s="60"/>
      <c r="O43" s="292"/>
      <c r="P43" s="151"/>
      <c r="Q43" s="151"/>
      <c r="R43" s="151"/>
      <c r="S43" s="151"/>
      <c r="T43" s="150"/>
      <c r="U43" s="150"/>
      <c r="V43" s="150"/>
      <c r="W43" s="150"/>
      <c r="X43" s="150"/>
      <c r="Y43" s="150"/>
      <c r="Z43" s="150"/>
      <c r="AA43" s="150"/>
      <c r="AB43" s="419"/>
      <c r="AC43" s="42"/>
      <c r="AD43" s="58"/>
      <c r="AE43" s="26"/>
    </row>
    <row r="44" spans="1:31" s="11" customFormat="1" ht="21" customHeight="1">
      <c r="A44" s="37"/>
      <c r="B44" s="38"/>
      <c r="C44" s="111" t="s">
        <v>347</v>
      </c>
      <c r="D44" s="135">
        <v>11575</v>
      </c>
      <c r="E44" s="103">
        <f>ROUND(AD44/1000,0)</f>
        <v>11923</v>
      </c>
      <c r="F44" s="103">
        <f>SUMIF($AB$45:$AB$67,"보조",$AD$45:$AD$67)/1000</f>
        <v>11923</v>
      </c>
      <c r="G44" s="103">
        <f>SUMIF($AB$45:$AB$67,"4종",$AD$45:$AD$67)/1000</f>
        <v>0</v>
      </c>
      <c r="H44" s="103">
        <f>SUMIF($AB$45:$AB$67,"6종",$AD$45:$AD$67)/1000</f>
        <v>0</v>
      </c>
      <c r="I44" s="103">
        <f>SUMIF($AB$45:$AB$67,"후원",$AD$45:$AD$67)/1000</f>
        <v>0</v>
      </c>
      <c r="J44" s="103">
        <f>SUMIF($AB$45:$AB$67,"입소",$AD$45:$AD$67)/1000</f>
        <v>0</v>
      </c>
      <c r="K44" s="103">
        <f>SUMIF($AB$45:$AB$67,"법인",$AD$45:$AD$67)/1000</f>
        <v>0</v>
      </c>
      <c r="L44" s="103">
        <f>SUMIF($AB$45:$AB$67,"잡수",$AD$45:$AD$67)/1000</f>
        <v>0</v>
      </c>
      <c r="M44" s="112">
        <f>E44-D44</f>
        <v>348</v>
      </c>
      <c r="N44" s="109">
        <f>IF(D44=0,0,M44/D44)</f>
        <v>3.0064794816414688E-2</v>
      </c>
      <c r="O44" s="85" t="s">
        <v>36</v>
      </c>
      <c r="P44" s="417"/>
      <c r="Q44" s="153"/>
      <c r="R44" s="153"/>
      <c r="S44" s="153"/>
      <c r="T44" s="152"/>
      <c r="U44" s="152"/>
      <c r="V44" s="152"/>
      <c r="W44" s="416" t="s">
        <v>348</v>
      </c>
      <c r="X44" s="416"/>
      <c r="Y44" s="416"/>
      <c r="Z44" s="416"/>
      <c r="AA44" s="416"/>
      <c r="AB44" s="416"/>
      <c r="AC44" s="147"/>
      <c r="AD44" s="147">
        <f>SUM(AD46,AD50,AD54,AD58,AD62,AD66)</f>
        <v>11923000</v>
      </c>
      <c r="AE44" s="146" t="s">
        <v>25</v>
      </c>
    </row>
    <row r="45" spans="1:31" s="11" customFormat="1" ht="21" customHeight="1">
      <c r="A45" s="37"/>
      <c r="B45" s="38"/>
      <c r="C45" s="38" t="s">
        <v>349</v>
      </c>
      <c r="D45" s="430"/>
      <c r="E45" s="431"/>
      <c r="F45" s="431"/>
      <c r="G45" s="431"/>
      <c r="H45" s="431"/>
      <c r="I45" s="431"/>
      <c r="J45" s="431"/>
      <c r="K45" s="431"/>
      <c r="L45" s="431"/>
      <c r="M45" s="104"/>
      <c r="N45" s="60"/>
      <c r="O45" s="151"/>
      <c r="P45" s="151"/>
      <c r="Q45" s="151"/>
      <c r="R45" s="151"/>
      <c r="S45" s="151"/>
      <c r="T45" s="150"/>
      <c r="U45" s="150"/>
      <c r="V45" s="150"/>
      <c r="W45" s="150"/>
      <c r="X45" s="150"/>
      <c r="Y45" s="150"/>
      <c r="Z45" s="150"/>
      <c r="AA45" s="150"/>
      <c r="AB45" s="150"/>
      <c r="AC45" s="42"/>
      <c r="AD45" s="42"/>
      <c r="AE45" s="26"/>
    </row>
    <row r="46" spans="1:31" s="11" customFormat="1" ht="21" customHeight="1">
      <c r="A46" s="37"/>
      <c r="B46" s="38"/>
      <c r="C46" s="38"/>
      <c r="D46" s="432"/>
      <c r="E46" s="433"/>
      <c r="F46" s="433"/>
      <c r="G46" s="433"/>
      <c r="H46" s="433"/>
      <c r="I46" s="433"/>
      <c r="J46" s="433"/>
      <c r="K46" s="433"/>
      <c r="L46" s="433"/>
      <c r="M46" s="104"/>
      <c r="N46" s="60"/>
      <c r="O46" s="377" t="s">
        <v>350</v>
      </c>
      <c r="P46" s="274"/>
      <c r="Q46" s="274"/>
      <c r="R46" s="274"/>
      <c r="S46" s="274"/>
      <c r="T46" s="270"/>
      <c r="U46" s="270"/>
      <c r="V46" s="270"/>
      <c r="W46" s="341" t="s">
        <v>336</v>
      </c>
      <c r="X46" s="341"/>
      <c r="Y46" s="341"/>
      <c r="Z46" s="341"/>
      <c r="AA46" s="341"/>
      <c r="AB46" s="341"/>
      <c r="AC46" s="342"/>
      <c r="AD46" s="342">
        <f>ROUND(SUM(AD47:AD48),-3)</f>
        <v>5152000</v>
      </c>
      <c r="AE46" s="343" t="s">
        <v>325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4" t="s">
        <v>488</v>
      </c>
      <c r="P47" s="274"/>
      <c r="Q47" s="274"/>
      <c r="R47" s="274"/>
      <c r="S47" s="270">
        <f>S37</f>
        <v>114470000</v>
      </c>
      <c r="T47" s="326" t="s">
        <v>325</v>
      </c>
      <c r="U47" s="325" t="s">
        <v>327</v>
      </c>
      <c r="V47" s="382">
        <v>0.09</v>
      </c>
      <c r="W47" s="326" t="s">
        <v>342</v>
      </c>
      <c r="X47" s="383">
        <v>2</v>
      </c>
      <c r="Y47" s="328"/>
      <c r="Z47" s="328"/>
      <c r="AA47" s="326" t="s">
        <v>329</v>
      </c>
      <c r="AB47" s="270" t="s">
        <v>326</v>
      </c>
      <c r="AC47" s="275"/>
      <c r="AD47" s="121">
        <f>ROUNDUP(S47*V47/X47,-3)</f>
        <v>5152000</v>
      </c>
      <c r="AE47" s="299" t="s">
        <v>325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4"/>
      <c r="P48" s="274"/>
      <c r="Q48" s="274"/>
      <c r="R48" s="274"/>
      <c r="S48" s="270"/>
      <c r="T48" s="326"/>
      <c r="U48" s="325"/>
      <c r="V48" s="382"/>
      <c r="W48" s="326"/>
      <c r="X48" s="383"/>
      <c r="Y48" s="328"/>
      <c r="Z48" s="328"/>
      <c r="AA48" s="326"/>
      <c r="AB48" s="270"/>
      <c r="AC48" s="275"/>
      <c r="AD48" s="121"/>
      <c r="AE48" s="299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274"/>
      <c r="P49" s="274"/>
      <c r="Q49" s="274"/>
      <c r="R49" s="274"/>
      <c r="S49" s="274"/>
      <c r="T49" s="270"/>
      <c r="U49" s="270"/>
      <c r="V49" s="270"/>
      <c r="W49" s="270"/>
      <c r="X49" s="270"/>
      <c r="Y49" s="270"/>
      <c r="Z49" s="270"/>
      <c r="AA49" s="270"/>
      <c r="AB49" s="270"/>
      <c r="AC49" s="275"/>
      <c r="AD49" s="275"/>
      <c r="AE49" s="299"/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377" t="s">
        <v>351</v>
      </c>
      <c r="P50" s="274"/>
      <c r="Q50" s="274"/>
      <c r="R50" s="274"/>
      <c r="S50" s="274"/>
      <c r="T50" s="270"/>
      <c r="U50" s="270"/>
      <c r="V50" s="270"/>
      <c r="W50" s="341" t="s">
        <v>336</v>
      </c>
      <c r="X50" s="341"/>
      <c r="Y50" s="341"/>
      <c r="Z50" s="341"/>
      <c r="AA50" s="341"/>
      <c r="AB50" s="341"/>
      <c r="AC50" s="342" t="s">
        <v>337</v>
      </c>
      <c r="AD50" s="342">
        <f>ROUND(SUM(AD51:AD52),-3)</f>
        <v>4058000</v>
      </c>
      <c r="AE50" s="343" t="s">
        <v>325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4" t="s">
        <v>488</v>
      </c>
      <c r="P51" s="274"/>
      <c r="Q51" s="274"/>
      <c r="R51" s="274"/>
      <c r="S51" s="270">
        <f>S47</f>
        <v>114470000</v>
      </c>
      <c r="T51" s="326" t="s">
        <v>325</v>
      </c>
      <c r="U51" s="325" t="s">
        <v>327</v>
      </c>
      <c r="V51" s="384">
        <v>7.0900000000000005E-2</v>
      </c>
      <c r="W51" s="326" t="s">
        <v>342</v>
      </c>
      <c r="X51" s="385">
        <v>2</v>
      </c>
      <c r="Y51" s="328"/>
      <c r="Z51" s="328"/>
      <c r="AA51" s="326" t="s">
        <v>329</v>
      </c>
      <c r="AB51" s="270" t="s">
        <v>326</v>
      </c>
      <c r="AC51" s="275"/>
      <c r="AD51" s="121">
        <f>ROUND(S51*V51/X51,-3)</f>
        <v>4058000</v>
      </c>
      <c r="AE51" s="299" t="s">
        <v>325</v>
      </c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274"/>
      <c r="P52" s="274"/>
      <c r="Q52" s="274"/>
      <c r="R52" s="274"/>
      <c r="S52" s="270"/>
      <c r="T52" s="270"/>
      <c r="U52" s="326"/>
      <c r="V52" s="384"/>
      <c r="W52" s="270"/>
      <c r="X52" s="326"/>
      <c r="Y52" s="270"/>
      <c r="Z52" s="270"/>
      <c r="AA52" s="270"/>
      <c r="AB52" s="270"/>
      <c r="AC52" s="275"/>
      <c r="AD52" s="121"/>
      <c r="AE52" s="299"/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4"/>
      <c r="P53" s="274"/>
      <c r="Q53" s="274"/>
      <c r="R53" s="274"/>
      <c r="S53" s="274"/>
      <c r="T53" s="270"/>
      <c r="U53" s="270"/>
      <c r="V53" s="270"/>
      <c r="W53" s="270"/>
      <c r="X53" s="270"/>
      <c r="Y53" s="270"/>
      <c r="Z53" s="270"/>
      <c r="AA53" s="270"/>
      <c r="AB53" s="270"/>
      <c r="AC53" s="275"/>
      <c r="AD53" s="275"/>
      <c r="AE53" s="299"/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377" t="s">
        <v>352</v>
      </c>
      <c r="P54" s="274"/>
      <c r="Q54" s="274"/>
      <c r="R54" s="274"/>
      <c r="S54" s="274"/>
      <c r="T54" s="270"/>
      <c r="U54" s="270"/>
      <c r="V54" s="270"/>
      <c r="W54" s="341" t="s">
        <v>336</v>
      </c>
      <c r="X54" s="341"/>
      <c r="Y54" s="341"/>
      <c r="Z54" s="341"/>
      <c r="AA54" s="341"/>
      <c r="AB54" s="341"/>
      <c r="AC54" s="342" t="s">
        <v>337</v>
      </c>
      <c r="AD54" s="342">
        <f>ROUND(SUM(AD55:AD56),-3)</f>
        <v>526000</v>
      </c>
      <c r="AE54" s="343" t="s">
        <v>325</v>
      </c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274" t="s">
        <v>488</v>
      </c>
      <c r="P55" s="274"/>
      <c r="Q55" s="274"/>
      <c r="R55" s="274"/>
      <c r="S55" s="386">
        <f>AD51</f>
        <v>4058000</v>
      </c>
      <c r="T55" s="326" t="s">
        <v>325</v>
      </c>
      <c r="U55" s="325" t="s">
        <v>327</v>
      </c>
      <c r="V55" s="384">
        <v>0.1295</v>
      </c>
      <c r="W55" s="325"/>
      <c r="X55" s="327"/>
      <c r="Y55" s="328"/>
      <c r="Z55" s="328"/>
      <c r="AA55" s="326" t="s">
        <v>329</v>
      </c>
      <c r="AB55" s="270" t="s">
        <v>326</v>
      </c>
      <c r="AC55" s="275"/>
      <c r="AD55" s="275">
        <f>ROUND(S55*V55,-3)</f>
        <v>526000</v>
      </c>
      <c r="AE55" s="299" t="s">
        <v>325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4"/>
      <c r="P56" s="274"/>
      <c r="Q56" s="274"/>
      <c r="R56" s="274"/>
      <c r="S56" s="386"/>
      <c r="T56" s="326"/>
      <c r="U56" s="325"/>
      <c r="V56" s="384"/>
      <c r="W56" s="325"/>
      <c r="X56" s="327"/>
      <c r="Y56" s="328"/>
      <c r="Z56" s="328"/>
      <c r="AA56" s="326"/>
      <c r="AB56" s="270"/>
      <c r="AC56" s="275"/>
      <c r="AD56" s="121"/>
      <c r="AE56" s="299"/>
    </row>
    <row r="57" spans="1:31" s="11" customFormat="1" ht="21" customHeight="1">
      <c r="A57" s="37"/>
      <c r="B57" s="38"/>
      <c r="C57" s="38"/>
      <c r="D57" s="133"/>
      <c r="E57" s="97"/>
      <c r="F57" s="97"/>
      <c r="G57" s="97"/>
      <c r="H57" s="97"/>
      <c r="I57" s="97"/>
      <c r="J57" s="97"/>
      <c r="K57" s="97"/>
      <c r="L57" s="97"/>
      <c r="M57" s="97"/>
      <c r="N57" s="60"/>
      <c r="O57" s="274"/>
      <c r="P57" s="274"/>
      <c r="Q57" s="274"/>
      <c r="R57" s="274"/>
      <c r="S57" s="274"/>
      <c r="T57" s="270"/>
      <c r="U57" s="270"/>
      <c r="V57" s="270"/>
      <c r="W57" s="270"/>
      <c r="X57" s="270"/>
      <c r="Y57" s="270"/>
      <c r="Z57" s="270"/>
      <c r="AA57" s="270"/>
      <c r="AB57" s="270"/>
      <c r="AC57" s="275"/>
      <c r="AD57" s="275"/>
      <c r="AE57" s="299"/>
    </row>
    <row r="58" spans="1:31" s="11" customFormat="1" ht="21" customHeight="1">
      <c r="A58" s="37"/>
      <c r="B58" s="38"/>
      <c r="C58" s="38"/>
      <c r="D58" s="133"/>
      <c r="E58" s="97"/>
      <c r="F58" s="97"/>
      <c r="G58" s="97"/>
      <c r="H58" s="97"/>
      <c r="I58" s="97"/>
      <c r="J58" s="97"/>
      <c r="K58" s="97"/>
      <c r="L58" s="97"/>
      <c r="M58" s="97"/>
      <c r="N58" s="60"/>
      <c r="O58" s="377" t="s">
        <v>353</v>
      </c>
      <c r="P58" s="274"/>
      <c r="Q58" s="274"/>
      <c r="R58" s="274"/>
      <c r="S58" s="274"/>
      <c r="T58" s="270"/>
      <c r="U58" s="270"/>
      <c r="V58" s="270"/>
      <c r="W58" s="341" t="s">
        <v>336</v>
      </c>
      <c r="X58" s="341"/>
      <c r="Y58" s="341"/>
      <c r="Z58" s="341"/>
      <c r="AA58" s="341"/>
      <c r="AB58" s="341"/>
      <c r="AC58" s="342" t="s">
        <v>337</v>
      </c>
      <c r="AD58" s="342">
        <f>ROUND(SUM(AD59:AD61),-3)</f>
        <v>1317000</v>
      </c>
      <c r="AE58" s="343" t="s">
        <v>325</v>
      </c>
    </row>
    <row r="59" spans="1:31" s="11" customFormat="1" ht="21" customHeight="1">
      <c r="A59" s="37"/>
      <c r="B59" s="38"/>
      <c r="C59" s="38"/>
      <c r="D59" s="133"/>
      <c r="E59" s="97"/>
      <c r="F59" s="97"/>
      <c r="G59" s="97"/>
      <c r="H59" s="97"/>
      <c r="I59" s="97"/>
      <c r="J59" s="97"/>
      <c r="K59" s="97"/>
      <c r="L59" s="97"/>
      <c r="M59" s="97"/>
      <c r="N59" s="60"/>
      <c r="O59" s="274" t="s">
        <v>488</v>
      </c>
      <c r="P59" s="274"/>
      <c r="Q59" s="274"/>
      <c r="R59" s="274"/>
      <c r="S59" s="270">
        <f>S51</f>
        <v>114470000</v>
      </c>
      <c r="T59" s="326" t="s">
        <v>325</v>
      </c>
      <c r="U59" s="325" t="s">
        <v>327</v>
      </c>
      <c r="V59" s="384">
        <v>1.15E-2</v>
      </c>
      <c r="W59" s="325"/>
      <c r="X59" s="327"/>
      <c r="Y59" s="328"/>
      <c r="Z59" s="328"/>
      <c r="AA59" s="326" t="s">
        <v>329</v>
      </c>
      <c r="AB59" s="270" t="s">
        <v>326</v>
      </c>
      <c r="AC59" s="275"/>
      <c r="AD59" s="121">
        <f>ROUNDUP(S59*V59,-3)</f>
        <v>1317000</v>
      </c>
      <c r="AE59" s="299" t="s">
        <v>325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274"/>
      <c r="P60" s="274"/>
      <c r="Q60" s="274"/>
      <c r="R60" s="274"/>
      <c r="S60" s="270"/>
      <c r="T60" s="326"/>
      <c r="U60" s="325"/>
      <c r="V60" s="384"/>
      <c r="W60" s="325"/>
      <c r="X60" s="327"/>
      <c r="Y60" s="328"/>
      <c r="Z60" s="328"/>
      <c r="AA60" s="326"/>
      <c r="AB60" s="270"/>
      <c r="AC60" s="275"/>
      <c r="AD60" s="121"/>
      <c r="AE60" s="299"/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35"/>
      <c r="P61" s="435"/>
      <c r="Q61" s="435"/>
      <c r="R61" s="435"/>
      <c r="S61" s="435"/>
      <c r="T61" s="378"/>
      <c r="U61" s="378"/>
      <c r="V61" s="378"/>
      <c r="W61" s="378"/>
      <c r="X61" s="378"/>
      <c r="Y61" s="378"/>
      <c r="Z61" s="378"/>
      <c r="AA61" s="378"/>
      <c r="AB61" s="378"/>
      <c r="AC61" s="427"/>
      <c r="AD61" s="427"/>
      <c r="AE61" s="436"/>
    </row>
    <row r="62" spans="1:31" s="11" customFormat="1" ht="21" customHeight="1">
      <c r="A62" s="37"/>
      <c r="B62" s="38"/>
      <c r="C62" s="38"/>
      <c r="D62" s="133"/>
      <c r="E62" s="97"/>
      <c r="F62" s="97"/>
      <c r="G62" s="97"/>
      <c r="H62" s="97"/>
      <c r="I62" s="97"/>
      <c r="J62" s="97"/>
      <c r="K62" s="97"/>
      <c r="L62" s="97"/>
      <c r="M62" s="97"/>
      <c r="N62" s="60"/>
      <c r="O62" s="377" t="s">
        <v>354</v>
      </c>
      <c r="P62" s="274"/>
      <c r="Q62" s="274"/>
      <c r="R62" s="274"/>
      <c r="S62" s="274"/>
      <c r="T62" s="270"/>
      <c r="U62" s="270"/>
      <c r="V62" s="270"/>
      <c r="W62" s="341" t="s">
        <v>336</v>
      </c>
      <c r="X62" s="341"/>
      <c r="Y62" s="341"/>
      <c r="Z62" s="341"/>
      <c r="AA62" s="341"/>
      <c r="AB62" s="341"/>
      <c r="AC62" s="342" t="s">
        <v>337</v>
      </c>
      <c r="AD62" s="342">
        <f>ROUND(SUM(AD63:AD64),-3)</f>
        <v>870000</v>
      </c>
      <c r="AE62" s="343" t="s">
        <v>325</v>
      </c>
    </row>
    <row r="63" spans="1:31" s="11" customFormat="1" ht="21" customHeight="1">
      <c r="A63" s="37"/>
      <c r="B63" s="38"/>
      <c r="C63" s="38"/>
      <c r="D63" s="133"/>
      <c r="E63" s="97"/>
      <c r="F63" s="97"/>
      <c r="G63" s="97"/>
      <c r="H63" s="97"/>
      <c r="I63" s="97"/>
      <c r="J63" s="97"/>
      <c r="K63" s="97"/>
      <c r="L63" s="97"/>
      <c r="M63" s="97"/>
      <c r="N63" s="60"/>
      <c r="O63" s="274" t="s">
        <v>488</v>
      </c>
      <c r="P63" s="274"/>
      <c r="Q63" s="274"/>
      <c r="R63" s="274"/>
      <c r="S63" s="270">
        <f>S59</f>
        <v>114470000</v>
      </c>
      <c r="T63" s="326" t="s">
        <v>325</v>
      </c>
      <c r="U63" s="325" t="s">
        <v>327</v>
      </c>
      <c r="V63" s="387">
        <v>7.6E-3</v>
      </c>
      <c r="W63" s="325"/>
      <c r="X63" s="327"/>
      <c r="Y63" s="328"/>
      <c r="Z63" s="328"/>
      <c r="AA63" s="326" t="s">
        <v>329</v>
      </c>
      <c r="AB63" s="270" t="s">
        <v>326</v>
      </c>
      <c r="AC63" s="275"/>
      <c r="AD63" s="121">
        <f>ROUNDUP(S63*V63,-3)</f>
        <v>870000</v>
      </c>
      <c r="AE63" s="299" t="s">
        <v>325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274"/>
      <c r="P64" s="274"/>
      <c r="Q64" s="274"/>
      <c r="R64" s="274"/>
      <c r="S64" s="270"/>
      <c r="T64" s="326"/>
      <c r="U64" s="325"/>
      <c r="V64" s="387"/>
      <c r="W64" s="325"/>
      <c r="X64" s="327"/>
      <c r="Y64" s="328"/>
      <c r="Z64" s="328"/>
      <c r="AA64" s="326"/>
      <c r="AB64" s="270"/>
      <c r="AC64" s="275"/>
      <c r="AD64" s="121"/>
      <c r="AE64" s="299"/>
    </row>
    <row r="65" spans="1:31" s="11" customFormat="1" ht="21" customHeight="1">
      <c r="A65" s="37"/>
      <c r="B65" s="38"/>
      <c r="C65" s="38"/>
      <c r="D65" s="133"/>
      <c r="E65" s="97"/>
      <c r="F65" s="97"/>
      <c r="G65" s="97"/>
      <c r="H65" s="97"/>
      <c r="I65" s="97"/>
      <c r="J65" s="97"/>
      <c r="K65" s="97"/>
      <c r="L65" s="97"/>
      <c r="M65" s="97"/>
      <c r="N65" s="60"/>
      <c r="O65" s="274"/>
      <c r="P65" s="274"/>
      <c r="Q65" s="274"/>
      <c r="R65" s="274"/>
      <c r="S65" s="270"/>
      <c r="T65" s="326"/>
      <c r="U65" s="325"/>
      <c r="V65" s="387"/>
      <c r="W65" s="325"/>
      <c r="X65" s="327"/>
      <c r="Y65" s="328"/>
      <c r="Z65" s="328"/>
      <c r="AA65" s="326"/>
      <c r="AB65" s="270"/>
      <c r="AC65" s="275"/>
      <c r="AD65" s="275"/>
      <c r="AE65" s="299"/>
    </row>
    <row r="66" spans="1:31" s="11" customFormat="1" ht="21" customHeight="1">
      <c r="A66" s="37"/>
      <c r="B66" s="38"/>
      <c r="C66" s="38"/>
      <c r="D66" s="133"/>
      <c r="E66" s="97"/>
      <c r="F66" s="97"/>
      <c r="G66" s="97"/>
      <c r="H66" s="97"/>
      <c r="I66" s="97"/>
      <c r="J66" s="97"/>
      <c r="K66" s="97"/>
      <c r="L66" s="97"/>
      <c r="M66" s="97"/>
      <c r="N66" s="60"/>
      <c r="O66" s="340" t="s">
        <v>417</v>
      </c>
      <c r="P66" s="274"/>
      <c r="Q66" s="274"/>
      <c r="R66" s="274"/>
      <c r="S66" s="270"/>
      <c r="T66" s="326"/>
      <c r="U66" s="325"/>
      <c r="V66" s="387"/>
      <c r="W66" s="450"/>
      <c r="X66" s="451"/>
      <c r="Y66" s="452"/>
      <c r="Z66" s="452"/>
      <c r="AA66" s="375"/>
      <c r="AB66" s="341" t="s">
        <v>330</v>
      </c>
      <c r="AC66" s="342"/>
      <c r="AD66" s="395">
        <v>0</v>
      </c>
      <c r="AE66" s="343" t="s">
        <v>325</v>
      </c>
    </row>
    <row r="67" spans="1:31" s="11" customFormat="1" ht="21" customHeight="1">
      <c r="A67" s="37"/>
      <c r="B67" s="38"/>
      <c r="C67" s="38"/>
      <c r="D67" s="133"/>
      <c r="E67" s="97"/>
      <c r="F67" s="97"/>
      <c r="G67" s="97"/>
      <c r="H67" s="97"/>
      <c r="I67" s="97"/>
      <c r="J67" s="97"/>
      <c r="K67" s="97"/>
      <c r="L67" s="97"/>
      <c r="M67" s="97"/>
      <c r="N67" s="60"/>
      <c r="O67" s="274"/>
      <c r="P67" s="274"/>
      <c r="Q67" s="274"/>
      <c r="R67" s="274"/>
      <c r="S67" s="274"/>
      <c r="T67" s="270"/>
      <c r="U67" s="270"/>
      <c r="V67" s="270"/>
      <c r="W67" s="270"/>
      <c r="X67" s="270"/>
      <c r="Y67" s="270"/>
      <c r="Z67" s="270"/>
      <c r="AA67" s="270"/>
      <c r="AB67" s="270"/>
      <c r="AC67" s="275"/>
      <c r="AD67" s="275"/>
      <c r="AE67" s="299"/>
    </row>
    <row r="68" spans="1:31" s="11" customFormat="1" ht="21" customHeight="1">
      <c r="A68" s="37"/>
      <c r="B68" s="38"/>
      <c r="C68" s="28" t="s">
        <v>355</v>
      </c>
      <c r="D68" s="135">
        <v>500</v>
      </c>
      <c r="E68" s="103">
        <f>ROUND(AD68/1000,0)</f>
        <v>500</v>
      </c>
      <c r="F68" s="103">
        <f>SUMIF($AB$69:$AB$72,"보조",$AD$69:$AD$72)/1000</f>
        <v>0</v>
      </c>
      <c r="G68" s="103">
        <f>SUMIF($AB$69:$AB$72,"4종",$AD$69:$AD$72)/1000</f>
        <v>0</v>
      </c>
      <c r="H68" s="103">
        <f>SUMIF($AB$69:$AB$72,"6종",$AD$69:$AD$72)/1000</f>
        <v>300</v>
      </c>
      <c r="I68" s="103">
        <f>SUMIF($AB$69:$AB$72,"후원",$AD$69:$AD$72)/1000</f>
        <v>200</v>
      </c>
      <c r="J68" s="103">
        <f>SUMIF($AB$69:$AB$72,"입소",$AD$69:$AD$72)/1000</f>
        <v>0</v>
      </c>
      <c r="K68" s="103">
        <f>SUMIF($AB$69:$AB$72,"법인",$AD$69:$AD$72)/1000</f>
        <v>0</v>
      </c>
      <c r="L68" s="103">
        <f>SUMIF($AB$69:$AB$72,"잡수",$AD$69:$AD$72)/1000</f>
        <v>0</v>
      </c>
      <c r="M68" s="102">
        <f>E68-D68</f>
        <v>0</v>
      </c>
      <c r="N68" s="109">
        <f>IF(D68=0,0,M68/D68)</f>
        <v>0</v>
      </c>
      <c r="O68" s="85" t="s">
        <v>356</v>
      </c>
      <c r="P68" s="417"/>
      <c r="Q68" s="153"/>
      <c r="R68" s="153"/>
      <c r="S68" s="153"/>
      <c r="T68" s="152"/>
      <c r="U68" s="152"/>
      <c r="V68" s="152"/>
      <c r="W68" s="517" t="s">
        <v>348</v>
      </c>
      <c r="X68" s="517"/>
      <c r="Y68" s="517"/>
      <c r="Z68" s="517"/>
      <c r="AA68" s="517"/>
      <c r="AB68" s="517"/>
      <c r="AC68" s="147"/>
      <c r="AD68" s="147">
        <f>SUM(AD69:AD71)</f>
        <v>500000</v>
      </c>
      <c r="AE68" s="146" t="s">
        <v>25</v>
      </c>
    </row>
    <row r="69" spans="1:31" s="11" customFormat="1" ht="21" customHeight="1">
      <c r="A69" s="37"/>
      <c r="B69" s="38"/>
      <c r="C69" s="38"/>
      <c r="D69" s="430"/>
      <c r="E69" s="431"/>
      <c r="F69" s="431"/>
      <c r="G69" s="431"/>
      <c r="H69" s="431"/>
      <c r="I69" s="431"/>
      <c r="J69" s="431"/>
      <c r="K69" s="431"/>
      <c r="L69" s="431"/>
      <c r="M69" s="97"/>
      <c r="N69" s="60"/>
      <c r="O69" s="498" t="s">
        <v>357</v>
      </c>
      <c r="P69" s="454"/>
      <c r="Q69" s="454"/>
      <c r="R69" s="454"/>
      <c r="S69" s="502">
        <v>300000</v>
      </c>
      <c r="T69" s="503" t="s">
        <v>25</v>
      </c>
      <c r="U69" s="504" t="s">
        <v>26</v>
      </c>
      <c r="V69" s="505">
        <v>1</v>
      </c>
      <c r="W69" s="504" t="s">
        <v>432</v>
      </c>
      <c r="X69" s="499"/>
      <c r="Y69" s="507"/>
      <c r="Z69" s="507"/>
      <c r="AA69" s="503" t="s">
        <v>27</v>
      </c>
      <c r="AB69" s="502" t="s">
        <v>301</v>
      </c>
      <c r="AC69" s="506"/>
      <c r="AD69" s="506">
        <f>ROUNDUP(S69*V69,-3)</f>
        <v>300000</v>
      </c>
      <c r="AE69" s="501" t="s">
        <v>25</v>
      </c>
    </row>
    <row r="70" spans="1:31" s="11" customFormat="1" ht="21" customHeight="1">
      <c r="A70" s="37"/>
      <c r="B70" s="38"/>
      <c r="C70" s="38"/>
      <c r="D70" s="432"/>
      <c r="E70" s="433"/>
      <c r="F70" s="433"/>
      <c r="G70" s="433"/>
      <c r="H70" s="433"/>
      <c r="I70" s="433"/>
      <c r="J70" s="433"/>
      <c r="K70" s="433"/>
      <c r="L70" s="433"/>
      <c r="M70" s="97"/>
      <c r="N70" s="60"/>
      <c r="O70" s="498" t="s">
        <v>463</v>
      </c>
      <c r="P70" s="498"/>
      <c r="Q70" s="498"/>
      <c r="R70" s="498"/>
      <c r="S70" s="502">
        <v>50000</v>
      </c>
      <c r="T70" s="503" t="s">
        <v>25</v>
      </c>
      <c r="U70" s="504" t="s">
        <v>26</v>
      </c>
      <c r="V70" s="505">
        <v>2</v>
      </c>
      <c r="W70" s="504" t="s">
        <v>108</v>
      </c>
      <c r="X70" s="499"/>
      <c r="Y70" s="500"/>
      <c r="Z70" s="500"/>
      <c r="AA70" s="503" t="s">
        <v>27</v>
      </c>
      <c r="AB70" s="502" t="s">
        <v>490</v>
      </c>
      <c r="AC70" s="506"/>
      <c r="AD70" s="506">
        <f>ROUND(S70*V70,-3)</f>
        <v>100000</v>
      </c>
      <c r="AE70" s="501" t="s">
        <v>25</v>
      </c>
    </row>
    <row r="71" spans="1:31" s="11" customFormat="1" ht="21" customHeight="1">
      <c r="A71" s="37"/>
      <c r="B71" s="38"/>
      <c r="C71" s="38"/>
      <c r="D71" s="133"/>
      <c r="E71" s="97"/>
      <c r="F71" s="97"/>
      <c r="G71" s="97"/>
      <c r="H71" s="97"/>
      <c r="I71" s="97"/>
      <c r="J71" s="97"/>
      <c r="K71" s="97"/>
      <c r="L71" s="97"/>
      <c r="M71" s="97"/>
      <c r="N71" s="60"/>
      <c r="O71" s="498" t="s">
        <v>464</v>
      </c>
      <c r="P71" s="498"/>
      <c r="Q71" s="498"/>
      <c r="R71" s="498"/>
      <c r="S71" s="502">
        <v>50000</v>
      </c>
      <c r="T71" s="503" t="s">
        <v>25</v>
      </c>
      <c r="U71" s="504" t="s">
        <v>26</v>
      </c>
      <c r="V71" s="505">
        <v>2</v>
      </c>
      <c r="W71" s="504" t="s">
        <v>108</v>
      </c>
      <c r="X71" s="499"/>
      <c r="Y71" s="500"/>
      <c r="Z71" s="500"/>
      <c r="AA71" s="503" t="s">
        <v>27</v>
      </c>
      <c r="AB71" s="502" t="s">
        <v>358</v>
      </c>
      <c r="AC71" s="506"/>
      <c r="AD71" s="506">
        <f>ROUNDUP(S71*V71,-3)</f>
        <v>100000</v>
      </c>
      <c r="AE71" s="501" t="s">
        <v>25</v>
      </c>
    </row>
    <row r="72" spans="1:31" s="11" customFormat="1" ht="21" customHeight="1">
      <c r="A72" s="37"/>
      <c r="B72" s="49"/>
      <c r="C72" s="49"/>
      <c r="D72" s="134"/>
      <c r="E72" s="100"/>
      <c r="F72" s="100"/>
      <c r="G72" s="100"/>
      <c r="H72" s="100"/>
      <c r="I72" s="100"/>
      <c r="J72" s="100"/>
      <c r="K72" s="100"/>
      <c r="L72" s="100"/>
      <c r="M72" s="100"/>
      <c r="N72" s="75"/>
      <c r="O72" s="498"/>
      <c r="P72" s="498"/>
      <c r="Q72" s="498"/>
      <c r="R72" s="498"/>
      <c r="S72" s="502"/>
      <c r="T72" s="503"/>
      <c r="U72" s="504"/>
      <c r="V72" s="505"/>
      <c r="W72" s="518"/>
      <c r="X72" s="519"/>
      <c r="Y72" s="520"/>
      <c r="Z72" s="520"/>
      <c r="AA72" s="521"/>
      <c r="AB72" s="522"/>
      <c r="AC72" s="523"/>
      <c r="AD72" s="523"/>
      <c r="AE72" s="524"/>
    </row>
    <row r="73" spans="1:31" s="11" customFormat="1" ht="21" customHeight="1">
      <c r="A73" s="37"/>
      <c r="B73" s="28" t="s">
        <v>359</v>
      </c>
      <c r="C73" s="28" t="s">
        <v>5</v>
      </c>
      <c r="D73" s="102">
        <f t="shared" ref="D73:L73" si="3">SUM(D74,D76,D78)</f>
        <v>130</v>
      </c>
      <c r="E73" s="102">
        <f t="shared" si="3"/>
        <v>130</v>
      </c>
      <c r="F73" s="102">
        <f t="shared" si="3"/>
        <v>0</v>
      </c>
      <c r="G73" s="102">
        <f t="shared" si="3"/>
        <v>0</v>
      </c>
      <c r="H73" s="102">
        <f t="shared" si="3"/>
        <v>0</v>
      </c>
      <c r="I73" s="102">
        <f t="shared" si="3"/>
        <v>0</v>
      </c>
      <c r="J73" s="102">
        <f t="shared" si="3"/>
        <v>130</v>
      </c>
      <c r="K73" s="102">
        <f t="shared" si="3"/>
        <v>0</v>
      </c>
      <c r="L73" s="102">
        <f t="shared" si="3"/>
        <v>0</v>
      </c>
      <c r="M73" s="102">
        <f>E73-D73</f>
        <v>0</v>
      </c>
      <c r="N73" s="109">
        <f>IF(D73=0,0,M73/D73)</f>
        <v>0</v>
      </c>
      <c r="O73" s="153" t="s">
        <v>360</v>
      </c>
      <c r="P73" s="153"/>
      <c r="Q73" s="153"/>
      <c r="R73" s="153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82"/>
      <c r="AD73" s="82">
        <f>SUM(AD74,AD76,AD78)</f>
        <v>130000</v>
      </c>
      <c r="AE73" s="83" t="s">
        <v>25</v>
      </c>
    </row>
    <row r="74" spans="1:31" s="11" customFormat="1" ht="21" customHeight="1">
      <c r="A74" s="37"/>
      <c r="B74" s="38" t="s">
        <v>361</v>
      </c>
      <c r="C74" s="28" t="s">
        <v>10</v>
      </c>
      <c r="D74" s="135">
        <v>0</v>
      </c>
      <c r="E74" s="102">
        <f>AD74/1000</f>
        <v>0</v>
      </c>
      <c r="F74" s="103">
        <f>SUMIF($AB$75:$AB$75,"보조",$AD$75:$AD$75)/1000</f>
        <v>0</v>
      </c>
      <c r="G74" s="103">
        <f>SUMIF($AB$75:$AB$75,"4종",$AD$75:$AD$75)/1000</f>
        <v>0</v>
      </c>
      <c r="H74" s="103">
        <f>SUMIF($AB$75:$AB$75,"6종",$AD$75:$AD$75)/1000</f>
        <v>0</v>
      </c>
      <c r="I74" s="103">
        <f>SUMIF($AB$75:$AB$75,"후원",$AD$75:$AD$75)/1000</f>
        <v>0</v>
      </c>
      <c r="J74" s="103">
        <f>SUMIF($AB$75:$AB$75,"입소",$AD$75:$AD$75)/1000</f>
        <v>0</v>
      </c>
      <c r="K74" s="103">
        <f>SUMIF($AB$75:$AB$75,"법인",$AD$75:$AD$75)/1000</f>
        <v>0</v>
      </c>
      <c r="L74" s="103">
        <f>SUMIF($AB$75:$AB$75,"잡수",$AD$75:$AD$75)/1000</f>
        <v>0</v>
      </c>
      <c r="M74" s="102">
        <f>E74-D74</f>
        <v>0</v>
      </c>
      <c r="N74" s="109">
        <f>IF(D74=0,0,M74/D74)</f>
        <v>0</v>
      </c>
      <c r="O74" s="85" t="s">
        <v>37</v>
      </c>
      <c r="P74" s="131"/>
      <c r="Q74" s="139"/>
      <c r="R74" s="139"/>
      <c r="S74" s="139"/>
      <c r="T74" s="79"/>
      <c r="U74" s="79"/>
      <c r="V74" s="79"/>
      <c r="W74" s="79"/>
      <c r="X74" s="79"/>
      <c r="Y74" s="416" t="s">
        <v>362</v>
      </c>
      <c r="Z74" s="416"/>
      <c r="AA74" s="416"/>
      <c r="AB74" s="416"/>
      <c r="AC74" s="147"/>
      <c r="AD74" s="147">
        <f>AD75</f>
        <v>0</v>
      </c>
      <c r="AE74" s="146" t="s">
        <v>25</v>
      </c>
    </row>
    <row r="75" spans="1:31" s="11" customFormat="1" ht="21" customHeight="1">
      <c r="A75" s="37"/>
      <c r="B75" s="38"/>
      <c r="C75" s="38"/>
      <c r="D75" s="133"/>
      <c r="E75" s="97"/>
      <c r="F75" s="97"/>
      <c r="G75" s="97"/>
      <c r="H75" s="97"/>
      <c r="I75" s="97"/>
      <c r="J75" s="97"/>
      <c r="K75" s="97"/>
      <c r="L75" s="97"/>
      <c r="M75" s="97"/>
      <c r="N75" s="60"/>
      <c r="O75" s="420" t="s">
        <v>363</v>
      </c>
      <c r="P75" s="420"/>
      <c r="Q75" s="420"/>
      <c r="R75" s="420"/>
      <c r="S75" s="419"/>
      <c r="T75" s="293"/>
      <c r="U75" s="293"/>
      <c r="V75" s="419"/>
      <c r="W75" s="420"/>
      <c r="X75" s="419"/>
      <c r="Y75" s="419"/>
      <c r="Z75" s="419"/>
      <c r="AA75" s="419"/>
      <c r="AB75" s="419" t="s">
        <v>330</v>
      </c>
      <c r="AC75" s="419"/>
      <c r="AD75" s="419">
        <v>0</v>
      </c>
      <c r="AE75" s="122" t="s">
        <v>325</v>
      </c>
    </row>
    <row r="76" spans="1:31" s="11" customFormat="1" ht="21" customHeight="1">
      <c r="A76" s="37"/>
      <c r="B76" s="38"/>
      <c r="C76" s="28" t="s">
        <v>11</v>
      </c>
      <c r="D76" s="135">
        <v>0</v>
      </c>
      <c r="E76" s="102">
        <f>AD76/1000</f>
        <v>0</v>
      </c>
      <c r="F76" s="103">
        <f>SUMIF($AB$77:$AB$77,"보조",$AD$77:$AD$77)/1000</f>
        <v>0</v>
      </c>
      <c r="G76" s="103">
        <f>SUMIF($AB$77:$AB$77,"4종",$AD$77:$AD$77)/1000</f>
        <v>0</v>
      </c>
      <c r="H76" s="103">
        <f>SUMIF($AB$77:$AB$77,"6종",$AD$77:$AD$77)/1000</f>
        <v>0</v>
      </c>
      <c r="I76" s="103">
        <f>SUMIF($AB$77:$AB$77,"후원",$AD$77:$AD$77)/1000</f>
        <v>0</v>
      </c>
      <c r="J76" s="103">
        <f>SUMIF($AB$77:$AB$77,"입소",$AD$77:$AD$77)/1000</f>
        <v>0</v>
      </c>
      <c r="K76" s="103">
        <f>SUMIF($AB$77:$AB$77,"법인",$AD$77:$AD$77)/1000</f>
        <v>0</v>
      </c>
      <c r="L76" s="103">
        <f>SUMIF($AB$77:$AB$77,"잡수",$AD$77:$AD$77)/1000</f>
        <v>0</v>
      </c>
      <c r="M76" s="102">
        <f>E76-D76</f>
        <v>0</v>
      </c>
      <c r="N76" s="109">
        <f>IF(D76=0,0,M76/D76)</f>
        <v>0</v>
      </c>
      <c r="O76" s="85" t="s">
        <v>364</v>
      </c>
      <c r="P76" s="417"/>
      <c r="Q76" s="153"/>
      <c r="R76" s="153"/>
      <c r="S76" s="153"/>
      <c r="T76" s="152"/>
      <c r="U76" s="152"/>
      <c r="V76" s="152"/>
      <c r="W76" s="152"/>
      <c r="X76" s="152"/>
      <c r="Y76" s="416" t="s">
        <v>362</v>
      </c>
      <c r="Z76" s="416"/>
      <c r="AA76" s="416"/>
      <c r="AB76" s="416"/>
      <c r="AC76" s="147"/>
      <c r="AD76" s="147">
        <v>0</v>
      </c>
      <c r="AE76" s="146" t="s">
        <v>25</v>
      </c>
    </row>
    <row r="77" spans="1:31" s="11" customFormat="1" ht="21" customHeight="1">
      <c r="A77" s="37"/>
      <c r="B77" s="38"/>
      <c r="C77" s="49"/>
      <c r="D77" s="134"/>
      <c r="E77" s="100"/>
      <c r="F77" s="100"/>
      <c r="G77" s="100"/>
      <c r="H77" s="100"/>
      <c r="I77" s="100"/>
      <c r="J77" s="100"/>
      <c r="K77" s="100"/>
      <c r="L77" s="100"/>
      <c r="M77" s="100"/>
      <c r="N77" s="75"/>
      <c r="O77" s="348"/>
      <c r="P77" s="348"/>
      <c r="Q77" s="348"/>
      <c r="R77" s="348"/>
      <c r="S77" s="347"/>
      <c r="T77" s="76"/>
      <c r="U77" s="76"/>
      <c r="V77" s="347"/>
      <c r="W77" s="348"/>
      <c r="X77" s="347"/>
      <c r="Y77" s="347"/>
      <c r="Z77" s="347"/>
      <c r="AA77" s="347"/>
      <c r="AB77" s="347"/>
      <c r="AC77" s="347"/>
      <c r="AD77" s="347"/>
      <c r="AE77" s="63"/>
    </row>
    <row r="78" spans="1:31" s="11" customFormat="1" ht="21" customHeight="1">
      <c r="A78" s="37"/>
      <c r="B78" s="38"/>
      <c r="C78" s="38" t="s">
        <v>365</v>
      </c>
      <c r="D78" s="133">
        <v>130</v>
      </c>
      <c r="E78" s="97">
        <f>AD78/1000</f>
        <v>130</v>
      </c>
      <c r="F78" s="103">
        <f>SUMIF($AB$79:$AB$81,"보조",$AD$79:$AD$81)/1000</f>
        <v>0</v>
      </c>
      <c r="G78" s="103">
        <f>SUMIF($AB$79:$AB$81,"4종",$AD$79:$AD$81)/1000</f>
        <v>0</v>
      </c>
      <c r="H78" s="103">
        <f>SUMIF($AB$79:$AB$81,"7종",$AD$79:$AD$81)/1000</f>
        <v>0</v>
      </c>
      <c r="I78" s="103">
        <f>SUMIF($AB$79:$AB$81,"후원",$AD$79:$AD$81)/1000</f>
        <v>0</v>
      </c>
      <c r="J78" s="103">
        <f>SUMIF($AB$79:$AB$81,"입소",$AD$79:$AD$81)/1000</f>
        <v>130</v>
      </c>
      <c r="K78" s="103">
        <f>SUMIF($AB$79:$AB$81,"법인",$AD$79:$AD$81)/1000</f>
        <v>0</v>
      </c>
      <c r="L78" s="103">
        <f>SUMIF($AB$79:$AB$81,"잡수",$AD$79:$AD$81)/1000</f>
        <v>0</v>
      </c>
      <c r="M78" s="97">
        <f>E78-D78</f>
        <v>0</v>
      </c>
      <c r="N78" s="60">
        <f>IF(D78=0,0,M78/D78)</f>
        <v>0</v>
      </c>
      <c r="O78" s="105" t="s">
        <v>38</v>
      </c>
      <c r="P78" s="151"/>
      <c r="Q78" s="151"/>
      <c r="R78" s="151"/>
      <c r="S78" s="151"/>
      <c r="T78" s="150"/>
      <c r="U78" s="150"/>
      <c r="V78" s="150"/>
      <c r="W78" s="150"/>
      <c r="X78" s="150"/>
      <c r="Y78" s="416" t="s">
        <v>362</v>
      </c>
      <c r="Z78" s="416"/>
      <c r="AA78" s="416"/>
      <c r="AB78" s="416"/>
      <c r="AC78" s="147"/>
      <c r="AD78" s="147">
        <f>SUM(AD79:AD80)</f>
        <v>130000</v>
      </c>
      <c r="AE78" s="146" t="s">
        <v>25</v>
      </c>
    </row>
    <row r="79" spans="1:31" s="13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54" t="s">
        <v>419</v>
      </c>
      <c r="P79" s="420"/>
      <c r="Q79" s="420"/>
      <c r="R79" s="420"/>
      <c r="S79" s="453">
        <v>50000</v>
      </c>
      <c r="T79" s="461" t="s">
        <v>25</v>
      </c>
      <c r="U79" s="461" t="s">
        <v>26</v>
      </c>
      <c r="V79" s="453">
        <v>1</v>
      </c>
      <c r="W79" s="453" t="s">
        <v>525</v>
      </c>
      <c r="X79" s="454" t="s">
        <v>26</v>
      </c>
      <c r="Y79" s="453">
        <v>1</v>
      </c>
      <c r="Z79" s="453" t="s">
        <v>108</v>
      </c>
      <c r="AA79" s="453"/>
      <c r="AB79" s="453" t="s">
        <v>491</v>
      </c>
      <c r="AC79" s="453"/>
      <c r="AD79" s="453">
        <f>S79*V79</f>
        <v>50000</v>
      </c>
      <c r="AE79" s="459" t="s">
        <v>25</v>
      </c>
    </row>
    <row r="80" spans="1:31" s="13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54" t="s">
        <v>524</v>
      </c>
      <c r="P80" s="420"/>
      <c r="Q80" s="420"/>
      <c r="R80" s="420"/>
      <c r="S80" s="453">
        <v>20000</v>
      </c>
      <c r="T80" s="461" t="s">
        <v>25</v>
      </c>
      <c r="U80" s="461" t="s">
        <v>26</v>
      </c>
      <c r="V80" s="453">
        <v>4</v>
      </c>
      <c r="W80" s="453" t="s">
        <v>525</v>
      </c>
      <c r="X80" s="454" t="s">
        <v>26</v>
      </c>
      <c r="Y80" s="453"/>
      <c r="Z80" s="453"/>
      <c r="AA80" s="453"/>
      <c r="AB80" s="453" t="s">
        <v>523</v>
      </c>
      <c r="AC80" s="453"/>
      <c r="AD80" s="453">
        <v>80000</v>
      </c>
      <c r="AE80" s="459" t="s">
        <v>25</v>
      </c>
    </row>
    <row r="81" spans="1:31" s="13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20"/>
      <c r="P81" s="420"/>
      <c r="Q81" s="420"/>
      <c r="R81" s="420"/>
      <c r="S81" s="419"/>
      <c r="T81" s="293"/>
      <c r="U81" s="293"/>
      <c r="V81" s="419"/>
      <c r="W81" s="420"/>
      <c r="X81" s="419"/>
      <c r="Y81" s="419"/>
      <c r="Z81" s="419"/>
      <c r="AA81" s="419"/>
      <c r="AB81" s="419"/>
      <c r="AC81" s="419"/>
      <c r="AD81" s="419"/>
      <c r="AE81" s="122"/>
    </row>
    <row r="82" spans="1:31" s="11" customFormat="1" ht="21" customHeight="1">
      <c r="A82" s="37"/>
      <c r="B82" s="28" t="s">
        <v>12</v>
      </c>
      <c r="C82" s="143" t="s">
        <v>5</v>
      </c>
      <c r="D82" s="144">
        <f t="shared" ref="D82:L82" si="4">SUM(D83,D86,D96,D103,D109,D113)</f>
        <v>12648</v>
      </c>
      <c r="E82" s="144">
        <f t="shared" si="4"/>
        <v>12996</v>
      </c>
      <c r="F82" s="144">
        <f t="shared" si="4"/>
        <v>4404</v>
      </c>
      <c r="G82" s="144">
        <f t="shared" si="4"/>
        <v>0</v>
      </c>
      <c r="H82" s="144">
        <f t="shared" si="4"/>
        <v>0</v>
      </c>
      <c r="I82" s="144">
        <f t="shared" si="4"/>
        <v>1</v>
      </c>
      <c r="J82" s="144">
        <f t="shared" si="4"/>
        <v>4948</v>
      </c>
      <c r="K82" s="144">
        <f t="shared" si="4"/>
        <v>0</v>
      </c>
      <c r="L82" s="144">
        <f t="shared" si="4"/>
        <v>3643</v>
      </c>
      <c r="M82" s="437">
        <f>E82-D82</f>
        <v>348</v>
      </c>
      <c r="N82" s="145">
        <f>IF(D82=0,0,M82/D82)</f>
        <v>2.7514231499051234E-2</v>
      </c>
      <c r="O82" s="417" t="s">
        <v>366</v>
      </c>
      <c r="P82" s="417"/>
      <c r="Q82" s="417"/>
      <c r="R82" s="417"/>
      <c r="S82" s="416"/>
      <c r="T82" s="154"/>
      <c r="U82" s="416"/>
      <c r="V82" s="605"/>
      <c r="W82" s="606"/>
      <c r="X82" s="416"/>
      <c r="Y82" s="416"/>
      <c r="Z82" s="416"/>
      <c r="AA82" s="416"/>
      <c r="AB82" s="416"/>
      <c r="AC82" s="416"/>
      <c r="AD82" s="416">
        <f>SUM(AD83,AD86,AD96,AD103,AD109,AD113)</f>
        <v>12996000</v>
      </c>
      <c r="AE82" s="146" t="s">
        <v>25</v>
      </c>
    </row>
    <row r="83" spans="1:31" s="11" customFormat="1" ht="21" customHeight="1">
      <c r="A83" s="37"/>
      <c r="B83" s="38"/>
      <c r="C83" s="38" t="s">
        <v>367</v>
      </c>
      <c r="D83" s="133">
        <v>0</v>
      </c>
      <c r="E83" s="97">
        <f>AD83/1000</f>
        <v>0</v>
      </c>
      <c r="F83" s="103">
        <f>SUMIF($AB$84:$AB$85,"보조",$AD$84:$AD$85)/1000</f>
        <v>0</v>
      </c>
      <c r="G83" s="103">
        <f>SUMIF($AB$84:$AB$85,"7종",$AD$84:$AD$85)/1000</f>
        <v>0</v>
      </c>
      <c r="H83" s="103">
        <f>SUMIF($AB$84:$AB$85,"4종",$AD$84:$AD$85)/1000</f>
        <v>0</v>
      </c>
      <c r="I83" s="103">
        <f>SUMIF($AB$84:$AB$85,"후원",$AD$84:$AD$85)/1000</f>
        <v>0</v>
      </c>
      <c r="J83" s="103">
        <f>SUMIF($AB$84:$AB$85,"입소",$AD$84:$AD$85)/1000</f>
        <v>0</v>
      </c>
      <c r="K83" s="103">
        <f>SUMIF($AB$84:$AB$85,"법인",$AD$84:$AD$85)/1000</f>
        <v>0</v>
      </c>
      <c r="L83" s="103">
        <f>SUMIF($AB$84:$AB$85,"잡수",$AD$84:$AD$85)/1000</f>
        <v>0</v>
      </c>
      <c r="M83" s="97">
        <f>E83-D83</f>
        <v>0</v>
      </c>
      <c r="N83" s="60">
        <f>IF(D83=0,0,M83/D83)</f>
        <v>0</v>
      </c>
      <c r="O83" s="105" t="s">
        <v>40</v>
      </c>
      <c r="P83" s="151"/>
      <c r="Q83" s="151"/>
      <c r="R83" s="151"/>
      <c r="S83" s="151"/>
      <c r="T83" s="150"/>
      <c r="U83" s="150"/>
      <c r="V83" s="150"/>
      <c r="W83" s="150"/>
      <c r="X83" s="150"/>
      <c r="Y83" s="416" t="s">
        <v>362</v>
      </c>
      <c r="Z83" s="416"/>
      <c r="AA83" s="416"/>
      <c r="AB83" s="416"/>
      <c r="AC83" s="147"/>
      <c r="AD83" s="147">
        <f>SUM(AD84:AD85)</f>
        <v>0</v>
      </c>
      <c r="AE83" s="146" t="s">
        <v>25</v>
      </c>
    </row>
    <row r="84" spans="1:31" s="11" customFormat="1" ht="21" customHeight="1">
      <c r="A84" s="37"/>
      <c r="B84" s="38"/>
      <c r="C84" s="38"/>
      <c r="D84" s="133"/>
      <c r="E84" s="97"/>
      <c r="F84" s="97"/>
      <c r="G84" s="97"/>
      <c r="H84" s="97"/>
      <c r="I84" s="97"/>
      <c r="J84" s="97"/>
      <c r="K84" s="97"/>
      <c r="L84" s="97"/>
      <c r="M84" s="97"/>
      <c r="N84" s="60"/>
      <c r="O84" s="420" t="s">
        <v>368</v>
      </c>
      <c r="P84" s="420"/>
      <c r="Q84" s="420"/>
      <c r="R84" s="420"/>
      <c r="S84" s="453">
        <v>0</v>
      </c>
      <c r="T84" s="453" t="s">
        <v>25</v>
      </c>
      <c r="U84" s="454" t="s">
        <v>26</v>
      </c>
      <c r="V84" s="453">
        <v>0</v>
      </c>
      <c r="W84" s="453" t="s">
        <v>432</v>
      </c>
      <c r="X84" s="454" t="s">
        <v>26</v>
      </c>
      <c r="Y84" s="453">
        <v>1</v>
      </c>
      <c r="Z84" s="453" t="s">
        <v>108</v>
      </c>
      <c r="AA84" s="453" t="s">
        <v>27</v>
      </c>
      <c r="AB84" s="453" t="s">
        <v>418</v>
      </c>
      <c r="AC84" s="428"/>
      <c r="AD84" s="428">
        <f>S84*V84*Y84</f>
        <v>0</v>
      </c>
      <c r="AE84" s="459" t="s">
        <v>25</v>
      </c>
    </row>
    <row r="85" spans="1:31" s="11" customFormat="1" ht="21" customHeight="1">
      <c r="A85" s="37"/>
      <c r="B85" s="38"/>
      <c r="C85" s="38"/>
      <c r="D85" s="133"/>
      <c r="E85" s="97"/>
      <c r="F85" s="97"/>
      <c r="G85" s="97"/>
      <c r="H85" s="97"/>
      <c r="I85" s="97"/>
      <c r="J85" s="97"/>
      <c r="K85" s="97"/>
      <c r="L85" s="97"/>
      <c r="M85" s="97"/>
      <c r="N85" s="60"/>
      <c r="O85" s="420" t="s">
        <v>369</v>
      </c>
      <c r="P85" s="420"/>
      <c r="Q85" s="420"/>
      <c r="R85" s="420"/>
      <c r="S85" s="453"/>
      <c r="T85" s="453"/>
      <c r="U85" s="454"/>
      <c r="V85" s="453"/>
      <c r="W85" s="453"/>
      <c r="X85" s="454"/>
      <c r="Y85" s="453"/>
      <c r="Z85" s="453"/>
      <c r="AA85" s="453"/>
      <c r="AB85" s="453"/>
      <c r="AC85" s="428"/>
      <c r="AD85" s="428"/>
      <c r="AE85" s="459"/>
    </row>
    <row r="86" spans="1:31" s="11" customFormat="1" ht="21" customHeight="1">
      <c r="A86" s="37"/>
      <c r="B86" s="38"/>
      <c r="C86" s="28" t="s">
        <v>41</v>
      </c>
      <c r="D86" s="135">
        <v>2532</v>
      </c>
      <c r="E86" s="102">
        <f>ROUND(AD86/1000,0)</f>
        <v>3472</v>
      </c>
      <c r="F86" s="103">
        <f>SUMIF($AB$87:$AB$95,"보조",$AD$87:$AD$95)/1000</f>
        <v>1204</v>
      </c>
      <c r="G86" s="103">
        <f>SUMIF($AB$87:$AB$93,"4종",$AD$87:$AD$93)/1000</f>
        <v>0</v>
      </c>
      <c r="H86" s="103">
        <f>SUMIF($AB$87:$AB$93,"6종",$AD$87:$AD$93)/1000</f>
        <v>0</v>
      </c>
      <c r="I86" s="103">
        <f>SUMIF($AB$87:$AB$93,"후원",$AD$87:$AD$93)/1000</f>
        <v>0</v>
      </c>
      <c r="J86" s="103">
        <f>SUMIF($AB$87:$AB$95,"입소",$AD$87:$AD$95)/1000</f>
        <v>2268</v>
      </c>
      <c r="K86" s="103">
        <f>SUMIF($AB$87:$AB$95,"법인",$AD$87:$AD$95)/1000</f>
        <v>0</v>
      </c>
      <c r="L86" s="103">
        <f>SUMIF($AB$87:$AB$95,"잡수",$AD$87:$AD$95)/1000</f>
        <v>0</v>
      </c>
      <c r="M86" s="112">
        <f>E86-D86</f>
        <v>940</v>
      </c>
      <c r="N86" s="109">
        <f>IF(D86=0,0,M86/D86)</f>
        <v>0.37124802527646128</v>
      </c>
      <c r="O86" s="300" t="s">
        <v>42</v>
      </c>
      <c r="P86" s="301"/>
      <c r="Q86" s="301"/>
      <c r="R86" s="301"/>
      <c r="S86" s="301"/>
      <c r="T86" s="302"/>
      <c r="U86" s="302"/>
      <c r="V86" s="302"/>
      <c r="W86" s="302"/>
      <c r="X86" s="302"/>
      <c r="Y86" s="303" t="s">
        <v>28</v>
      </c>
      <c r="Z86" s="303"/>
      <c r="AA86" s="303"/>
      <c r="AB86" s="303"/>
      <c r="AC86" s="304"/>
      <c r="AD86" s="304">
        <f>SUM(AD87:AD94)</f>
        <v>3472000</v>
      </c>
      <c r="AE86" s="146" t="s">
        <v>25</v>
      </c>
    </row>
    <row r="87" spans="1:31" s="11" customFormat="1" ht="21" customHeight="1">
      <c r="A87" s="37"/>
      <c r="B87" s="38"/>
      <c r="C87" s="38" t="s">
        <v>370</v>
      </c>
      <c r="D87" s="430"/>
      <c r="E87" s="431"/>
      <c r="F87" s="431"/>
      <c r="G87" s="431"/>
      <c r="H87" s="431"/>
      <c r="I87" s="431"/>
      <c r="J87" s="431"/>
      <c r="K87" s="431"/>
      <c r="L87" s="431"/>
      <c r="M87" s="97"/>
      <c r="N87" s="60"/>
      <c r="O87" s="463" t="s">
        <v>465</v>
      </c>
      <c r="P87" s="454"/>
      <c r="Q87" s="454"/>
      <c r="R87" s="454"/>
      <c r="S87" s="453"/>
      <c r="T87" s="458"/>
      <c r="U87" s="453"/>
      <c r="V87" s="460"/>
      <c r="W87" s="461"/>
      <c r="X87" s="461"/>
      <c r="Y87" s="460"/>
      <c r="Z87" s="462"/>
      <c r="AA87" s="460"/>
      <c r="AB87" s="508" t="s">
        <v>506</v>
      </c>
      <c r="AC87" s="508"/>
      <c r="AD87" s="453">
        <v>300000</v>
      </c>
      <c r="AE87" s="509" t="s">
        <v>25</v>
      </c>
    </row>
    <row r="88" spans="1:31" s="11" customFormat="1" ht="21" customHeight="1">
      <c r="A88" s="37"/>
      <c r="B88" s="38"/>
      <c r="C88" s="38"/>
      <c r="D88" s="432"/>
      <c r="E88" s="433"/>
      <c r="F88" s="433"/>
      <c r="G88" s="433"/>
      <c r="H88" s="433"/>
      <c r="I88" s="433"/>
      <c r="J88" s="433"/>
      <c r="K88" s="433"/>
      <c r="L88" s="433"/>
      <c r="M88" s="97"/>
      <c r="N88" s="60"/>
      <c r="O88" s="454" t="s">
        <v>513</v>
      </c>
      <c r="P88" s="454"/>
      <c r="Q88" s="454"/>
      <c r="R88" s="454"/>
      <c r="S88" s="453"/>
      <c r="T88" s="458"/>
      <c r="U88" s="458"/>
      <c r="V88" s="453"/>
      <c r="W88" s="453"/>
      <c r="X88" s="453"/>
      <c r="Y88" s="453"/>
      <c r="Z88" s="453"/>
      <c r="AA88" s="453"/>
      <c r="AB88" s="453" t="s">
        <v>326</v>
      </c>
      <c r="AC88" s="453"/>
      <c r="AD88" s="453">
        <v>314000</v>
      </c>
      <c r="AE88" s="459" t="s">
        <v>509</v>
      </c>
    </row>
    <row r="89" spans="1:31" s="11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54" t="s">
        <v>425</v>
      </c>
      <c r="P89" s="454"/>
      <c r="Q89" s="454"/>
      <c r="R89" s="454"/>
      <c r="S89" s="453"/>
      <c r="T89" s="458"/>
      <c r="U89" s="458"/>
      <c r="V89" s="453">
        <v>31000</v>
      </c>
      <c r="W89" s="453" t="s">
        <v>25</v>
      </c>
      <c r="X89" s="453" t="s">
        <v>26</v>
      </c>
      <c r="Y89" s="453">
        <v>10</v>
      </c>
      <c r="Z89" s="453" t="s">
        <v>29</v>
      </c>
      <c r="AA89" s="453" t="s">
        <v>27</v>
      </c>
      <c r="AB89" s="453" t="s">
        <v>326</v>
      </c>
      <c r="AC89" s="453"/>
      <c r="AD89" s="453">
        <f>V89*Y89</f>
        <v>310000</v>
      </c>
      <c r="AE89" s="459" t="s">
        <v>25</v>
      </c>
    </row>
    <row r="90" spans="1:31" s="11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54" t="s">
        <v>507</v>
      </c>
      <c r="P90" s="454"/>
      <c r="Q90" s="454"/>
      <c r="R90" s="454"/>
      <c r="S90" s="453"/>
      <c r="T90" s="458"/>
      <c r="U90" s="458"/>
      <c r="V90" s="453">
        <v>19000</v>
      </c>
      <c r="W90" s="453" t="s">
        <v>25</v>
      </c>
      <c r="X90" s="453" t="s">
        <v>26</v>
      </c>
      <c r="Y90" s="453">
        <v>10</v>
      </c>
      <c r="Z90" s="453" t="s">
        <v>29</v>
      </c>
      <c r="AA90" s="453" t="s">
        <v>27</v>
      </c>
      <c r="AB90" s="453" t="s">
        <v>326</v>
      </c>
      <c r="AC90" s="453"/>
      <c r="AD90" s="453">
        <f>V90*Y90</f>
        <v>190000</v>
      </c>
      <c r="AE90" s="459" t="s">
        <v>25</v>
      </c>
    </row>
    <row r="91" spans="1:31" s="11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54" t="s">
        <v>466</v>
      </c>
      <c r="P91" s="454"/>
      <c r="Q91" s="454"/>
      <c r="R91" s="454"/>
      <c r="S91" s="453"/>
      <c r="T91" s="458"/>
      <c r="U91" s="458"/>
      <c r="V91" s="453">
        <v>39000</v>
      </c>
      <c r="W91" s="453" t="s">
        <v>25</v>
      </c>
      <c r="X91" s="453" t="s">
        <v>26</v>
      </c>
      <c r="Y91" s="453">
        <v>10</v>
      </c>
      <c r="Z91" s="453" t="s">
        <v>29</v>
      </c>
      <c r="AA91" s="453" t="s">
        <v>27</v>
      </c>
      <c r="AB91" s="453" t="s">
        <v>326</v>
      </c>
      <c r="AC91" s="453"/>
      <c r="AD91" s="453">
        <f>V91*Y91</f>
        <v>390000</v>
      </c>
      <c r="AE91" s="459" t="s">
        <v>25</v>
      </c>
    </row>
    <row r="92" spans="1:31" s="11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54" t="s">
        <v>492</v>
      </c>
      <c r="P92" s="454"/>
      <c r="Q92" s="454"/>
      <c r="R92" s="454"/>
      <c r="S92" s="453"/>
      <c r="T92" s="458"/>
      <c r="U92" s="458"/>
      <c r="V92" s="453">
        <v>55000</v>
      </c>
      <c r="W92" s="453" t="s">
        <v>25</v>
      </c>
      <c r="X92" s="453" t="s">
        <v>26</v>
      </c>
      <c r="Y92" s="453">
        <v>4</v>
      </c>
      <c r="Z92" s="453" t="s">
        <v>70</v>
      </c>
      <c r="AA92" s="453" t="s">
        <v>27</v>
      </c>
      <c r="AB92" s="453" t="s">
        <v>418</v>
      </c>
      <c r="AC92" s="453"/>
      <c r="AD92" s="453">
        <f>V92*Y92</f>
        <v>220000</v>
      </c>
      <c r="AE92" s="459" t="s">
        <v>25</v>
      </c>
    </row>
    <row r="93" spans="1:31" s="11" customFormat="1" ht="21" customHeight="1">
      <c r="A93" s="37"/>
      <c r="B93" s="38"/>
      <c r="C93" s="38"/>
      <c r="D93" s="133"/>
      <c r="E93" s="97"/>
      <c r="F93" s="97"/>
      <c r="G93" s="97"/>
      <c r="H93" s="97"/>
      <c r="I93" s="97"/>
      <c r="J93" s="97"/>
      <c r="K93" s="97"/>
      <c r="L93" s="97"/>
      <c r="M93" s="97"/>
      <c r="N93" s="60"/>
      <c r="O93" s="454" t="s">
        <v>512</v>
      </c>
      <c r="P93" s="454"/>
      <c r="Q93" s="454"/>
      <c r="R93" s="454"/>
      <c r="S93" s="453"/>
      <c r="T93" s="458"/>
      <c r="U93" s="458"/>
      <c r="V93" s="453"/>
      <c r="W93" s="453"/>
      <c r="X93" s="453"/>
      <c r="Y93" s="453"/>
      <c r="Z93" s="453"/>
      <c r="AA93" s="453"/>
      <c r="AB93" s="453" t="s">
        <v>418</v>
      </c>
      <c r="AC93" s="453"/>
      <c r="AD93" s="453">
        <v>500000</v>
      </c>
      <c r="AE93" s="459" t="s">
        <v>25</v>
      </c>
    </row>
    <row r="94" spans="1:31" s="11" customFormat="1" ht="21" customHeight="1">
      <c r="A94" s="37"/>
      <c r="B94" s="38"/>
      <c r="C94" s="38"/>
      <c r="D94" s="133"/>
      <c r="E94" s="97"/>
      <c r="F94" s="97"/>
      <c r="G94" s="97"/>
      <c r="H94" s="97"/>
      <c r="I94" s="97"/>
      <c r="J94" s="97"/>
      <c r="K94" s="97"/>
      <c r="L94" s="97"/>
      <c r="M94" s="97"/>
      <c r="N94" s="60"/>
      <c r="O94" s="454" t="s">
        <v>548</v>
      </c>
      <c r="P94" s="454"/>
      <c r="Q94" s="454"/>
      <c r="R94" s="454"/>
      <c r="S94" s="453"/>
      <c r="T94" s="458"/>
      <c r="U94" s="458"/>
      <c r="V94" s="453"/>
      <c r="W94" s="453"/>
      <c r="X94" s="453"/>
      <c r="Y94" s="453"/>
      <c r="Z94" s="453"/>
      <c r="AA94" s="453"/>
      <c r="AB94" s="453" t="s">
        <v>549</v>
      </c>
      <c r="AC94" s="453"/>
      <c r="AD94" s="453">
        <v>1248000</v>
      </c>
      <c r="AE94" s="459" t="s">
        <v>25</v>
      </c>
    </row>
    <row r="95" spans="1:31" s="11" customFormat="1" ht="21" customHeight="1">
      <c r="A95" s="37"/>
      <c r="B95" s="38"/>
      <c r="C95" s="49"/>
      <c r="D95" s="134"/>
      <c r="E95" s="100"/>
      <c r="F95" s="100"/>
      <c r="G95" s="100"/>
      <c r="H95" s="100"/>
      <c r="I95" s="100"/>
      <c r="J95" s="100"/>
      <c r="K95" s="100"/>
      <c r="L95" s="100"/>
      <c r="M95" s="100"/>
      <c r="N95" s="75"/>
      <c r="O95" s="454"/>
      <c r="P95" s="527"/>
      <c r="Q95" s="527"/>
      <c r="R95" s="527"/>
      <c r="S95" s="497"/>
      <c r="T95" s="528"/>
      <c r="U95" s="528"/>
      <c r="V95" s="529"/>
      <c r="W95" s="530"/>
      <c r="X95" s="530"/>
      <c r="Y95" s="529"/>
      <c r="Z95" s="531"/>
      <c r="AA95" s="529"/>
      <c r="AB95" s="497"/>
      <c r="AC95" s="497"/>
      <c r="AD95" s="497"/>
      <c r="AE95" s="533"/>
    </row>
    <row r="96" spans="1:31" s="11" customFormat="1" ht="21" customHeight="1">
      <c r="A96" s="37"/>
      <c r="B96" s="38"/>
      <c r="C96" s="38" t="s">
        <v>39</v>
      </c>
      <c r="D96" s="133">
        <v>6013</v>
      </c>
      <c r="E96" s="97">
        <f>ROUND(AD96/1000,0)</f>
        <v>6321</v>
      </c>
      <c r="F96" s="103">
        <f>SUMIF($AB$97:$AB$102,"보조",$AD$97:$AD$102)/1000</f>
        <v>3200</v>
      </c>
      <c r="G96" s="103">
        <f>SUMIF($AB$97:$AB$102,"4종",$AD$97:$AD$102)/1000</f>
        <v>0</v>
      </c>
      <c r="H96" s="103">
        <f>SUMIF($AB$97:$AB$102,"6종",$AD$97:$AD$102)/1000</f>
        <v>0</v>
      </c>
      <c r="I96" s="103">
        <f>SUMIF($AB$97:$AB$102,"후원",$AD$97:$AD$102)/1000</f>
        <v>1</v>
      </c>
      <c r="J96" s="103">
        <f>SUMIF($AB$97:$AB$102,"입소",$AD$97:$AD$102)/1000</f>
        <v>1157</v>
      </c>
      <c r="K96" s="103">
        <f>SUMIF($AB$97:$AB$102,"법인",$AD$97:$AD$102)/1000</f>
        <v>0</v>
      </c>
      <c r="L96" s="103">
        <f>SUMIF($AB$97:$AB$102,"잡수",$AD$97:$AD$102)/1000</f>
        <v>1963</v>
      </c>
      <c r="M96" s="408">
        <f>E96-D96</f>
        <v>308</v>
      </c>
      <c r="N96" s="60">
        <f>IF(D96=0,0,M96/D96)</f>
        <v>5.1222351571594875E-2</v>
      </c>
      <c r="O96" s="330" t="s">
        <v>43</v>
      </c>
      <c r="P96" s="331"/>
      <c r="Q96" s="331"/>
      <c r="R96" s="331"/>
      <c r="S96" s="331"/>
      <c r="T96" s="332"/>
      <c r="U96" s="332"/>
      <c r="V96" s="332"/>
      <c r="W96" s="332"/>
      <c r="X96" s="332"/>
      <c r="Y96" s="525" t="s">
        <v>362</v>
      </c>
      <c r="Z96" s="525"/>
      <c r="AA96" s="525"/>
      <c r="AB96" s="525"/>
      <c r="AC96" s="526"/>
      <c r="AD96" s="526">
        <f>ROUND(SUM(AD97:AD102),-3)</f>
        <v>6321000</v>
      </c>
      <c r="AE96" s="532" t="s">
        <v>25</v>
      </c>
    </row>
    <row r="97" spans="1:31" s="11" customFormat="1" ht="21" customHeight="1">
      <c r="A97" s="37"/>
      <c r="B97" s="38"/>
      <c r="C97" s="38"/>
      <c r="D97" s="430"/>
      <c r="E97" s="431"/>
      <c r="F97" s="431"/>
      <c r="G97" s="431"/>
      <c r="H97" s="431"/>
      <c r="I97" s="431"/>
      <c r="J97" s="431"/>
      <c r="K97" s="431"/>
      <c r="L97" s="431"/>
      <c r="M97" s="97"/>
      <c r="N97" s="60"/>
      <c r="O97" s="463" t="s">
        <v>427</v>
      </c>
      <c r="P97" s="454"/>
      <c r="Q97" s="454"/>
      <c r="R97" s="454"/>
      <c r="S97" s="453">
        <v>38000</v>
      </c>
      <c r="T97" s="461" t="s">
        <v>25</v>
      </c>
      <c r="U97" s="461" t="s">
        <v>26</v>
      </c>
      <c r="V97" s="460">
        <v>10</v>
      </c>
      <c r="W97" s="462" t="s">
        <v>29</v>
      </c>
      <c r="X97" s="460" t="s">
        <v>27</v>
      </c>
      <c r="Y97" s="453"/>
      <c r="Z97" s="453"/>
      <c r="AA97" s="453"/>
      <c r="AB97" s="453" t="s">
        <v>326</v>
      </c>
      <c r="AC97" s="453"/>
      <c r="AD97" s="453">
        <f>S97*V97</f>
        <v>380000</v>
      </c>
      <c r="AE97" s="459" t="s">
        <v>25</v>
      </c>
    </row>
    <row r="98" spans="1:31" s="11" customFormat="1" ht="21" customHeight="1">
      <c r="A98" s="37"/>
      <c r="B98" s="38"/>
      <c r="C98" s="38"/>
      <c r="D98" s="432"/>
      <c r="E98" s="433"/>
      <c r="F98" s="433"/>
      <c r="G98" s="433"/>
      <c r="H98" s="433"/>
      <c r="I98" s="433"/>
      <c r="J98" s="433"/>
      <c r="K98" s="433"/>
      <c r="L98" s="433"/>
      <c r="M98" s="97"/>
      <c r="N98" s="60"/>
      <c r="O98" s="454" t="s">
        <v>428</v>
      </c>
      <c r="P98" s="454"/>
      <c r="Q98" s="454"/>
      <c r="R98" s="454"/>
      <c r="S98" s="453">
        <v>470000</v>
      </c>
      <c r="T98" s="458" t="s">
        <v>25</v>
      </c>
      <c r="U98" s="458" t="s">
        <v>26</v>
      </c>
      <c r="V98" s="453">
        <v>6</v>
      </c>
      <c r="W98" s="454" t="s">
        <v>29</v>
      </c>
      <c r="X98" s="453" t="s">
        <v>27</v>
      </c>
      <c r="Y98" s="453"/>
      <c r="Z98" s="453"/>
      <c r="AA98" s="453"/>
      <c r="AB98" s="453" t="s">
        <v>426</v>
      </c>
      <c r="AC98" s="453"/>
      <c r="AD98" s="453">
        <f>S98*V98</f>
        <v>2820000</v>
      </c>
      <c r="AE98" s="459" t="s">
        <v>25</v>
      </c>
    </row>
    <row r="99" spans="1:31" s="13" customFormat="1" ht="21" customHeight="1">
      <c r="A99" s="37"/>
      <c r="B99" s="38"/>
      <c r="C99" s="38"/>
      <c r="D99" s="133"/>
      <c r="E99" s="97"/>
      <c r="F99" s="97"/>
      <c r="G99" s="97"/>
      <c r="H99" s="97"/>
      <c r="I99" s="97"/>
      <c r="J99" s="97"/>
      <c r="K99" s="97"/>
      <c r="L99" s="97"/>
      <c r="M99" s="97"/>
      <c r="N99" s="60"/>
      <c r="O99" s="454"/>
      <c r="P99" s="454"/>
      <c r="Q99" s="454"/>
      <c r="R99" s="454"/>
      <c r="S99" s="453">
        <v>570000</v>
      </c>
      <c r="T99" s="458" t="s">
        <v>25</v>
      </c>
      <c r="U99" s="458" t="s">
        <v>26</v>
      </c>
      <c r="V99" s="453">
        <v>3</v>
      </c>
      <c r="W99" s="454" t="s">
        <v>29</v>
      </c>
      <c r="X99" s="453" t="s">
        <v>27</v>
      </c>
      <c r="Y99" s="453"/>
      <c r="Z99" s="453"/>
      <c r="AA99" s="453"/>
      <c r="AB99" s="453" t="s">
        <v>429</v>
      </c>
      <c r="AC99" s="453"/>
      <c r="AD99" s="453">
        <f>S99*V99</f>
        <v>1710000</v>
      </c>
      <c r="AE99" s="459" t="s">
        <v>25</v>
      </c>
    </row>
    <row r="100" spans="1:31" s="13" customFormat="1" ht="21" customHeight="1">
      <c r="A100" s="37"/>
      <c r="B100" s="38"/>
      <c r="C100" s="38"/>
      <c r="D100" s="133"/>
      <c r="E100" s="97"/>
      <c r="F100" s="97"/>
      <c r="G100" s="97"/>
      <c r="H100" s="97"/>
      <c r="I100" s="97"/>
      <c r="J100" s="97"/>
      <c r="K100" s="97"/>
      <c r="L100" s="97"/>
      <c r="M100" s="97"/>
      <c r="N100" s="60"/>
      <c r="O100" s="454"/>
      <c r="P100" s="454"/>
      <c r="Q100" s="454"/>
      <c r="R100" s="454"/>
      <c r="S100" s="453">
        <v>289250</v>
      </c>
      <c r="T100" s="458" t="s">
        <v>25</v>
      </c>
      <c r="U100" s="458" t="s">
        <v>26</v>
      </c>
      <c r="V100" s="453">
        <v>4</v>
      </c>
      <c r="W100" s="454" t="s">
        <v>29</v>
      </c>
      <c r="X100" s="453" t="s">
        <v>27</v>
      </c>
      <c r="Y100" s="453"/>
      <c r="Z100" s="453"/>
      <c r="AA100" s="453"/>
      <c r="AB100" s="453" t="s">
        <v>371</v>
      </c>
      <c r="AC100" s="453"/>
      <c r="AD100" s="453">
        <f>S100*V100</f>
        <v>1157000</v>
      </c>
      <c r="AE100" s="459" t="s">
        <v>25</v>
      </c>
    </row>
    <row r="101" spans="1:31" s="13" customFormat="1" ht="21" customHeight="1">
      <c r="A101" s="37"/>
      <c r="B101" s="38"/>
      <c r="C101" s="38"/>
      <c r="D101" s="133"/>
      <c r="E101" s="97"/>
      <c r="F101" s="97"/>
      <c r="G101" s="97"/>
      <c r="H101" s="97"/>
      <c r="I101" s="97"/>
      <c r="J101" s="97"/>
      <c r="K101" s="97"/>
      <c r="L101" s="97"/>
      <c r="M101" s="97"/>
      <c r="N101" s="60"/>
      <c r="O101" s="454"/>
      <c r="P101" s="454"/>
      <c r="Q101" s="454"/>
      <c r="R101" s="454"/>
      <c r="S101" s="453">
        <v>1000</v>
      </c>
      <c r="T101" s="458" t="s">
        <v>536</v>
      </c>
      <c r="U101" s="458" t="s">
        <v>26</v>
      </c>
      <c r="V101" s="453">
        <v>1</v>
      </c>
      <c r="W101" s="454" t="s">
        <v>29</v>
      </c>
      <c r="X101" s="453" t="s">
        <v>27</v>
      </c>
      <c r="Y101" s="453"/>
      <c r="Z101" s="453"/>
      <c r="AA101" s="453"/>
      <c r="AB101" s="453" t="s">
        <v>358</v>
      </c>
      <c r="AC101" s="453"/>
      <c r="AD101" s="453">
        <f>S101*V101</f>
        <v>1000</v>
      </c>
      <c r="AE101" s="459" t="s">
        <v>536</v>
      </c>
    </row>
    <row r="102" spans="1:31" s="13" customFormat="1" ht="21" customHeight="1">
      <c r="A102" s="37"/>
      <c r="B102" s="38"/>
      <c r="C102" s="38"/>
      <c r="D102" s="133"/>
      <c r="E102" s="97"/>
      <c r="F102" s="97"/>
      <c r="G102" s="97"/>
      <c r="H102" s="97"/>
      <c r="I102" s="97"/>
      <c r="J102" s="97"/>
      <c r="K102" s="97"/>
      <c r="L102" s="97"/>
      <c r="M102" s="97"/>
      <c r="N102" s="60"/>
      <c r="O102" s="454" t="s">
        <v>430</v>
      </c>
      <c r="P102" s="454"/>
      <c r="Q102" s="454"/>
      <c r="R102" s="454"/>
      <c r="S102" s="453"/>
      <c r="T102" s="458"/>
      <c r="U102" s="458"/>
      <c r="V102" s="453"/>
      <c r="W102" s="454"/>
      <c r="X102" s="453"/>
      <c r="Y102" s="453"/>
      <c r="Z102" s="453"/>
      <c r="AA102" s="453"/>
      <c r="AB102" s="453" t="s">
        <v>429</v>
      </c>
      <c r="AC102" s="453"/>
      <c r="AD102" s="453">
        <v>253000</v>
      </c>
      <c r="AE102" s="459" t="s">
        <v>25</v>
      </c>
    </row>
    <row r="103" spans="1:31" ht="21" customHeight="1">
      <c r="A103" s="37"/>
      <c r="B103" s="38"/>
      <c r="C103" s="28" t="s">
        <v>15</v>
      </c>
      <c r="D103" s="135">
        <v>443</v>
      </c>
      <c r="E103" s="102">
        <f>ROUND(AD103/1000,0)</f>
        <v>443</v>
      </c>
      <c r="F103" s="103">
        <f>SUMIF($AB$104:$AB$108,"보조",$AD$104:$AD$108)/1000</f>
        <v>0</v>
      </c>
      <c r="G103" s="103">
        <f>SUMIF($AB$104:$AB$108,"4종",$AD$104:$AD$108)/1000</f>
        <v>0</v>
      </c>
      <c r="H103" s="103">
        <f>SUMIF($AB$104:$AB$108,"6종",$AD$104:$AD$108)/1000</f>
        <v>0</v>
      </c>
      <c r="I103" s="103">
        <f>SUMIF($AB$104:$AB$108,"후원",$AD$104:$AD$108)/1000</f>
        <v>0</v>
      </c>
      <c r="J103" s="103">
        <f>SUMIF($AB$104:$AB$108,"입소",$AD$104:$AD$108)/1000</f>
        <v>443</v>
      </c>
      <c r="K103" s="103">
        <f>SUMIF($AB$104:$AB$108,"법인",$AD$104:$AD$108)/1000</f>
        <v>0</v>
      </c>
      <c r="L103" s="103">
        <f>SUMIF($AB$104:$AB$108,"잡수",$AD$104:$AD$108)/1000</f>
        <v>0</v>
      </c>
      <c r="M103" s="155">
        <f>E103-D103</f>
        <v>0</v>
      </c>
      <c r="N103" s="109">
        <f>IF(D103=0,0,M103/D103)</f>
        <v>0</v>
      </c>
      <c r="O103" s="336" t="s">
        <v>44</v>
      </c>
      <c r="P103" s="337"/>
      <c r="Q103" s="337"/>
      <c r="R103" s="337"/>
      <c r="S103" s="337"/>
      <c r="T103" s="338"/>
      <c r="U103" s="338"/>
      <c r="V103" s="338"/>
      <c r="W103" s="338"/>
      <c r="X103" s="338"/>
      <c r="Y103" s="333" t="s">
        <v>362</v>
      </c>
      <c r="Z103" s="333"/>
      <c r="AA103" s="333"/>
      <c r="AB103" s="333"/>
      <c r="AC103" s="334"/>
      <c r="AD103" s="334">
        <f>SUM(AD104:AD107)</f>
        <v>443000</v>
      </c>
      <c r="AE103" s="335" t="s">
        <v>25</v>
      </c>
    </row>
    <row r="104" spans="1:31" s="11" customFormat="1" ht="21" customHeight="1">
      <c r="A104" s="37"/>
      <c r="B104" s="38"/>
      <c r="C104" s="38"/>
      <c r="D104" s="430"/>
      <c r="E104" s="431"/>
      <c r="F104" s="431"/>
      <c r="G104" s="431"/>
      <c r="H104" s="431"/>
      <c r="I104" s="431"/>
      <c r="J104" s="431"/>
      <c r="K104" s="431"/>
      <c r="L104" s="431"/>
      <c r="M104" s="97"/>
      <c r="N104" s="60"/>
      <c r="O104" s="454" t="s">
        <v>431</v>
      </c>
      <c r="P104" s="464"/>
      <c r="Q104" s="464"/>
      <c r="R104" s="464"/>
      <c r="S104" s="453">
        <v>50000</v>
      </c>
      <c r="T104" s="458" t="s">
        <v>25</v>
      </c>
      <c r="U104" s="458" t="s">
        <v>26</v>
      </c>
      <c r="V104" s="453">
        <v>1</v>
      </c>
      <c r="W104" s="454" t="s">
        <v>493</v>
      </c>
      <c r="X104" s="455"/>
      <c r="Y104" s="466"/>
      <c r="Z104" s="453"/>
      <c r="AA104" s="453" t="s">
        <v>27</v>
      </c>
      <c r="AB104" s="453" t="s">
        <v>418</v>
      </c>
      <c r="AC104" s="453"/>
      <c r="AD104" s="453">
        <f>S104*V104</f>
        <v>50000</v>
      </c>
      <c r="AE104" s="459" t="s">
        <v>25</v>
      </c>
    </row>
    <row r="105" spans="1:31" s="11" customFormat="1" ht="21" customHeight="1">
      <c r="A105" s="37"/>
      <c r="B105" s="38"/>
      <c r="C105" s="38"/>
      <c r="D105" s="432"/>
      <c r="E105" s="433"/>
      <c r="F105" s="433"/>
      <c r="G105" s="433"/>
      <c r="H105" s="433"/>
      <c r="I105" s="433"/>
      <c r="J105" s="433"/>
      <c r="K105" s="433"/>
      <c r="L105" s="433"/>
      <c r="M105" s="97"/>
      <c r="N105" s="60"/>
      <c r="O105" s="454" t="s">
        <v>433</v>
      </c>
      <c r="P105" s="464"/>
      <c r="Q105" s="464"/>
      <c r="R105" s="464"/>
      <c r="S105" s="453">
        <v>600000</v>
      </c>
      <c r="T105" s="458" t="s">
        <v>25</v>
      </c>
      <c r="U105" s="458" t="s">
        <v>26</v>
      </c>
      <c r="V105" s="453">
        <v>1</v>
      </c>
      <c r="W105" s="454" t="s">
        <v>432</v>
      </c>
      <c r="X105" s="455" t="s">
        <v>106</v>
      </c>
      <c r="Y105" s="466">
        <v>3</v>
      </c>
      <c r="Z105" s="453"/>
      <c r="AA105" s="453" t="s">
        <v>27</v>
      </c>
      <c r="AB105" s="453" t="s">
        <v>418</v>
      </c>
      <c r="AC105" s="453"/>
      <c r="AD105" s="453">
        <f>ROUNDDOWN(S105*V105/Y105,-4)</f>
        <v>200000</v>
      </c>
      <c r="AE105" s="459" t="s">
        <v>25</v>
      </c>
    </row>
    <row r="106" spans="1:31" s="11" customFormat="1" ht="21" customHeight="1">
      <c r="A106" s="37"/>
      <c r="B106" s="38"/>
      <c r="C106" s="38"/>
      <c r="D106" s="133"/>
      <c r="E106" s="97"/>
      <c r="F106" s="97"/>
      <c r="G106" s="97"/>
      <c r="H106" s="97"/>
      <c r="I106" s="97"/>
      <c r="J106" s="97"/>
      <c r="K106" s="97"/>
      <c r="L106" s="97"/>
      <c r="M106" s="97"/>
      <c r="N106" s="60"/>
      <c r="O106" s="454" t="s">
        <v>482</v>
      </c>
      <c r="P106" s="464"/>
      <c r="Q106" s="464"/>
      <c r="R106" s="464"/>
      <c r="S106" s="453">
        <v>150000</v>
      </c>
      <c r="T106" s="458" t="s">
        <v>25</v>
      </c>
      <c r="U106" s="458" t="s">
        <v>26</v>
      </c>
      <c r="V106" s="453">
        <v>1</v>
      </c>
      <c r="W106" s="454" t="s">
        <v>432</v>
      </c>
      <c r="X106" s="455"/>
      <c r="Y106" s="466"/>
      <c r="Z106" s="453"/>
      <c r="AA106" s="453" t="s">
        <v>27</v>
      </c>
      <c r="AB106" s="453" t="s">
        <v>418</v>
      </c>
      <c r="AC106" s="453"/>
      <c r="AD106" s="453">
        <f>S106*V106</f>
        <v>150000</v>
      </c>
      <c r="AE106" s="459" t="s">
        <v>25</v>
      </c>
    </row>
    <row r="107" spans="1:31" s="11" customFormat="1" ht="21" customHeight="1">
      <c r="A107" s="37"/>
      <c r="B107" s="38"/>
      <c r="C107" s="38"/>
      <c r="D107" s="133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54" t="s">
        <v>468</v>
      </c>
      <c r="P107" s="464"/>
      <c r="Q107" s="464"/>
      <c r="R107" s="464"/>
      <c r="S107" s="454"/>
      <c r="T107" s="428"/>
      <c r="U107" s="465"/>
      <c r="V107" s="460"/>
      <c r="W107" s="461"/>
      <c r="X107" s="461"/>
      <c r="Y107" s="460"/>
      <c r="Z107" s="462"/>
      <c r="AA107" s="460" t="s">
        <v>27</v>
      </c>
      <c r="AB107" s="453" t="s">
        <v>506</v>
      </c>
      <c r="AC107" s="453"/>
      <c r="AD107" s="453">
        <v>43000</v>
      </c>
      <c r="AE107" s="459" t="s">
        <v>25</v>
      </c>
    </row>
    <row r="108" spans="1:31" s="11" customFormat="1" ht="21" customHeight="1">
      <c r="A108" s="37"/>
      <c r="B108" s="38"/>
      <c r="C108" s="38"/>
      <c r="D108" s="133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274"/>
      <c r="P108" s="418"/>
      <c r="Q108" s="418"/>
      <c r="R108" s="418"/>
      <c r="S108" s="418"/>
      <c r="T108" s="275"/>
      <c r="U108" s="339"/>
      <c r="V108" s="274"/>
      <c r="W108" s="329"/>
      <c r="X108" s="270"/>
      <c r="Y108" s="270"/>
      <c r="Z108" s="270"/>
      <c r="AA108" s="274"/>
      <c r="AB108" s="274"/>
      <c r="AC108" s="270"/>
      <c r="AD108" s="270"/>
      <c r="AE108" s="122"/>
    </row>
    <row r="109" spans="1:31" s="11" customFormat="1" ht="21" customHeight="1">
      <c r="A109" s="37"/>
      <c r="B109" s="38"/>
      <c r="C109" s="28" t="s">
        <v>45</v>
      </c>
      <c r="D109" s="135">
        <v>780</v>
      </c>
      <c r="E109" s="102">
        <f>ROUND(AD109/1000,0)</f>
        <v>780</v>
      </c>
      <c r="F109" s="103">
        <f>SUMIF($AB$110:$AB$112,"보조",$AD$110:$AD$112)/1000</f>
        <v>0</v>
      </c>
      <c r="G109" s="103">
        <f>SUMIF($AB$110:$AB$112,"4종",$AD$110:$AD$112)/1000</f>
        <v>0</v>
      </c>
      <c r="H109" s="103">
        <f>SUMIF($AB$110:$AB$112,"6종",$AD$110:$AD$112)/1000</f>
        <v>0</v>
      </c>
      <c r="I109" s="103">
        <f>SUMIF($AB$110:$AB$112,"후원",$AD$110:$AD$112)/1000</f>
        <v>0</v>
      </c>
      <c r="J109" s="103">
        <f>SUMIF($AB$110:$AB$112,"입소",$AD$110:$AD$112)/1000</f>
        <v>780</v>
      </c>
      <c r="K109" s="103">
        <f>SUMIF($AB$110:$AB$112,"법인",$AD$110:$AD$112)/1000</f>
        <v>0</v>
      </c>
      <c r="L109" s="103">
        <f>SUMIF($AB$110:$AB$112,"잡수",$AD$110:$AD$112)/1000</f>
        <v>0</v>
      </c>
      <c r="M109" s="155">
        <f>E109-D109</f>
        <v>0</v>
      </c>
      <c r="N109" s="109">
        <f>IF(D109=0,0,M109/D109)</f>
        <v>0</v>
      </c>
      <c r="O109" s="85" t="s">
        <v>46</v>
      </c>
      <c r="P109" s="153"/>
      <c r="Q109" s="153"/>
      <c r="R109" s="153"/>
      <c r="S109" s="153"/>
      <c r="T109" s="152"/>
      <c r="U109" s="152"/>
      <c r="V109" s="152"/>
      <c r="W109" s="152"/>
      <c r="X109" s="152"/>
      <c r="Y109" s="416" t="s">
        <v>362</v>
      </c>
      <c r="Z109" s="416"/>
      <c r="AA109" s="416"/>
      <c r="AB109" s="303"/>
      <c r="AC109" s="304"/>
      <c r="AD109" s="304">
        <f>SUM(AD110:AD111)</f>
        <v>780000</v>
      </c>
      <c r="AE109" s="146" t="s">
        <v>25</v>
      </c>
    </row>
    <row r="110" spans="1:31" s="11" customFormat="1" ht="21" customHeight="1">
      <c r="A110" s="37"/>
      <c r="B110" s="38"/>
      <c r="C110" s="38"/>
      <c r="D110" s="430"/>
      <c r="E110" s="431"/>
      <c r="F110" s="431"/>
      <c r="G110" s="431"/>
      <c r="H110" s="431"/>
      <c r="I110" s="431"/>
      <c r="J110" s="431"/>
      <c r="K110" s="431"/>
      <c r="L110" s="431"/>
      <c r="M110" s="97"/>
      <c r="N110" s="60"/>
      <c r="O110" s="454" t="s">
        <v>434</v>
      </c>
      <c r="P110" s="454"/>
      <c r="Q110" s="454"/>
      <c r="R110" s="454"/>
      <c r="S110" s="453">
        <v>40000</v>
      </c>
      <c r="T110" s="458" t="s">
        <v>25</v>
      </c>
      <c r="U110" s="458" t="s">
        <v>26</v>
      </c>
      <c r="V110" s="453">
        <v>12</v>
      </c>
      <c r="W110" s="454" t="s">
        <v>29</v>
      </c>
      <c r="X110" s="453" t="s">
        <v>27</v>
      </c>
      <c r="Y110" s="453"/>
      <c r="Z110" s="453"/>
      <c r="AA110" s="453"/>
      <c r="AB110" s="453" t="s">
        <v>418</v>
      </c>
      <c r="AC110" s="453"/>
      <c r="AD110" s="453">
        <f>S110*V110</f>
        <v>480000</v>
      </c>
      <c r="AE110" s="459" t="s">
        <v>25</v>
      </c>
    </row>
    <row r="111" spans="1:31" s="11" customFormat="1" ht="21" customHeight="1">
      <c r="A111" s="37"/>
      <c r="B111" s="38"/>
      <c r="C111" s="38"/>
      <c r="D111" s="432"/>
      <c r="E111" s="433"/>
      <c r="F111" s="433"/>
      <c r="G111" s="433"/>
      <c r="H111" s="433"/>
      <c r="I111" s="433"/>
      <c r="J111" s="433"/>
      <c r="K111" s="433"/>
      <c r="L111" s="433"/>
      <c r="M111" s="97"/>
      <c r="N111" s="60"/>
      <c r="O111" s="454" t="s">
        <v>435</v>
      </c>
      <c r="P111" s="454"/>
      <c r="Q111" s="454"/>
      <c r="R111" s="454"/>
      <c r="S111" s="453"/>
      <c r="T111" s="458"/>
      <c r="U111" s="458"/>
      <c r="V111" s="453"/>
      <c r="W111" s="454"/>
      <c r="X111" s="453"/>
      <c r="Y111" s="453"/>
      <c r="Z111" s="453"/>
      <c r="AA111" s="453"/>
      <c r="AB111" s="453" t="s">
        <v>418</v>
      </c>
      <c r="AC111" s="453"/>
      <c r="AD111" s="453">
        <v>300000</v>
      </c>
      <c r="AE111" s="459" t="s">
        <v>25</v>
      </c>
    </row>
    <row r="112" spans="1:31" s="11" customFormat="1" ht="21" customHeight="1">
      <c r="A112" s="37"/>
      <c r="B112" s="38"/>
      <c r="C112" s="49"/>
      <c r="D112" s="114"/>
      <c r="E112" s="100"/>
      <c r="F112" s="100"/>
      <c r="G112" s="100"/>
      <c r="H112" s="100"/>
      <c r="I112" s="100"/>
      <c r="J112" s="100"/>
      <c r="K112" s="100"/>
      <c r="L112" s="100"/>
      <c r="M112" s="100"/>
      <c r="N112" s="75"/>
      <c r="O112" s="415"/>
      <c r="P112" s="415"/>
      <c r="Q112" s="415"/>
      <c r="R112" s="415"/>
      <c r="S112" s="414"/>
      <c r="T112" s="389"/>
      <c r="U112" s="414"/>
      <c r="V112" s="590"/>
      <c r="W112" s="591"/>
      <c r="X112" s="414"/>
      <c r="Y112" s="414"/>
      <c r="Z112" s="414"/>
      <c r="AA112" s="414"/>
      <c r="AB112" s="414"/>
      <c r="AC112" s="414"/>
      <c r="AD112" s="414"/>
      <c r="AE112" s="390"/>
    </row>
    <row r="113" spans="1:31" s="11" customFormat="1" ht="21" customHeight="1">
      <c r="A113" s="37"/>
      <c r="B113" s="38"/>
      <c r="C113" s="28" t="s">
        <v>372</v>
      </c>
      <c r="D113" s="115">
        <v>2880</v>
      </c>
      <c r="E113" s="102">
        <f>ROUND(AD113/1000,0)</f>
        <v>1980</v>
      </c>
      <c r="F113" s="103">
        <f>SUMIF($AB$115:$AB$119,"보조",$AD$115:$AD$119)/1000</f>
        <v>0</v>
      </c>
      <c r="G113" s="103">
        <f>SUMIF($AB$115:$AB$119,"4종",$AD$115:$AD$119)/1000</f>
        <v>0</v>
      </c>
      <c r="H113" s="103">
        <f>SUMIF($AB$115:$AB$119,"6종",$AD$115:$AD$119)/1000</f>
        <v>0</v>
      </c>
      <c r="I113" s="103">
        <f>SUMIF($AB$115:$AB$119,"후원",$AD$115:$AD$119)/1000</f>
        <v>0</v>
      </c>
      <c r="J113" s="103">
        <f>SUMIF($AB$115:$AB$119,"입소",$AD$115:$AD$119)/1000</f>
        <v>300</v>
      </c>
      <c r="K113" s="103">
        <f>SUMIF($AB$115:$AB$119,"법인",$AD$115:$AD$119)/1000</f>
        <v>0</v>
      </c>
      <c r="L113" s="103">
        <f>SUMIF($AB$115:$AB$119,"잡수",$AD$115:$AD$119)/1000</f>
        <v>1680</v>
      </c>
      <c r="M113" s="112">
        <f>E113-D113</f>
        <v>-900</v>
      </c>
      <c r="N113" s="109">
        <f>IF(D113=0,0,M113/D113)</f>
        <v>-0.3125</v>
      </c>
      <c r="O113" s="105" t="s">
        <v>373</v>
      </c>
      <c r="P113" s="153"/>
      <c r="Q113" s="153"/>
      <c r="R113" s="153"/>
      <c r="S113" s="153"/>
      <c r="T113" s="152"/>
      <c r="U113" s="152"/>
      <c r="V113" s="152"/>
      <c r="W113" s="152"/>
      <c r="X113" s="152"/>
      <c r="Y113" s="416" t="s">
        <v>374</v>
      </c>
      <c r="Z113" s="416"/>
      <c r="AA113" s="416"/>
      <c r="AB113" s="416"/>
      <c r="AC113" s="147"/>
      <c r="AD113" s="147">
        <f>SUM(AD114,AD116,AD118)</f>
        <v>1980000</v>
      </c>
      <c r="AE113" s="146" t="s">
        <v>25</v>
      </c>
    </row>
    <row r="114" spans="1:31" s="11" customFormat="1" ht="21" customHeight="1">
      <c r="A114" s="37"/>
      <c r="B114" s="38"/>
      <c r="C114" s="38"/>
      <c r="D114" s="430"/>
      <c r="E114" s="431"/>
      <c r="F114" s="431"/>
      <c r="G114" s="431"/>
      <c r="H114" s="431"/>
      <c r="I114" s="431"/>
      <c r="J114" s="431"/>
      <c r="K114" s="431"/>
      <c r="L114" s="431"/>
      <c r="M114" s="97"/>
      <c r="N114" s="60"/>
      <c r="O114" s="454" t="s">
        <v>436</v>
      </c>
      <c r="P114" s="467"/>
      <c r="Q114" s="467"/>
      <c r="R114" s="467"/>
      <c r="S114" s="467"/>
      <c r="T114" s="468"/>
      <c r="U114" s="468"/>
      <c r="V114" s="468"/>
      <c r="W114" s="468"/>
      <c r="X114" s="468"/>
      <c r="Y114" s="469" t="s">
        <v>362</v>
      </c>
      <c r="Z114" s="469"/>
      <c r="AA114" s="469"/>
      <c r="AB114" s="469"/>
      <c r="AC114" s="470"/>
      <c r="AD114" s="470">
        <f>AD115</f>
        <v>200000</v>
      </c>
      <c r="AE114" s="146" t="s">
        <v>25</v>
      </c>
    </row>
    <row r="115" spans="1:31" s="11" customFormat="1" ht="20.25" customHeight="1">
      <c r="A115" s="37"/>
      <c r="B115" s="38"/>
      <c r="C115" s="38"/>
      <c r="D115" s="430"/>
      <c r="E115" s="431"/>
      <c r="F115" s="431"/>
      <c r="G115" s="433"/>
      <c r="H115" s="431"/>
      <c r="I115" s="431"/>
      <c r="J115" s="433"/>
      <c r="K115" s="431"/>
      <c r="L115" s="431"/>
      <c r="M115" s="97"/>
      <c r="N115" s="60"/>
      <c r="O115" s="454" t="s">
        <v>498</v>
      </c>
      <c r="P115" s="454"/>
      <c r="Q115" s="454"/>
      <c r="R115" s="454"/>
      <c r="S115" s="453">
        <v>50000</v>
      </c>
      <c r="T115" s="453" t="s">
        <v>25</v>
      </c>
      <c r="U115" s="471" t="s">
        <v>26</v>
      </c>
      <c r="V115" s="453">
        <v>4</v>
      </c>
      <c r="W115" s="453" t="s">
        <v>432</v>
      </c>
      <c r="X115" s="471"/>
      <c r="Y115" s="453"/>
      <c r="Z115" s="453"/>
      <c r="AA115" s="453" t="s">
        <v>27</v>
      </c>
      <c r="AB115" s="453" t="s">
        <v>418</v>
      </c>
      <c r="AC115" s="428"/>
      <c r="AD115" s="428">
        <f>S115*V115</f>
        <v>200000</v>
      </c>
      <c r="AE115" s="459" t="s">
        <v>25</v>
      </c>
    </row>
    <row r="116" spans="1:31" s="11" customFormat="1" ht="20.25" customHeight="1">
      <c r="A116" s="37"/>
      <c r="B116" s="38"/>
      <c r="C116" s="38"/>
      <c r="D116" s="432"/>
      <c r="E116" s="433"/>
      <c r="F116" s="433"/>
      <c r="G116" s="433"/>
      <c r="H116" s="433"/>
      <c r="I116" s="433"/>
      <c r="J116" s="433"/>
      <c r="K116" s="433"/>
      <c r="L116" s="433"/>
      <c r="M116" s="97"/>
      <c r="N116" s="60"/>
      <c r="O116" s="454" t="s">
        <v>437</v>
      </c>
      <c r="P116" s="454"/>
      <c r="Q116" s="454"/>
      <c r="R116" s="454"/>
      <c r="S116" s="453"/>
      <c r="T116" s="453"/>
      <c r="U116" s="471"/>
      <c r="V116" s="453"/>
      <c r="W116" s="453"/>
      <c r="X116" s="471"/>
      <c r="Y116" s="469" t="s">
        <v>362</v>
      </c>
      <c r="Z116" s="469"/>
      <c r="AA116" s="469"/>
      <c r="AB116" s="469"/>
      <c r="AC116" s="470"/>
      <c r="AD116" s="470">
        <f>AD117</f>
        <v>1680000</v>
      </c>
      <c r="AE116" s="146" t="s">
        <v>25</v>
      </c>
    </row>
    <row r="117" spans="1:31" s="11" customFormat="1" ht="20.25" customHeight="1">
      <c r="A117" s="37"/>
      <c r="B117" s="38"/>
      <c r="C117" s="38"/>
      <c r="D117" s="116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72" t="s">
        <v>438</v>
      </c>
      <c r="P117" s="454"/>
      <c r="Q117" s="454"/>
      <c r="R117" s="454"/>
      <c r="S117" s="453">
        <v>140000</v>
      </c>
      <c r="T117" s="453" t="s">
        <v>25</v>
      </c>
      <c r="U117" s="471" t="s">
        <v>26</v>
      </c>
      <c r="V117" s="453">
        <v>12</v>
      </c>
      <c r="W117" s="453" t="s">
        <v>432</v>
      </c>
      <c r="X117" s="471"/>
      <c r="Y117" s="453"/>
      <c r="Z117" s="453"/>
      <c r="AA117" s="453" t="s">
        <v>27</v>
      </c>
      <c r="AB117" s="453" t="s">
        <v>376</v>
      </c>
      <c r="AC117" s="428"/>
      <c r="AD117" s="428">
        <f>S117*V117</f>
        <v>1680000</v>
      </c>
      <c r="AE117" s="459" t="s">
        <v>25</v>
      </c>
    </row>
    <row r="118" spans="1:31" s="11" customFormat="1" ht="20.25" customHeight="1">
      <c r="A118" s="37"/>
      <c r="B118" s="38"/>
      <c r="C118" s="38"/>
      <c r="D118" s="116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54" t="s">
        <v>497</v>
      </c>
      <c r="P118" s="454"/>
      <c r="Q118" s="454"/>
      <c r="R118" s="454"/>
      <c r="S118" s="453"/>
      <c r="T118" s="453"/>
      <c r="U118" s="471"/>
      <c r="V118" s="453"/>
      <c r="W118" s="453"/>
      <c r="X118" s="453"/>
      <c r="Y118" s="453"/>
      <c r="Z118" s="453"/>
      <c r="AA118" s="453"/>
      <c r="AB118" s="453" t="s">
        <v>491</v>
      </c>
      <c r="AC118" s="453"/>
      <c r="AD118" s="453">
        <v>100000</v>
      </c>
      <c r="AE118" s="459" t="s">
        <v>25</v>
      </c>
    </row>
    <row r="119" spans="1:31" s="11" customFormat="1" ht="21" customHeight="1">
      <c r="A119" s="37"/>
      <c r="B119" s="49"/>
      <c r="C119" s="99"/>
      <c r="D119" s="134"/>
      <c r="E119" s="100"/>
      <c r="F119" s="100"/>
      <c r="G119" s="100"/>
      <c r="H119" s="100"/>
      <c r="I119" s="100"/>
      <c r="J119" s="100"/>
      <c r="K119" s="100"/>
      <c r="L119" s="100"/>
      <c r="M119" s="100"/>
      <c r="N119" s="75"/>
      <c r="O119" s="348"/>
      <c r="P119" s="348"/>
      <c r="Q119" s="348"/>
      <c r="R119" s="348"/>
      <c r="S119" s="347"/>
      <c r="T119" s="348"/>
      <c r="U119" s="347"/>
      <c r="V119" s="117"/>
      <c r="W119" s="117"/>
      <c r="X119" s="347"/>
      <c r="Y119" s="347"/>
      <c r="Z119" s="347"/>
      <c r="AA119" s="347"/>
      <c r="AB119" s="347"/>
      <c r="AC119" s="347"/>
      <c r="AD119" s="347"/>
      <c r="AE119" s="63"/>
    </row>
    <row r="120" spans="1:31" s="11" customFormat="1" ht="21" customHeight="1">
      <c r="A120" s="101" t="s">
        <v>47</v>
      </c>
      <c r="B120" s="609" t="s">
        <v>20</v>
      </c>
      <c r="C120" s="609"/>
      <c r="D120" s="158">
        <f>D121</f>
        <v>7100</v>
      </c>
      <c r="E120" s="158">
        <f>E121</f>
        <v>6100</v>
      </c>
      <c r="F120" s="158">
        <f t="shared" ref="F120:L120" si="5">F121</f>
        <v>0</v>
      </c>
      <c r="G120" s="158">
        <f t="shared" si="5"/>
        <v>0</v>
      </c>
      <c r="H120" s="158">
        <f t="shared" si="5"/>
        <v>0</v>
      </c>
      <c r="I120" s="158">
        <f t="shared" si="5"/>
        <v>0</v>
      </c>
      <c r="J120" s="158">
        <f t="shared" si="5"/>
        <v>6100</v>
      </c>
      <c r="K120" s="158">
        <f t="shared" si="5"/>
        <v>0</v>
      </c>
      <c r="L120" s="158">
        <f t="shared" si="5"/>
        <v>0</v>
      </c>
      <c r="M120" s="439">
        <f>E120-D120</f>
        <v>-1000</v>
      </c>
      <c r="N120" s="141">
        <f>IF(D120=0,0,M120/D120)</f>
        <v>-0.14084507042253522</v>
      </c>
      <c r="O120" s="151" t="s">
        <v>377</v>
      </c>
      <c r="P120" s="151"/>
      <c r="Q120" s="151"/>
      <c r="R120" s="151"/>
      <c r="S120" s="150"/>
      <c r="T120" s="150"/>
      <c r="U120" s="150"/>
      <c r="V120" s="150"/>
      <c r="W120" s="150"/>
      <c r="X120" s="150"/>
      <c r="Y120" s="150"/>
      <c r="Z120" s="150"/>
      <c r="AA120" s="150"/>
      <c r="AB120" s="150"/>
      <c r="AC120" s="150"/>
      <c r="AD120" s="150">
        <f>AD121</f>
        <v>6100000</v>
      </c>
      <c r="AE120" s="26" t="s">
        <v>25</v>
      </c>
    </row>
    <row r="121" spans="1:31" s="11" customFormat="1" ht="21" customHeight="1">
      <c r="A121" s="157" t="s">
        <v>378</v>
      </c>
      <c r="B121" s="38" t="s">
        <v>17</v>
      </c>
      <c r="C121" s="38" t="s">
        <v>379</v>
      </c>
      <c r="D121" s="97">
        <f t="shared" ref="D121:L121" si="6">SUM(D122,D124,D136)</f>
        <v>7100</v>
      </c>
      <c r="E121" s="97">
        <f t="shared" si="6"/>
        <v>6100</v>
      </c>
      <c r="F121" s="97">
        <f t="shared" si="6"/>
        <v>0</v>
      </c>
      <c r="G121" s="97">
        <f t="shared" si="6"/>
        <v>0</v>
      </c>
      <c r="H121" s="97">
        <f t="shared" si="6"/>
        <v>0</v>
      </c>
      <c r="I121" s="97">
        <f t="shared" si="6"/>
        <v>0</v>
      </c>
      <c r="J121" s="97">
        <f t="shared" si="6"/>
        <v>6100</v>
      </c>
      <c r="K121" s="97">
        <f t="shared" si="6"/>
        <v>0</v>
      </c>
      <c r="L121" s="97">
        <f t="shared" si="6"/>
        <v>0</v>
      </c>
      <c r="M121" s="97">
        <f>E121-D121</f>
        <v>-1000</v>
      </c>
      <c r="N121" s="60">
        <f>IF(D121=0,0,M121/D121)</f>
        <v>-0.14084507042253522</v>
      </c>
      <c r="O121" s="153" t="s">
        <v>380</v>
      </c>
      <c r="P121" s="153"/>
      <c r="Q121" s="153"/>
      <c r="R121" s="153"/>
      <c r="S121" s="153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82"/>
      <c r="AD121" s="82">
        <f>AD122+AD124+AD136</f>
        <v>6100000</v>
      </c>
      <c r="AE121" s="83" t="s">
        <v>25</v>
      </c>
    </row>
    <row r="122" spans="1:31" s="11" customFormat="1" ht="21" customHeight="1">
      <c r="A122" s="37"/>
      <c r="B122" s="38"/>
      <c r="C122" s="28" t="s">
        <v>380</v>
      </c>
      <c r="D122" s="155">
        <v>0</v>
      </c>
      <c r="E122" s="155">
        <f>ROUND(AD122/1000,0)</f>
        <v>0</v>
      </c>
      <c r="F122" s="103">
        <f>SUMIF($AB$123:$AB$123,"보조",$AD$123:$AD$123)/1000</f>
        <v>0</v>
      </c>
      <c r="G122" s="103">
        <f>SUMIF($AB$123:$AB$123,"4종",$AD$123:$AD$123)/1000</f>
        <v>0</v>
      </c>
      <c r="H122" s="103">
        <f>SUMIF($AB$123:$AB$123,"6종",$AD$123:$AD$123)/1000</f>
        <v>0</v>
      </c>
      <c r="I122" s="103">
        <v>0</v>
      </c>
      <c r="J122" s="103">
        <f>SUMIF($AB$123:$AB$123,"입소",$AD$123:$AD$123)/1000</f>
        <v>0</v>
      </c>
      <c r="K122" s="103">
        <f>SUMIF($AB$123:$AB$123,"법인",$AD$123:$AD$123)/1000</f>
        <v>0</v>
      </c>
      <c r="L122" s="103">
        <f>SUMIF($AB$123:$AB$123,"잡수",$AD$123:$AD$123)/1000</f>
        <v>0</v>
      </c>
      <c r="M122" s="155">
        <f>E122-D122</f>
        <v>0</v>
      </c>
      <c r="N122" s="156">
        <f>IF(D122=0,0,M122/D122)</f>
        <v>0</v>
      </c>
      <c r="O122" s="85" t="s">
        <v>48</v>
      </c>
      <c r="P122" s="153"/>
      <c r="Q122" s="153"/>
      <c r="R122" s="153"/>
      <c r="S122" s="153"/>
      <c r="T122" s="152"/>
      <c r="U122" s="152"/>
      <c r="V122" s="152"/>
      <c r="W122" s="152"/>
      <c r="X122" s="152"/>
      <c r="Y122" s="416" t="s">
        <v>379</v>
      </c>
      <c r="Z122" s="416"/>
      <c r="AA122" s="416"/>
      <c r="AB122" s="416"/>
      <c r="AC122" s="147"/>
      <c r="AD122" s="147">
        <v>0</v>
      </c>
      <c r="AE122" s="146" t="s">
        <v>25</v>
      </c>
    </row>
    <row r="123" spans="1:31" s="11" customFormat="1" ht="21" customHeight="1">
      <c r="A123" s="37"/>
      <c r="B123" s="38"/>
      <c r="C123" s="38"/>
      <c r="D123" s="133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 t="s">
        <v>330</v>
      </c>
      <c r="AC123" s="106"/>
      <c r="AD123" s="392">
        <v>0</v>
      </c>
      <c r="AE123" s="396" t="s">
        <v>325</v>
      </c>
    </row>
    <row r="124" spans="1:31" s="11" customFormat="1" ht="21" customHeight="1">
      <c r="A124" s="37"/>
      <c r="B124" s="38"/>
      <c r="C124" s="28" t="s">
        <v>18</v>
      </c>
      <c r="D124" s="135">
        <v>6500</v>
      </c>
      <c r="E124" s="102">
        <f>ROUND(AD124/1000,0)</f>
        <v>5000</v>
      </c>
      <c r="F124" s="103">
        <f>SUMIF($AB$125:$AB$135,"보조",$AD$125:$AD$135)/1000</f>
        <v>0</v>
      </c>
      <c r="G124" s="103">
        <f>SUMIF($AB$125:$AB$135,"4종",$AD$125:$AD$135)/1000</f>
        <v>0</v>
      </c>
      <c r="H124" s="103">
        <f>SUMIF($AB$125:$AB$135,"6종",$AD$125:$AD$135)/1000</f>
        <v>0</v>
      </c>
      <c r="I124" s="103">
        <f>SUMIF($AB$125:$AB$135,"후원",$AD$125:$AD$135)/1000</f>
        <v>0</v>
      </c>
      <c r="J124" s="103">
        <f>SUMIF($AB$125:$AB$135,"입소",$AD$125:$AD$135)/1000</f>
        <v>5000</v>
      </c>
      <c r="K124" s="103">
        <f>SUMIF($AB$125:$AB$135,"법인",$AD$125:$AD$135)/1000</f>
        <v>0</v>
      </c>
      <c r="L124" s="103">
        <f>SUMIF($AB$125:$AB$135,"잡수",$AD$125:$AD$135)/1000</f>
        <v>0</v>
      </c>
      <c r="M124" s="155">
        <f>E124-D124</f>
        <v>-1500</v>
      </c>
      <c r="N124" s="109">
        <f>IF(D124=0,0,M124/D124)</f>
        <v>-0.23076923076923078</v>
      </c>
      <c r="O124" s="85" t="s">
        <v>49</v>
      </c>
      <c r="P124" s="153"/>
      <c r="Q124" s="153"/>
      <c r="R124" s="153"/>
      <c r="S124" s="153"/>
      <c r="T124" s="152"/>
      <c r="U124" s="152"/>
      <c r="V124" s="152"/>
      <c r="W124" s="152"/>
      <c r="X124" s="152"/>
      <c r="Y124" s="416" t="s">
        <v>362</v>
      </c>
      <c r="Z124" s="416"/>
      <c r="AA124" s="416"/>
      <c r="AB124" s="416"/>
      <c r="AC124" s="147"/>
      <c r="AD124" s="304">
        <f>SUM(AD125:AD126)</f>
        <v>5000000</v>
      </c>
      <c r="AE124" s="146" t="s">
        <v>25</v>
      </c>
    </row>
    <row r="125" spans="1:31" s="11" customFormat="1" ht="21" customHeight="1">
      <c r="A125" s="37"/>
      <c r="B125" s="38"/>
      <c r="C125" s="38"/>
      <c r="D125" s="430"/>
      <c r="E125" s="431"/>
      <c r="F125" s="431"/>
      <c r="G125" s="431"/>
      <c r="H125" s="431"/>
      <c r="I125" s="431"/>
      <c r="J125" s="431"/>
      <c r="K125" s="431"/>
      <c r="L125" s="431"/>
      <c r="M125" s="97"/>
      <c r="N125" s="60"/>
      <c r="O125" s="614" t="s">
        <v>469</v>
      </c>
      <c r="P125" s="615"/>
      <c r="Q125" s="615"/>
      <c r="R125" s="615"/>
      <c r="S125" s="453"/>
      <c r="T125" s="458"/>
      <c r="U125" s="458"/>
      <c r="V125" s="453"/>
      <c r="W125" s="454"/>
      <c r="X125" s="453"/>
      <c r="Y125" s="453"/>
      <c r="Z125" s="453"/>
      <c r="AA125" s="453"/>
      <c r="AB125" s="453" t="s">
        <v>470</v>
      </c>
      <c r="AC125" s="453"/>
      <c r="AD125" s="453"/>
      <c r="AE125" s="459" t="s">
        <v>25</v>
      </c>
    </row>
    <row r="126" spans="1:31" s="11" customFormat="1" ht="21" customHeight="1">
      <c r="A126" s="37"/>
      <c r="B126" s="38"/>
      <c r="C126" s="38"/>
      <c r="D126" s="432"/>
      <c r="E126" s="433"/>
      <c r="F126" s="433"/>
      <c r="G126" s="433"/>
      <c r="H126" s="433"/>
      <c r="I126" s="433"/>
      <c r="J126" s="433"/>
      <c r="K126" s="433"/>
      <c r="L126" s="433"/>
      <c r="M126" s="97"/>
      <c r="N126" s="60"/>
      <c r="O126" s="454" t="s">
        <v>534</v>
      </c>
      <c r="P126" s="454"/>
      <c r="Q126" s="454"/>
      <c r="R126" s="467"/>
      <c r="S126" s="467"/>
      <c r="T126" s="468"/>
      <c r="U126" s="468"/>
      <c r="V126" s="468"/>
      <c r="W126" s="468"/>
      <c r="X126" s="468"/>
      <c r="Y126" s="468"/>
      <c r="Z126" s="468"/>
      <c r="AA126" s="468"/>
      <c r="AB126" s="453" t="s">
        <v>418</v>
      </c>
      <c r="AC126" s="473"/>
      <c r="AD126" s="428">
        <v>5000000</v>
      </c>
      <c r="AE126" s="459" t="s">
        <v>25</v>
      </c>
    </row>
    <row r="127" spans="1:31" s="11" customFormat="1" ht="21" customHeight="1">
      <c r="A127" s="37"/>
      <c r="B127" s="38"/>
      <c r="C127" s="38"/>
      <c r="D127" s="98"/>
      <c r="E127" s="97"/>
      <c r="F127" s="97"/>
      <c r="G127" s="97"/>
      <c r="H127" s="97"/>
      <c r="I127" s="97"/>
      <c r="J127" s="97"/>
      <c r="K127" s="97"/>
      <c r="L127" s="97"/>
      <c r="M127" s="97"/>
      <c r="N127" s="60"/>
      <c r="O127" s="420"/>
      <c r="P127" s="420"/>
      <c r="Q127" s="420"/>
      <c r="R127" s="420"/>
      <c r="S127" s="419"/>
      <c r="T127" s="391"/>
      <c r="U127" s="293"/>
      <c r="V127" s="121"/>
      <c r="W127" s="121"/>
      <c r="X127" s="419"/>
      <c r="Y127" s="419"/>
      <c r="Z127" s="419"/>
      <c r="AA127" s="419"/>
      <c r="AB127" s="419"/>
      <c r="AC127" s="419"/>
      <c r="AD127" s="419"/>
      <c r="AE127" s="122"/>
    </row>
    <row r="128" spans="1:31" s="11" customFormat="1" ht="21" hidden="1" customHeight="1">
      <c r="A128" s="37"/>
      <c r="B128" s="38"/>
      <c r="C128" s="38"/>
      <c r="D128" s="98"/>
      <c r="E128" s="97"/>
      <c r="F128" s="97"/>
      <c r="G128" s="97"/>
      <c r="H128" s="97"/>
      <c r="I128" s="97"/>
      <c r="J128" s="97"/>
      <c r="K128" s="97"/>
      <c r="L128" s="97"/>
      <c r="M128" s="97"/>
      <c r="N128" s="60"/>
      <c r="O128" s="420"/>
      <c r="P128" s="420"/>
      <c r="Q128" s="420"/>
      <c r="R128" s="420"/>
      <c r="S128" s="419"/>
      <c r="T128" s="293"/>
      <c r="U128" s="293"/>
      <c r="V128" s="419"/>
      <c r="W128" s="420"/>
      <c r="X128" s="419"/>
      <c r="Y128" s="419"/>
      <c r="Z128" s="419"/>
      <c r="AA128" s="419"/>
      <c r="AB128" s="419" t="s">
        <v>358</v>
      </c>
      <c r="AC128" s="419"/>
      <c r="AD128" s="419"/>
      <c r="AE128" s="122" t="s">
        <v>325</v>
      </c>
    </row>
    <row r="129" spans="1:31" s="11" customFormat="1" ht="21" hidden="1" customHeight="1">
      <c r="A129" s="37"/>
      <c r="B129" s="38"/>
      <c r="C129" s="38"/>
      <c r="D129" s="98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20"/>
      <c r="P129" s="420"/>
      <c r="Q129" s="420"/>
      <c r="R129" s="420"/>
      <c r="S129" s="419"/>
      <c r="T129" s="391"/>
      <c r="U129" s="293"/>
      <c r="V129" s="121"/>
      <c r="W129" s="121"/>
      <c r="X129" s="419"/>
      <c r="Y129" s="419"/>
      <c r="Z129" s="419"/>
      <c r="AA129" s="419"/>
      <c r="AB129" s="419" t="s">
        <v>358</v>
      </c>
      <c r="AC129" s="419"/>
      <c r="AD129" s="419"/>
      <c r="AE129" s="122" t="s">
        <v>325</v>
      </c>
    </row>
    <row r="130" spans="1:31" s="11" customFormat="1" ht="21" hidden="1" customHeight="1">
      <c r="A130" s="37"/>
      <c r="B130" s="38"/>
      <c r="C130" s="38"/>
      <c r="D130" s="98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20"/>
      <c r="P130" s="420"/>
      <c r="Q130" s="420"/>
      <c r="R130" s="420"/>
      <c r="S130" s="419"/>
      <c r="T130" s="391"/>
      <c r="U130" s="293"/>
      <c r="V130" s="121"/>
      <c r="W130" s="121"/>
      <c r="X130" s="419"/>
      <c r="Y130" s="419"/>
      <c r="Z130" s="419"/>
      <c r="AA130" s="419"/>
      <c r="AB130" s="419" t="s">
        <v>358</v>
      </c>
      <c r="AC130" s="419"/>
      <c r="AD130" s="419"/>
      <c r="AE130" s="122" t="s">
        <v>325</v>
      </c>
    </row>
    <row r="131" spans="1:31" s="11" customFormat="1" ht="21" hidden="1" customHeight="1">
      <c r="A131" s="37"/>
      <c r="B131" s="38"/>
      <c r="C131" s="38"/>
      <c r="D131" s="98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0"/>
      <c r="P131" s="420"/>
      <c r="Q131" s="420"/>
      <c r="R131" s="420"/>
      <c r="S131" s="419"/>
      <c r="T131" s="391"/>
      <c r="U131" s="293"/>
      <c r="V131" s="121"/>
      <c r="W131" s="121"/>
      <c r="X131" s="419"/>
      <c r="Y131" s="419"/>
      <c r="Z131" s="419"/>
      <c r="AA131" s="419"/>
      <c r="AB131" s="419" t="s">
        <v>358</v>
      </c>
      <c r="AC131" s="419"/>
      <c r="AD131" s="419"/>
      <c r="AE131" s="122" t="s">
        <v>325</v>
      </c>
    </row>
    <row r="132" spans="1:31" s="11" customFormat="1" ht="21" hidden="1" customHeight="1">
      <c r="A132" s="37"/>
      <c r="B132" s="38"/>
      <c r="C132" s="38"/>
      <c r="D132" s="98"/>
      <c r="E132" s="97"/>
      <c r="F132" s="97"/>
      <c r="G132" s="97"/>
      <c r="H132" s="97"/>
      <c r="I132" s="97"/>
      <c r="J132" s="97"/>
      <c r="K132" s="97"/>
      <c r="L132" s="97"/>
      <c r="M132" s="97"/>
      <c r="N132" s="60"/>
      <c r="O132" s="420"/>
      <c r="P132" s="420"/>
      <c r="Q132" s="420"/>
      <c r="R132" s="420"/>
      <c r="S132" s="419"/>
      <c r="T132" s="391"/>
      <c r="U132" s="293"/>
      <c r="V132" s="121"/>
      <c r="W132" s="121"/>
      <c r="X132" s="419"/>
      <c r="Y132" s="419"/>
      <c r="Z132" s="419"/>
      <c r="AA132" s="419"/>
      <c r="AB132" s="419" t="s">
        <v>358</v>
      </c>
      <c r="AC132" s="419"/>
      <c r="AD132" s="419"/>
      <c r="AE132" s="122" t="s">
        <v>325</v>
      </c>
    </row>
    <row r="133" spans="1:31" s="11" customFormat="1" ht="21" hidden="1" customHeight="1">
      <c r="A133" s="37"/>
      <c r="B133" s="38"/>
      <c r="C133" s="38"/>
      <c r="D133" s="98"/>
      <c r="E133" s="97"/>
      <c r="F133" s="97"/>
      <c r="G133" s="97"/>
      <c r="H133" s="97"/>
      <c r="I133" s="97"/>
      <c r="J133" s="97"/>
      <c r="K133" s="97"/>
      <c r="L133" s="97"/>
      <c r="M133" s="97"/>
      <c r="N133" s="60"/>
      <c r="O133" s="420"/>
      <c r="P133" s="420"/>
      <c r="Q133" s="420"/>
      <c r="R133" s="420"/>
      <c r="S133" s="419"/>
      <c r="T133" s="391"/>
      <c r="U133" s="293"/>
      <c r="V133" s="121"/>
      <c r="W133" s="121"/>
      <c r="X133" s="419"/>
      <c r="Y133" s="419"/>
      <c r="Z133" s="419"/>
      <c r="AA133" s="419"/>
      <c r="AB133" s="419" t="s">
        <v>358</v>
      </c>
      <c r="AC133" s="419"/>
      <c r="AD133" s="419"/>
      <c r="AE133" s="122" t="s">
        <v>325</v>
      </c>
    </row>
    <row r="134" spans="1:31" s="11" customFormat="1" ht="21" hidden="1" customHeight="1">
      <c r="A134" s="37"/>
      <c r="B134" s="38"/>
      <c r="C134" s="38"/>
      <c r="D134" s="98"/>
      <c r="E134" s="97"/>
      <c r="F134" s="97"/>
      <c r="G134" s="97"/>
      <c r="H134" s="97"/>
      <c r="I134" s="97"/>
      <c r="J134" s="97"/>
      <c r="K134" s="97"/>
      <c r="L134" s="97"/>
      <c r="M134" s="97"/>
      <c r="N134" s="60"/>
      <c r="O134" s="420"/>
      <c r="P134" s="420"/>
      <c r="Q134" s="420"/>
      <c r="R134" s="420"/>
      <c r="S134" s="419"/>
      <c r="T134" s="391"/>
      <c r="U134" s="293"/>
      <c r="V134" s="121"/>
      <c r="W134" s="121"/>
      <c r="X134" s="419"/>
      <c r="Y134" s="419"/>
      <c r="Z134" s="419"/>
      <c r="AA134" s="419"/>
      <c r="AB134" s="419" t="s">
        <v>358</v>
      </c>
      <c r="AC134" s="419"/>
      <c r="AD134" s="419"/>
      <c r="AE134" s="122" t="s">
        <v>325</v>
      </c>
    </row>
    <row r="135" spans="1:31" s="11" customFormat="1" ht="21" hidden="1" customHeight="1">
      <c r="A135" s="37"/>
      <c r="B135" s="38"/>
      <c r="C135" s="38"/>
      <c r="D135" s="98"/>
      <c r="E135" s="97"/>
      <c r="F135" s="97"/>
      <c r="G135" s="97"/>
      <c r="H135" s="97"/>
      <c r="I135" s="97"/>
      <c r="J135" s="97"/>
      <c r="K135" s="97"/>
      <c r="L135" s="97"/>
      <c r="M135" s="97"/>
      <c r="N135" s="60"/>
      <c r="O135" s="420"/>
      <c r="P135" s="420"/>
      <c r="Q135" s="420"/>
      <c r="R135" s="420"/>
      <c r="S135" s="419"/>
      <c r="T135" s="391"/>
      <c r="U135" s="293"/>
      <c r="V135" s="121"/>
      <c r="W135" s="121"/>
      <c r="X135" s="419"/>
      <c r="Y135" s="419"/>
      <c r="Z135" s="419"/>
      <c r="AA135" s="419"/>
      <c r="AB135" s="419" t="s">
        <v>358</v>
      </c>
      <c r="AC135" s="419"/>
      <c r="AD135" s="419"/>
      <c r="AE135" s="122" t="s">
        <v>325</v>
      </c>
    </row>
    <row r="136" spans="1:31" s="11" customFormat="1" ht="21" customHeight="1">
      <c r="A136" s="37"/>
      <c r="B136" s="38"/>
      <c r="C136" s="28" t="s">
        <v>50</v>
      </c>
      <c r="D136" s="135">
        <v>600</v>
      </c>
      <c r="E136" s="102">
        <f>ROUND(AD136/1000,0)</f>
        <v>1100</v>
      </c>
      <c r="F136" s="103">
        <f>SUMIF($AB$137:$AB$141,"보조",$AD$137:$AD$141)/1000</f>
        <v>0</v>
      </c>
      <c r="G136" s="103">
        <f>SUMIF($AB$137:$AB$141,"4종",$AD$137:$AD$141)/1000</f>
        <v>0</v>
      </c>
      <c r="H136" s="103">
        <f>SUMIF($AB$137:$AB$141,"6종",$AD$137:$AD$141)/1000</f>
        <v>0</v>
      </c>
      <c r="I136" s="103">
        <f>SUMIF($AB$137:$AB$141,"후원",$AD$137:$AD$141)/1000</f>
        <v>0</v>
      </c>
      <c r="J136" s="103">
        <f>SUMIF($AB$137:$AB$141,"입소",$AD$137:$AD$141)/1000</f>
        <v>1100</v>
      </c>
      <c r="K136" s="103">
        <f>SUMIF($AB$137:$AB$141,"법인",$AD$137:$AD$141)/1000</f>
        <v>0</v>
      </c>
      <c r="L136" s="103">
        <f>SUMIF($AB$137:$AB$141,"잡수",$AD$137:$AD$141)/1000</f>
        <v>0</v>
      </c>
      <c r="M136" s="112">
        <f>E136-D136</f>
        <v>500</v>
      </c>
      <c r="N136" s="109">
        <f>IF(D136=0,0,M136/D136)</f>
        <v>0.83333333333333337</v>
      </c>
      <c r="O136" s="85" t="s">
        <v>51</v>
      </c>
      <c r="P136" s="153"/>
      <c r="Q136" s="153"/>
      <c r="R136" s="153"/>
      <c r="S136" s="153"/>
      <c r="T136" s="152"/>
      <c r="U136" s="152"/>
      <c r="V136" s="152"/>
      <c r="W136" s="152"/>
      <c r="X136" s="152"/>
      <c r="Y136" s="416" t="s">
        <v>362</v>
      </c>
      <c r="Z136" s="416"/>
      <c r="AA136" s="416"/>
      <c r="AB136" s="416"/>
      <c r="AC136" s="147"/>
      <c r="AD136" s="147">
        <f>SUM(AD137:AD140)</f>
        <v>1100000</v>
      </c>
      <c r="AE136" s="146" t="s">
        <v>25</v>
      </c>
    </row>
    <row r="137" spans="1:31" s="1" customFormat="1" ht="21" customHeight="1">
      <c r="A137" s="37"/>
      <c r="B137" s="38"/>
      <c r="C137" s="38" t="s">
        <v>381</v>
      </c>
      <c r="D137" s="430"/>
      <c r="E137" s="431"/>
      <c r="F137" s="431"/>
      <c r="G137" s="431"/>
      <c r="H137" s="431"/>
      <c r="I137" s="431"/>
      <c r="J137" s="431"/>
      <c r="K137" s="431"/>
      <c r="L137" s="431"/>
      <c r="M137" s="97"/>
      <c r="N137" s="60"/>
      <c r="O137" s="454" t="s">
        <v>469</v>
      </c>
      <c r="P137" s="454"/>
      <c r="Q137" s="454"/>
      <c r="R137" s="454"/>
      <c r="S137" s="453"/>
      <c r="T137" s="458"/>
      <c r="U137" s="458"/>
      <c r="V137" s="453"/>
      <c r="W137" s="454"/>
      <c r="X137" s="453"/>
      <c r="Y137" s="453"/>
      <c r="Z137" s="453"/>
      <c r="AA137" s="453"/>
      <c r="AB137" s="453" t="s">
        <v>470</v>
      </c>
      <c r="AC137" s="453"/>
      <c r="AD137" s="453">
        <v>0</v>
      </c>
      <c r="AE137" s="459" t="s">
        <v>25</v>
      </c>
    </row>
    <row r="138" spans="1:31" s="1" customFormat="1" ht="21" customHeight="1">
      <c r="A138" s="37"/>
      <c r="B138" s="38"/>
      <c r="C138" s="38"/>
      <c r="D138" s="432"/>
      <c r="E138" s="433"/>
      <c r="F138" s="433"/>
      <c r="G138" s="433"/>
      <c r="H138" s="433"/>
      <c r="I138" s="433"/>
      <c r="J138" s="433"/>
      <c r="K138" s="433"/>
      <c r="L138" s="433"/>
      <c r="M138" s="97"/>
      <c r="N138" s="60"/>
      <c r="O138" s="454" t="s">
        <v>526</v>
      </c>
      <c r="P138" s="454"/>
      <c r="Q138" s="454"/>
      <c r="R138" s="454"/>
      <c r="S138" s="453"/>
      <c r="T138" s="458"/>
      <c r="U138" s="458"/>
      <c r="V138" s="453"/>
      <c r="W138" s="454"/>
      <c r="X138" s="453"/>
      <c r="Y138" s="453"/>
      <c r="Z138" s="453"/>
      <c r="AA138" s="453"/>
      <c r="AB138" s="453" t="s">
        <v>418</v>
      </c>
      <c r="AC138" s="453"/>
      <c r="AD138" s="453">
        <v>1000000</v>
      </c>
      <c r="AE138" s="459" t="s">
        <v>25</v>
      </c>
    </row>
    <row r="139" spans="1:31" s="1" customFormat="1" ht="21" customHeight="1">
      <c r="A139" s="37"/>
      <c r="B139" s="38"/>
      <c r="C139" s="38"/>
      <c r="D139" s="133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54" t="s">
        <v>439</v>
      </c>
      <c r="P139" s="454"/>
      <c r="Q139" s="454"/>
      <c r="R139" s="454"/>
      <c r="S139" s="453"/>
      <c r="T139" s="458"/>
      <c r="U139" s="458"/>
      <c r="V139" s="453">
        <v>60000</v>
      </c>
      <c r="W139" s="454" t="s">
        <v>25</v>
      </c>
      <c r="X139" s="453" t="s">
        <v>26</v>
      </c>
      <c r="Y139" s="453">
        <v>1</v>
      </c>
      <c r="Z139" s="453" t="s">
        <v>432</v>
      </c>
      <c r="AA139" s="453" t="s">
        <v>27</v>
      </c>
      <c r="AB139" s="453" t="s">
        <v>418</v>
      </c>
      <c r="AC139" s="453"/>
      <c r="AD139" s="453">
        <f>V139*Y139</f>
        <v>60000</v>
      </c>
      <c r="AE139" s="459" t="s">
        <v>25</v>
      </c>
    </row>
    <row r="140" spans="1:31" s="1" customFormat="1" ht="21" customHeight="1">
      <c r="A140" s="37"/>
      <c r="B140" s="38"/>
      <c r="C140" s="38"/>
      <c r="D140" s="133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54" t="s">
        <v>440</v>
      </c>
      <c r="P140" s="454"/>
      <c r="Q140" s="454"/>
      <c r="R140" s="454"/>
      <c r="S140" s="453"/>
      <c r="T140" s="458"/>
      <c r="U140" s="458"/>
      <c r="V140" s="453">
        <v>40000</v>
      </c>
      <c r="W140" s="454" t="s">
        <v>25</v>
      </c>
      <c r="X140" s="453" t="s">
        <v>26</v>
      </c>
      <c r="Y140" s="453">
        <v>1</v>
      </c>
      <c r="Z140" s="453" t="s">
        <v>432</v>
      </c>
      <c r="AA140" s="453" t="s">
        <v>27</v>
      </c>
      <c r="AB140" s="453" t="s">
        <v>418</v>
      </c>
      <c r="AC140" s="453"/>
      <c r="AD140" s="453">
        <f>V140*Y140</f>
        <v>40000</v>
      </c>
      <c r="AE140" s="459" t="s">
        <v>25</v>
      </c>
    </row>
    <row r="141" spans="1:31" s="1" customFormat="1" ht="21" customHeight="1">
      <c r="A141" s="37"/>
      <c r="B141" s="38"/>
      <c r="C141" s="38"/>
      <c r="D141" s="133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20"/>
      <c r="P141" s="420"/>
      <c r="Q141" s="420"/>
      <c r="R141" s="420"/>
      <c r="S141" s="419"/>
      <c r="T141" s="293"/>
      <c r="U141" s="293"/>
      <c r="V141" s="419"/>
      <c r="W141" s="420"/>
      <c r="X141" s="419"/>
      <c r="Y141" s="419"/>
      <c r="Z141" s="419"/>
      <c r="AA141" s="419"/>
      <c r="AB141" s="419"/>
      <c r="AC141" s="419"/>
      <c r="AD141" s="419"/>
      <c r="AE141" s="122"/>
    </row>
    <row r="142" spans="1:31" s="11" customFormat="1" ht="21" customHeight="1">
      <c r="A142" s="159" t="s">
        <v>19</v>
      </c>
      <c r="B142" s="610" t="s">
        <v>20</v>
      </c>
      <c r="C142" s="611"/>
      <c r="D142" s="160">
        <f t="shared" ref="D142:M142" si="7">SUM(D143,D167)</f>
        <v>20966</v>
      </c>
      <c r="E142" s="160">
        <f t="shared" si="7"/>
        <v>21806</v>
      </c>
      <c r="F142" s="160">
        <f t="shared" ca="1" si="7"/>
        <v>6160</v>
      </c>
      <c r="G142" s="160">
        <f t="shared" si="7"/>
        <v>1642</v>
      </c>
      <c r="H142" s="160">
        <f t="shared" si="7"/>
        <v>0</v>
      </c>
      <c r="I142" s="160">
        <f t="shared" si="7"/>
        <v>659</v>
      </c>
      <c r="J142" s="160">
        <f t="shared" si="7"/>
        <v>13345</v>
      </c>
      <c r="K142" s="160">
        <f t="shared" si="7"/>
        <v>0</v>
      </c>
      <c r="L142" s="160">
        <f t="shared" si="7"/>
        <v>0</v>
      </c>
      <c r="M142" s="160">
        <f t="shared" si="7"/>
        <v>840</v>
      </c>
      <c r="N142" s="161">
        <f>IF(D142=0,0,M142/D142)</f>
        <v>4.0064866927406274E-2</v>
      </c>
      <c r="O142" s="153" t="s">
        <v>382</v>
      </c>
      <c r="P142" s="153"/>
      <c r="Q142" s="153"/>
      <c r="R142" s="153"/>
      <c r="S142" s="153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302">
        <f>SUM(AD143,AD167)</f>
        <v>21806000</v>
      </c>
      <c r="AE142" s="83" t="s">
        <v>25</v>
      </c>
    </row>
    <row r="143" spans="1:31" s="11" customFormat="1" ht="21" customHeight="1">
      <c r="A143" s="38"/>
      <c r="B143" s="28" t="s">
        <v>383</v>
      </c>
      <c r="C143" s="28" t="s">
        <v>384</v>
      </c>
      <c r="D143" s="102">
        <f t="shared" ref="D143:L143" si="8">SUM(D144,D153,D157,D160,D164)</f>
        <v>14486</v>
      </c>
      <c r="E143" s="102">
        <f t="shared" si="8"/>
        <v>14606</v>
      </c>
      <c r="F143" s="102">
        <f t="shared" si="8"/>
        <v>6160</v>
      </c>
      <c r="G143" s="102">
        <f t="shared" si="8"/>
        <v>1642</v>
      </c>
      <c r="H143" s="102">
        <f t="shared" si="8"/>
        <v>0</v>
      </c>
      <c r="I143" s="102">
        <f t="shared" si="8"/>
        <v>659</v>
      </c>
      <c r="J143" s="102">
        <f t="shared" si="8"/>
        <v>6145</v>
      </c>
      <c r="K143" s="102">
        <f t="shared" si="8"/>
        <v>0</v>
      </c>
      <c r="L143" s="102">
        <f t="shared" si="8"/>
        <v>0</v>
      </c>
      <c r="M143" s="102">
        <f>E143-D143</f>
        <v>120</v>
      </c>
      <c r="N143" s="109">
        <f>IF(D143=0,0,M143/D143)</f>
        <v>8.283860278889962E-3</v>
      </c>
      <c r="O143" s="153"/>
      <c r="P143" s="153"/>
      <c r="Q143" s="153"/>
      <c r="R143" s="153"/>
      <c r="S143" s="153"/>
      <c r="T143" s="152"/>
      <c r="U143" s="152"/>
      <c r="V143" s="152"/>
      <c r="W143" s="152"/>
      <c r="X143" s="152"/>
      <c r="Y143" s="152" t="s">
        <v>28</v>
      </c>
      <c r="Z143" s="152"/>
      <c r="AA143" s="152"/>
      <c r="AB143" s="152"/>
      <c r="AC143" s="82"/>
      <c r="AD143" s="441">
        <f>SUM(AD144,AD153,AD157,AD160,AD164)</f>
        <v>14606000</v>
      </c>
      <c r="AE143" s="83" t="s">
        <v>25</v>
      </c>
    </row>
    <row r="144" spans="1:31" s="11" customFormat="1" ht="21" customHeight="1">
      <c r="A144" s="38"/>
      <c r="B144" s="38"/>
      <c r="C144" s="28" t="s">
        <v>385</v>
      </c>
      <c r="D144" s="135">
        <v>12582</v>
      </c>
      <c r="E144" s="102">
        <f>AD144/1000</f>
        <v>12582</v>
      </c>
      <c r="F144" s="103">
        <f>SUMIF($AB$145:$AB$152,"보조",$AD$145:$AD$152)/1000</f>
        <v>6160</v>
      </c>
      <c r="G144" s="103">
        <f>SUMIF($AB$145:$AB$152,"4종",$AD$145:$AD$152)/1000</f>
        <v>1162</v>
      </c>
      <c r="H144" s="103">
        <f>SUMIF($AB$145:$AB$152,"6종",$AD$145:$AD$152)/1000</f>
        <v>0</v>
      </c>
      <c r="I144" s="103">
        <f>SUMIF($AB$145:$AB$152,"후원",$AD$145:$AD$152)/1000</f>
        <v>300</v>
      </c>
      <c r="J144" s="103">
        <f>SUMIF($AB$145:$AB$152,"입소",$AD$145:$AD$152)/1000</f>
        <v>4960</v>
      </c>
      <c r="K144" s="103">
        <f>SUMIF($AB$145:$AB$152,"법인",$AD$145:$AD$152)/1000</f>
        <v>0</v>
      </c>
      <c r="L144" s="103">
        <f>SUMIF($AB$145:$AB$152,"잡수",$AD$145:$AD$152)/1000</f>
        <v>0</v>
      </c>
      <c r="M144" s="155">
        <f>E144-D144</f>
        <v>0</v>
      </c>
      <c r="N144" s="109">
        <f>IF(D144=0,0,M144/D144)</f>
        <v>0</v>
      </c>
      <c r="O144" s="85" t="s">
        <v>386</v>
      </c>
      <c r="P144" s="153"/>
      <c r="Q144" s="153"/>
      <c r="R144" s="153"/>
      <c r="S144" s="153"/>
      <c r="T144" s="152"/>
      <c r="U144" s="152"/>
      <c r="V144" s="152"/>
      <c r="W144" s="152"/>
      <c r="X144" s="152"/>
      <c r="Y144" s="416" t="s">
        <v>387</v>
      </c>
      <c r="Z144" s="416"/>
      <c r="AA144" s="416"/>
      <c r="AB144" s="416"/>
      <c r="AC144" s="147"/>
      <c r="AD144" s="334">
        <f>ROUND(SUM(AD145:AD151),-3)</f>
        <v>12582000</v>
      </c>
      <c r="AE144" s="146" t="s">
        <v>25</v>
      </c>
    </row>
    <row r="145" spans="1:31" s="11" customFormat="1" ht="21" customHeight="1">
      <c r="A145" s="38"/>
      <c r="B145" s="38"/>
      <c r="C145" s="38"/>
      <c r="D145" s="430"/>
      <c r="E145" s="431"/>
      <c r="F145" s="431"/>
      <c r="G145" s="431"/>
      <c r="H145" s="431"/>
      <c r="I145" s="431"/>
      <c r="J145" s="431"/>
      <c r="K145" s="431"/>
      <c r="L145" s="431"/>
      <c r="M145" s="97"/>
      <c r="N145" s="60"/>
      <c r="O145" s="454" t="s">
        <v>441</v>
      </c>
      <c r="P145" s="454"/>
      <c r="Q145" s="453"/>
      <c r="R145" s="453"/>
      <c r="S145" s="453">
        <v>220000</v>
      </c>
      <c r="T145" s="458" t="s">
        <v>25</v>
      </c>
      <c r="U145" s="458" t="s">
        <v>26</v>
      </c>
      <c r="V145" s="453">
        <v>7</v>
      </c>
      <c r="W145" s="454" t="s">
        <v>29</v>
      </c>
      <c r="X145" s="454" t="s">
        <v>26</v>
      </c>
      <c r="Y145" s="474">
        <v>4</v>
      </c>
      <c r="Z145" s="455" t="s">
        <v>108</v>
      </c>
      <c r="AA145" s="455" t="s">
        <v>27</v>
      </c>
      <c r="AB145" s="453" t="s">
        <v>426</v>
      </c>
      <c r="AC145" s="428"/>
      <c r="AD145" s="479">
        <f>S145*V145*Y145</f>
        <v>6160000</v>
      </c>
      <c r="AE145" s="459" t="s">
        <v>25</v>
      </c>
    </row>
    <row r="146" spans="1:31" s="11" customFormat="1" ht="21" customHeight="1">
      <c r="A146" s="38"/>
      <c r="B146" s="38"/>
      <c r="C146" s="38"/>
      <c r="D146" s="432"/>
      <c r="E146" s="433"/>
      <c r="F146" s="433"/>
      <c r="G146" s="433"/>
      <c r="H146" s="433"/>
      <c r="I146" s="433"/>
      <c r="J146" s="433"/>
      <c r="K146" s="433"/>
      <c r="L146" s="433"/>
      <c r="M146" s="97"/>
      <c r="N146" s="60"/>
      <c r="O146" s="454" t="s">
        <v>441</v>
      </c>
      <c r="P146" s="454"/>
      <c r="Q146" s="454"/>
      <c r="R146" s="454"/>
      <c r="S146" s="453">
        <v>200000</v>
      </c>
      <c r="T146" s="458" t="s">
        <v>25</v>
      </c>
      <c r="U146" s="458" t="s">
        <v>26</v>
      </c>
      <c r="V146" s="453">
        <v>5</v>
      </c>
      <c r="W146" s="454" t="s">
        <v>29</v>
      </c>
      <c r="X146" s="454" t="s">
        <v>26</v>
      </c>
      <c r="Y146" s="474">
        <v>4</v>
      </c>
      <c r="Z146" s="455" t="s">
        <v>108</v>
      </c>
      <c r="AA146" s="455" t="s">
        <v>27</v>
      </c>
      <c r="AB146" s="453" t="s">
        <v>418</v>
      </c>
      <c r="AC146" s="428"/>
      <c r="AD146" s="428">
        <f>S146*V146*Y146</f>
        <v>4000000</v>
      </c>
      <c r="AE146" s="459" t="s">
        <v>25</v>
      </c>
    </row>
    <row r="147" spans="1:31" s="11" customFormat="1" ht="21" customHeight="1">
      <c r="A147" s="38"/>
      <c r="B147" s="38"/>
      <c r="C147" s="38"/>
      <c r="D147" s="98"/>
      <c r="E147" s="97"/>
      <c r="F147" s="97"/>
      <c r="G147" s="97"/>
      <c r="H147" s="97"/>
      <c r="I147" s="97"/>
      <c r="J147" s="97"/>
      <c r="K147" s="97"/>
      <c r="L147" s="97"/>
      <c r="M147" s="97"/>
      <c r="N147" s="60"/>
      <c r="O147" s="454" t="s">
        <v>442</v>
      </c>
      <c r="P147" s="454"/>
      <c r="Q147" s="453"/>
      <c r="R147" s="453"/>
      <c r="S147" s="453">
        <v>182500</v>
      </c>
      <c r="T147" s="458" t="s">
        <v>25</v>
      </c>
      <c r="U147" s="458" t="s">
        <v>26</v>
      </c>
      <c r="V147" s="453"/>
      <c r="W147" s="454"/>
      <c r="X147" s="454"/>
      <c r="Y147" s="474">
        <v>4</v>
      </c>
      <c r="Z147" s="455" t="s">
        <v>108</v>
      </c>
      <c r="AA147" s="455" t="s">
        <v>27</v>
      </c>
      <c r="AB147" s="453" t="s">
        <v>288</v>
      </c>
      <c r="AC147" s="428"/>
      <c r="AD147" s="428">
        <f>S147*Y147</f>
        <v>730000</v>
      </c>
      <c r="AE147" s="459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75" t="s">
        <v>443</v>
      </c>
      <c r="P148" s="475"/>
      <c r="Q148" s="475"/>
      <c r="R148" s="475"/>
      <c r="S148" s="429">
        <v>20000</v>
      </c>
      <c r="T148" s="476" t="s">
        <v>25</v>
      </c>
      <c r="U148" s="476" t="s">
        <v>26</v>
      </c>
      <c r="V148" s="429">
        <v>12</v>
      </c>
      <c r="W148" s="475" t="s">
        <v>29</v>
      </c>
      <c r="X148" s="475" t="s">
        <v>26</v>
      </c>
      <c r="Y148" s="477">
        <v>4</v>
      </c>
      <c r="Z148" s="478" t="s">
        <v>108</v>
      </c>
      <c r="AA148" s="478" t="s">
        <v>27</v>
      </c>
      <c r="AB148" s="429" t="s">
        <v>418</v>
      </c>
      <c r="AC148" s="479"/>
      <c r="AD148" s="479">
        <f>S148*V148*Y148</f>
        <v>960000</v>
      </c>
      <c r="AE148" s="480" t="s">
        <v>25</v>
      </c>
    </row>
    <row r="149" spans="1:31" s="11" customFormat="1" ht="21" customHeight="1">
      <c r="A149" s="38"/>
      <c r="B149" s="38"/>
      <c r="C149" s="38"/>
      <c r="D149" s="98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54" t="s">
        <v>444</v>
      </c>
      <c r="P149" s="454"/>
      <c r="Q149" s="453"/>
      <c r="R149" s="453"/>
      <c r="S149" s="453">
        <v>60000</v>
      </c>
      <c r="T149" s="458" t="s">
        <v>25</v>
      </c>
      <c r="U149" s="458" t="s">
        <v>26</v>
      </c>
      <c r="V149" s="453"/>
      <c r="W149" s="454"/>
      <c r="X149" s="454"/>
      <c r="Y149" s="474">
        <v>4</v>
      </c>
      <c r="Z149" s="455" t="s">
        <v>108</v>
      </c>
      <c r="AA149" s="455" t="s">
        <v>27</v>
      </c>
      <c r="AB149" s="453" t="s">
        <v>288</v>
      </c>
      <c r="AC149" s="428"/>
      <c r="AD149" s="428">
        <f>S149*Y149</f>
        <v>240000</v>
      </c>
      <c r="AE149" s="459" t="s">
        <v>25</v>
      </c>
    </row>
    <row r="150" spans="1:31" s="11" customFormat="1" ht="21" customHeight="1">
      <c r="A150" s="38"/>
      <c r="B150" s="38"/>
      <c r="C150" s="38"/>
      <c r="D150" s="98"/>
      <c r="E150" s="97"/>
      <c r="F150" s="97"/>
      <c r="G150" s="97"/>
      <c r="H150" s="97"/>
      <c r="I150" s="97"/>
      <c r="J150" s="97"/>
      <c r="K150" s="97"/>
      <c r="L150" s="97"/>
      <c r="M150" s="97"/>
      <c r="N150" s="60"/>
      <c r="O150" s="454" t="s">
        <v>445</v>
      </c>
      <c r="P150" s="454"/>
      <c r="Q150" s="453"/>
      <c r="R150" s="453"/>
      <c r="S150" s="453"/>
      <c r="T150" s="458"/>
      <c r="U150" s="458"/>
      <c r="V150" s="453"/>
      <c r="W150" s="454"/>
      <c r="X150" s="454"/>
      <c r="Y150" s="474"/>
      <c r="Z150" s="455"/>
      <c r="AA150" s="455"/>
      <c r="AB150" s="453" t="s">
        <v>490</v>
      </c>
      <c r="AC150" s="428"/>
      <c r="AD150" s="428">
        <v>300000</v>
      </c>
      <c r="AE150" s="459" t="s">
        <v>25</v>
      </c>
    </row>
    <row r="151" spans="1:31" s="11" customFormat="1" ht="21" customHeight="1">
      <c r="A151" s="38"/>
      <c r="B151" s="38"/>
      <c r="C151" s="38"/>
      <c r="D151" s="98"/>
      <c r="E151" s="97"/>
      <c r="F151" s="97"/>
      <c r="G151" s="97"/>
      <c r="H151" s="97"/>
      <c r="I151" s="97"/>
      <c r="J151" s="97"/>
      <c r="K151" s="97"/>
      <c r="L151" s="97"/>
      <c r="M151" s="97"/>
      <c r="N151" s="60"/>
      <c r="O151" s="454" t="s">
        <v>446</v>
      </c>
      <c r="P151" s="454"/>
      <c r="Q151" s="453"/>
      <c r="R151" s="453"/>
      <c r="S151" s="453">
        <v>48000</v>
      </c>
      <c r="T151" s="458" t="s">
        <v>25</v>
      </c>
      <c r="U151" s="458" t="s">
        <v>26</v>
      </c>
      <c r="V151" s="453"/>
      <c r="W151" s="454"/>
      <c r="X151" s="454"/>
      <c r="Y151" s="474">
        <v>4</v>
      </c>
      <c r="Z151" s="455" t="s">
        <v>108</v>
      </c>
      <c r="AA151" s="455" t="s">
        <v>27</v>
      </c>
      <c r="AB151" s="453" t="s">
        <v>288</v>
      </c>
      <c r="AC151" s="428"/>
      <c r="AD151" s="428">
        <f>S151*Y151</f>
        <v>192000</v>
      </c>
      <c r="AE151" s="459" t="s">
        <v>25</v>
      </c>
    </row>
    <row r="152" spans="1:31" s="11" customFormat="1" ht="21" customHeight="1">
      <c r="A152" s="38"/>
      <c r="B152" s="38"/>
      <c r="C152" s="49"/>
      <c r="D152" s="134"/>
      <c r="E152" s="100"/>
      <c r="F152" s="100"/>
      <c r="G152" s="100"/>
      <c r="H152" s="100"/>
      <c r="I152" s="100"/>
      <c r="J152" s="100"/>
      <c r="K152" s="100"/>
      <c r="L152" s="100"/>
      <c r="M152" s="100"/>
      <c r="N152" s="75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392"/>
      <c r="AE152" s="113"/>
    </row>
    <row r="153" spans="1:31" s="11" customFormat="1" ht="21" customHeight="1">
      <c r="A153" s="38"/>
      <c r="B153" s="38"/>
      <c r="C153" s="38" t="s">
        <v>388</v>
      </c>
      <c r="D153" s="133">
        <v>1064</v>
      </c>
      <c r="E153" s="97">
        <f>ROUND(AD153/1000,0)</f>
        <v>1184</v>
      </c>
      <c r="F153" s="103">
        <f>SUMIF($AB$154:$AB$156,"보조",$AD$154:$AD$156)/1000</f>
        <v>0</v>
      </c>
      <c r="G153" s="103">
        <f>SUMIF($AB$154:$AB$156,"4종",$AD$154:$AD$156)/1000</f>
        <v>0</v>
      </c>
      <c r="H153" s="103">
        <f>SUMIF($AB$154:$AB$156,"6종",$AD$154:$AD$156)/1000</f>
        <v>0</v>
      </c>
      <c r="I153" s="103">
        <f>SUMIF($AB$154:$AB$156,"후원",$AD$154:$AD$156)/1000</f>
        <v>359</v>
      </c>
      <c r="J153" s="103">
        <f>SUMIF($AB$154:$AB$156,"입소",$AD$154:$AD$156)/1000</f>
        <v>825</v>
      </c>
      <c r="K153" s="103">
        <f>SUMIF($AB$154:$AB$156,"법인",$AD$154:$AD$156)/1000</f>
        <v>0</v>
      </c>
      <c r="L153" s="103">
        <f>SUMIF($AB$154:$AB$156,"잡수",$AD$154:$AD$156)/1000</f>
        <v>0</v>
      </c>
      <c r="M153" s="97">
        <f>E153-D153</f>
        <v>120</v>
      </c>
      <c r="N153" s="60">
        <f>IF(D153=0,0,M153/D153)</f>
        <v>0.11278195488721804</v>
      </c>
      <c r="O153" s="85" t="s">
        <v>389</v>
      </c>
      <c r="P153" s="153"/>
      <c r="Q153" s="153"/>
      <c r="R153" s="153"/>
      <c r="S153" s="153"/>
      <c r="T153" s="152"/>
      <c r="U153" s="152"/>
      <c r="V153" s="152"/>
      <c r="W153" s="152"/>
      <c r="X153" s="152"/>
      <c r="Y153" s="416" t="s">
        <v>375</v>
      </c>
      <c r="Z153" s="416"/>
      <c r="AA153" s="416"/>
      <c r="AB153" s="416"/>
      <c r="AC153" s="147"/>
      <c r="AD153" s="304">
        <f>SUM(AD154:AD155)</f>
        <v>1184000</v>
      </c>
      <c r="AE153" s="146" t="s">
        <v>25</v>
      </c>
    </row>
    <row r="154" spans="1:31" s="11" customFormat="1" ht="21" customHeight="1">
      <c r="A154" s="38"/>
      <c r="B154" s="38"/>
      <c r="C154" s="38" t="s">
        <v>390</v>
      </c>
      <c r="D154" s="430"/>
      <c r="E154" s="431"/>
      <c r="F154" s="431"/>
      <c r="G154" s="431"/>
      <c r="H154" s="431"/>
      <c r="I154" s="431"/>
      <c r="J154" s="431"/>
      <c r="K154" s="431"/>
      <c r="L154" s="431"/>
      <c r="M154" s="97"/>
      <c r="N154" s="60"/>
      <c r="O154" s="454" t="s">
        <v>511</v>
      </c>
      <c r="P154" s="454"/>
      <c r="Q154" s="454"/>
      <c r="R154" s="454"/>
      <c r="S154" s="453"/>
      <c r="T154" s="458"/>
      <c r="U154" s="458"/>
      <c r="V154" s="453"/>
      <c r="W154" s="453"/>
      <c r="X154" s="453"/>
      <c r="Y154" s="453"/>
      <c r="Z154" s="453"/>
      <c r="AA154" s="453"/>
      <c r="AB154" s="453" t="s">
        <v>506</v>
      </c>
      <c r="AC154" s="453"/>
      <c r="AD154" s="453">
        <v>825000</v>
      </c>
      <c r="AE154" s="459" t="s">
        <v>25</v>
      </c>
    </row>
    <row r="155" spans="1:31" s="11" customFormat="1" ht="21" customHeight="1">
      <c r="A155" s="38"/>
      <c r="B155" s="38"/>
      <c r="C155" s="38"/>
      <c r="D155" s="432"/>
      <c r="E155" s="433"/>
      <c r="F155" s="433"/>
      <c r="G155" s="433"/>
      <c r="H155" s="433"/>
      <c r="I155" s="433"/>
      <c r="J155" s="433"/>
      <c r="K155" s="433"/>
      <c r="L155" s="433"/>
      <c r="M155" s="97"/>
      <c r="N155" s="60"/>
      <c r="O155" s="454" t="s">
        <v>448</v>
      </c>
      <c r="P155" s="454"/>
      <c r="Q155" s="454"/>
      <c r="R155" s="454"/>
      <c r="S155" s="453"/>
      <c r="T155" s="458"/>
      <c r="U155" s="458"/>
      <c r="V155" s="453"/>
      <c r="W155" s="453"/>
      <c r="X155" s="453"/>
      <c r="Y155" s="453"/>
      <c r="Z155" s="453"/>
      <c r="AA155" s="453"/>
      <c r="AB155" s="453" t="s">
        <v>510</v>
      </c>
      <c r="AC155" s="453"/>
      <c r="AD155" s="453">
        <v>359000</v>
      </c>
      <c r="AE155" s="459" t="s">
        <v>25</v>
      </c>
    </row>
    <row r="156" spans="1:31" s="11" customFormat="1" ht="21" customHeight="1">
      <c r="A156" s="38"/>
      <c r="B156" s="38"/>
      <c r="C156" s="38"/>
      <c r="D156" s="133"/>
      <c r="E156" s="97"/>
      <c r="F156" s="97"/>
      <c r="G156" s="97"/>
      <c r="H156" s="97"/>
      <c r="I156" s="97"/>
      <c r="J156" s="97"/>
      <c r="K156" s="97"/>
      <c r="L156" s="97"/>
      <c r="M156" s="97"/>
      <c r="N156" s="60"/>
      <c r="O156" s="276"/>
      <c r="P156" s="276"/>
      <c r="Q156" s="276"/>
      <c r="R156" s="276"/>
      <c r="S156" s="295"/>
      <c r="T156" s="296"/>
      <c r="U156" s="282"/>
      <c r="V156" s="297"/>
      <c r="W156" s="295"/>
      <c r="X156" s="295"/>
      <c r="Y156" s="295"/>
      <c r="Z156" s="295"/>
      <c r="AA156" s="295"/>
      <c r="AB156" s="295"/>
      <c r="AC156" s="295"/>
      <c r="AD156" s="295"/>
      <c r="AE156" s="298"/>
    </row>
    <row r="157" spans="1:31" s="11" customFormat="1" ht="21" customHeight="1">
      <c r="A157" s="38"/>
      <c r="B157" s="38"/>
      <c r="C157" s="28" t="s">
        <v>391</v>
      </c>
      <c r="D157" s="135">
        <v>320</v>
      </c>
      <c r="E157" s="102">
        <f>ROUND(AD157/1000,0)</f>
        <v>320</v>
      </c>
      <c r="F157" s="103">
        <f>SUMIF($AB$158:$AB$159,"보조",$AD$158:$AD$159)/1000</f>
        <v>0</v>
      </c>
      <c r="G157" s="103">
        <f>SUMIF($AB$158:$AB$159,"4종",$AD$158:$AD$159)/1000</f>
        <v>320</v>
      </c>
      <c r="H157" s="103">
        <f>SUMIF($AB$158:$AB$159,"6종",$AD$158:$AD$159)/1000</f>
        <v>0</v>
      </c>
      <c r="I157" s="103">
        <f>SUMIF($AB$158:$AB$159,"후원",$AD$158:$AD$159)/1000</f>
        <v>0</v>
      </c>
      <c r="J157" s="103">
        <f>SUMIF($AB$158:$AB$159,"입소",$AD$158:$AD$159)/1000</f>
        <v>0</v>
      </c>
      <c r="K157" s="103">
        <f>SUMIF($AB$158:$AB$159,"법인",$AD$158:$AD$159)/1000</f>
        <v>0</v>
      </c>
      <c r="L157" s="103">
        <f>SUMIF($AB$158:$AB$159,"잡수",$AD$158:$AD$159)/1000</f>
        <v>0</v>
      </c>
      <c r="M157" s="102">
        <f>E157-D157</f>
        <v>0</v>
      </c>
      <c r="N157" s="109">
        <f>IF(D157=0,0,M157/D157)</f>
        <v>0</v>
      </c>
      <c r="O157" s="85" t="s">
        <v>105</v>
      </c>
      <c r="P157" s="417"/>
      <c r="Q157" s="153"/>
      <c r="R157" s="153"/>
      <c r="S157" s="153"/>
      <c r="T157" s="152"/>
      <c r="U157" s="152"/>
      <c r="V157" s="152"/>
      <c r="W157" s="152"/>
      <c r="X157" s="152"/>
      <c r="Y157" s="416" t="s">
        <v>375</v>
      </c>
      <c r="Z157" s="416"/>
      <c r="AA157" s="416"/>
      <c r="AB157" s="416"/>
      <c r="AC157" s="147"/>
      <c r="AD157" s="147">
        <f>SUM(AD158)</f>
        <v>320000</v>
      </c>
      <c r="AE157" s="146" t="s">
        <v>25</v>
      </c>
    </row>
    <row r="158" spans="1:31" s="11" customFormat="1" ht="21" customHeight="1">
      <c r="A158" s="38"/>
      <c r="B158" s="38"/>
      <c r="C158" s="38"/>
      <c r="D158" s="98"/>
      <c r="E158" s="97"/>
      <c r="F158" s="97"/>
      <c r="G158" s="97"/>
      <c r="H158" s="97"/>
      <c r="I158" s="97"/>
      <c r="J158" s="97"/>
      <c r="K158" s="97"/>
      <c r="L158" s="97"/>
      <c r="M158" s="97"/>
      <c r="N158" s="60"/>
      <c r="O158" s="454" t="s">
        <v>449</v>
      </c>
      <c r="P158" s="454"/>
      <c r="Q158" s="453"/>
      <c r="R158" s="453"/>
      <c r="S158" s="453">
        <v>80000</v>
      </c>
      <c r="T158" s="453" t="s">
        <v>25</v>
      </c>
      <c r="U158" s="454" t="s">
        <v>26</v>
      </c>
      <c r="V158" s="453">
        <v>4</v>
      </c>
      <c r="W158" s="453" t="s">
        <v>108</v>
      </c>
      <c r="X158" s="454"/>
      <c r="Y158" s="453"/>
      <c r="Z158" s="453"/>
      <c r="AA158" s="453" t="s">
        <v>27</v>
      </c>
      <c r="AB158" s="453" t="s">
        <v>527</v>
      </c>
      <c r="AC158" s="428"/>
      <c r="AD158" s="428">
        <f>S158*V158</f>
        <v>320000</v>
      </c>
      <c r="AE158" s="459" t="s">
        <v>25</v>
      </c>
    </row>
    <row r="159" spans="1:31" s="11" customFormat="1" ht="21" customHeight="1">
      <c r="A159" s="38"/>
      <c r="B159" s="38"/>
      <c r="C159" s="38"/>
      <c r="D159" s="133"/>
      <c r="E159" s="97"/>
      <c r="F159" s="97"/>
      <c r="G159" s="97"/>
      <c r="H159" s="97"/>
      <c r="I159" s="97"/>
      <c r="J159" s="97"/>
      <c r="K159" s="97"/>
      <c r="L159" s="97"/>
      <c r="M159" s="97"/>
      <c r="N159" s="60"/>
      <c r="O159" s="454"/>
      <c r="P159" s="454"/>
      <c r="Q159" s="453"/>
      <c r="R159" s="453"/>
      <c r="S159" s="453"/>
      <c r="T159" s="453"/>
      <c r="U159" s="454"/>
      <c r="V159" s="453"/>
      <c r="W159" s="453"/>
      <c r="X159" s="454"/>
      <c r="Y159" s="453"/>
      <c r="Z159" s="453"/>
      <c r="AA159" s="453"/>
      <c r="AB159" s="453"/>
      <c r="AC159" s="428"/>
      <c r="AD159" s="428"/>
      <c r="AE159" s="459"/>
    </row>
    <row r="160" spans="1:31" s="11" customFormat="1" ht="21" customHeight="1">
      <c r="A160" s="38"/>
      <c r="B160" s="38"/>
      <c r="C160" s="28" t="s">
        <v>392</v>
      </c>
      <c r="D160" s="135">
        <v>460</v>
      </c>
      <c r="E160" s="102">
        <f>ROUND(AD160/1000,0)</f>
        <v>460</v>
      </c>
      <c r="F160" s="103">
        <f>SUMIF($AB$161:$AB$163,"보조",$AD$161:$AD$163)/1000</f>
        <v>0</v>
      </c>
      <c r="G160" s="103">
        <f>SUMIF($AB$161:$AB$163,"4종",$AD$161:$AD$163)/1000</f>
        <v>160</v>
      </c>
      <c r="H160" s="103">
        <f>SUMIF($AB$161:$AB$163,"6종",$AD$161:$AD$163)/1000</f>
        <v>0</v>
      </c>
      <c r="I160" s="103">
        <f>SUMIF($AB$161:$AB$163,"후원",$AD$161:$AD$163)/1000</f>
        <v>0</v>
      </c>
      <c r="J160" s="103">
        <f>SUMIF($AB$161:$AB$163,"입소",$AD$161:$AD$163)/1000</f>
        <v>300</v>
      </c>
      <c r="K160" s="103">
        <f>SUMIF($AB$161:$AB$163,"법인",$AD$161:$AD$163)/1000</f>
        <v>0</v>
      </c>
      <c r="L160" s="103">
        <f>SUMIF($AB$161:$AB$163,"잡수",$AD$161:$AD$163)/1000</f>
        <v>0</v>
      </c>
      <c r="M160" s="102">
        <f>E160-D160</f>
        <v>0</v>
      </c>
      <c r="N160" s="109">
        <f>IF(D160=0,0,M160/D160)</f>
        <v>0</v>
      </c>
      <c r="O160" s="85" t="s">
        <v>393</v>
      </c>
      <c r="P160" s="417"/>
      <c r="Q160" s="153"/>
      <c r="R160" s="153"/>
      <c r="S160" s="153"/>
      <c r="T160" s="152"/>
      <c r="U160" s="152"/>
      <c r="V160" s="152"/>
      <c r="W160" s="152"/>
      <c r="X160" s="152"/>
      <c r="Y160" s="416" t="s">
        <v>394</v>
      </c>
      <c r="Z160" s="416"/>
      <c r="AA160" s="416"/>
      <c r="AB160" s="416"/>
      <c r="AC160" s="147"/>
      <c r="AD160" s="147">
        <f>SUM(AD161:AD162)</f>
        <v>460000</v>
      </c>
      <c r="AE160" s="146" t="s">
        <v>25</v>
      </c>
    </row>
    <row r="161" spans="1:32" s="13" customFormat="1" ht="21" customHeight="1">
      <c r="A161" s="38"/>
      <c r="B161" s="38"/>
      <c r="C161" s="38"/>
      <c r="D161" s="432"/>
      <c r="E161" s="433"/>
      <c r="F161" s="433"/>
      <c r="G161" s="433"/>
      <c r="H161" s="433"/>
      <c r="I161" s="433"/>
      <c r="J161" s="433"/>
      <c r="K161" s="433"/>
      <c r="L161" s="433"/>
      <c r="M161" s="97"/>
      <c r="N161" s="273"/>
      <c r="O161" s="472" t="s">
        <v>471</v>
      </c>
      <c r="P161" s="454"/>
      <c r="Q161" s="454"/>
      <c r="R161" s="454"/>
      <c r="S161" s="453">
        <v>40000</v>
      </c>
      <c r="T161" s="453" t="s">
        <v>25</v>
      </c>
      <c r="U161" s="454" t="s">
        <v>26</v>
      </c>
      <c r="V161" s="453"/>
      <c r="W161" s="453"/>
      <c r="X161" s="454"/>
      <c r="Y161" s="453">
        <v>4</v>
      </c>
      <c r="Z161" s="453" t="s">
        <v>108</v>
      </c>
      <c r="AA161" s="455"/>
      <c r="AB161" s="453" t="s">
        <v>288</v>
      </c>
      <c r="AC161" s="428"/>
      <c r="AD161" s="453">
        <f>S161*Y161</f>
        <v>160000</v>
      </c>
      <c r="AE161" s="459" t="s">
        <v>25</v>
      </c>
    </row>
    <row r="162" spans="1:32" s="13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72" t="s">
        <v>450</v>
      </c>
      <c r="P162" s="454"/>
      <c r="Q162" s="454"/>
      <c r="R162" s="454"/>
      <c r="S162" s="453"/>
      <c r="T162" s="453"/>
      <c r="U162" s="454"/>
      <c r="V162" s="453"/>
      <c r="W162" s="453"/>
      <c r="X162" s="454"/>
      <c r="Y162" s="474"/>
      <c r="Z162" s="455"/>
      <c r="AA162" s="455"/>
      <c r="AB162" s="453" t="s">
        <v>418</v>
      </c>
      <c r="AC162" s="428"/>
      <c r="AD162" s="453">
        <v>300000</v>
      </c>
      <c r="AE162" s="459" t="s">
        <v>25</v>
      </c>
    </row>
    <row r="163" spans="1:32" s="11" customFormat="1" ht="21" customHeight="1">
      <c r="A163" s="38"/>
      <c r="B163" s="38"/>
      <c r="C163" s="49"/>
      <c r="D163" s="134"/>
      <c r="E163" s="140"/>
      <c r="F163" s="140"/>
      <c r="G163" s="140"/>
      <c r="H163" s="140"/>
      <c r="I163" s="140"/>
      <c r="J163" s="140"/>
      <c r="K163" s="140"/>
      <c r="L163" s="140"/>
      <c r="M163" s="118"/>
      <c r="N163" s="75"/>
      <c r="O163" s="393"/>
      <c r="P163" s="393"/>
      <c r="Q163" s="393"/>
      <c r="R163" s="393"/>
      <c r="S163" s="393"/>
      <c r="T163" s="119"/>
      <c r="U163" s="419"/>
      <c r="V163" s="289"/>
      <c r="W163" s="419"/>
      <c r="X163" s="419"/>
      <c r="Y163" s="419"/>
      <c r="Z163" s="419"/>
      <c r="AA163" s="419"/>
      <c r="AB163" s="419"/>
      <c r="AC163" s="419"/>
      <c r="AD163" s="419"/>
      <c r="AE163" s="122"/>
    </row>
    <row r="164" spans="1:32" s="11" customFormat="1" ht="21" customHeight="1">
      <c r="A164" s="38"/>
      <c r="B164" s="38"/>
      <c r="C164" s="38" t="s">
        <v>395</v>
      </c>
      <c r="D164" s="116">
        <v>60</v>
      </c>
      <c r="E164" s="97">
        <f>ROUND(AD164/1000,0)</f>
        <v>60</v>
      </c>
      <c r="F164" s="103">
        <f>SUMIF($AB$165:$AB$166,"보조",$AD$165:$AD$166)/1000</f>
        <v>0</v>
      </c>
      <c r="G164" s="103">
        <f>SUMIF($AB$165:$AB$166,"4종",$AD$165:$AD$166)/1000</f>
        <v>0</v>
      </c>
      <c r="H164" s="103">
        <f>SUMIF($AB$165:$AB$166,"6종",$AD$165:$AD$166)/1000</f>
        <v>0</v>
      </c>
      <c r="I164" s="103">
        <f>SUMIF($AB$165:$AB$166,"후원",$AD$165:$AD$166)/1000</f>
        <v>0</v>
      </c>
      <c r="J164" s="103">
        <f>SUMIF($AB$165:$AB$166,"입소",$AD$165:$AD$166)/1000</f>
        <v>60</v>
      </c>
      <c r="K164" s="103">
        <f>SUMIF($AB$165:$AB$166,"법인",$AD$165:$AD$166)/1000</f>
        <v>0</v>
      </c>
      <c r="L164" s="103">
        <f>SUMIF($AB$165:$AB$166,"잡수",$AD$165:$AD$166)/1000</f>
        <v>0</v>
      </c>
      <c r="M164" s="97">
        <f>E164-D164</f>
        <v>0</v>
      </c>
      <c r="N164" s="60">
        <f>IF(D164=0,0,M164/D164)</f>
        <v>0</v>
      </c>
      <c r="O164" s="85" t="s">
        <v>396</v>
      </c>
      <c r="P164" s="153"/>
      <c r="Q164" s="153"/>
      <c r="R164" s="153"/>
      <c r="S164" s="153"/>
      <c r="T164" s="152"/>
      <c r="U164" s="152"/>
      <c r="V164" s="152"/>
      <c r="W164" s="152"/>
      <c r="X164" s="152"/>
      <c r="Y164" s="416" t="s">
        <v>394</v>
      </c>
      <c r="Z164" s="416"/>
      <c r="AA164" s="416"/>
      <c r="AB164" s="416"/>
      <c r="AC164" s="147"/>
      <c r="AD164" s="147">
        <f>SUM(AD165)</f>
        <v>60000</v>
      </c>
      <c r="AE164" s="146" t="s">
        <v>25</v>
      </c>
    </row>
    <row r="165" spans="1:32" s="11" customFormat="1" ht="21" customHeight="1">
      <c r="A165" s="38"/>
      <c r="B165" s="38"/>
      <c r="C165" s="38"/>
      <c r="D165" s="430"/>
      <c r="E165" s="431"/>
      <c r="F165" s="431"/>
      <c r="G165" s="431"/>
      <c r="H165" s="431"/>
      <c r="I165" s="431"/>
      <c r="J165" s="431"/>
      <c r="K165" s="431"/>
      <c r="L165" s="431"/>
      <c r="M165" s="97"/>
      <c r="N165" s="60"/>
      <c r="O165" s="454" t="s">
        <v>451</v>
      </c>
      <c r="P165" s="454"/>
      <c r="Q165" s="454"/>
      <c r="R165" s="454"/>
      <c r="S165" s="453">
        <v>10000</v>
      </c>
      <c r="T165" s="458" t="s">
        <v>25</v>
      </c>
      <c r="U165" s="458" t="s">
        <v>26</v>
      </c>
      <c r="V165" s="453">
        <v>6</v>
      </c>
      <c r="W165" s="453" t="s">
        <v>29</v>
      </c>
      <c r="X165" s="455"/>
      <c r="Y165" s="481"/>
      <c r="Z165" s="482"/>
      <c r="AA165" s="483" t="s">
        <v>27</v>
      </c>
      <c r="AB165" s="453" t="s">
        <v>418</v>
      </c>
      <c r="AC165" s="453"/>
      <c r="AD165" s="453">
        <f>S165*V165</f>
        <v>60000</v>
      </c>
      <c r="AE165" s="459" t="s">
        <v>25</v>
      </c>
    </row>
    <row r="166" spans="1:32" s="11" customFormat="1" ht="21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0"/>
      <c r="P166" s="420"/>
      <c r="Q166" s="420"/>
      <c r="R166" s="420"/>
      <c r="S166" s="419"/>
      <c r="T166" s="293"/>
      <c r="U166" s="420"/>
      <c r="V166" s="419"/>
      <c r="W166" s="420"/>
      <c r="X166" s="419"/>
      <c r="Y166" s="419"/>
      <c r="Z166" s="419"/>
      <c r="AA166" s="419"/>
      <c r="AB166" s="419"/>
      <c r="AC166" s="419"/>
      <c r="AD166" s="419"/>
      <c r="AE166" s="122"/>
    </row>
    <row r="167" spans="1:32" s="11" customFormat="1" ht="21" customHeight="1">
      <c r="A167" s="38"/>
      <c r="B167" s="28" t="s">
        <v>397</v>
      </c>
      <c r="C167" s="143" t="s">
        <v>398</v>
      </c>
      <c r="D167" s="144">
        <f t="shared" ref="D167:M167" si="9">SUM(D168,D172,D173,D175,D178,D184,D189,D191)</f>
        <v>6480</v>
      </c>
      <c r="E167" s="144">
        <f t="shared" si="9"/>
        <v>7200</v>
      </c>
      <c r="F167" s="144">
        <f t="shared" ca="1" si="9"/>
        <v>0</v>
      </c>
      <c r="G167" s="144">
        <f t="shared" si="9"/>
        <v>0</v>
      </c>
      <c r="H167" s="144">
        <f t="shared" si="9"/>
        <v>0</v>
      </c>
      <c r="I167" s="144">
        <f t="shared" si="9"/>
        <v>0</v>
      </c>
      <c r="J167" s="144">
        <f t="shared" si="9"/>
        <v>7200</v>
      </c>
      <c r="K167" s="144">
        <f t="shared" si="9"/>
        <v>0</v>
      </c>
      <c r="L167" s="144">
        <f t="shared" si="9"/>
        <v>0</v>
      </c>
      <c r="M167" s="144">
        <f t="shared" si="9"/>
        <v>720</v>
      </c>
      <c r="N167" s="145">
        <f>IF(D167=0,0,M167/D167)</f>
        <v>0.1111111111111111</v>
      </c>
      <c r="O167" s="417"/>
      <c r="P167" s="417"/>
      <c r="Q167" s="417"/>
      <c r="R167" s="417"/>
      <c r="S167" s="417"/>
      <c r="T167" s="416"/>
      <c r="U167" s="416"/>
      <c r="V167" s="416"/>
      <c r="W167" s="416"/>
      <c r="X167" s="416"/>
      <c r="Y167" s="416" t="s">
        <v>28</v>
      </c>
      <c r="Z167" s="416"/>
      <c r="AA167" s="416"/>
      <c r="AB167" s="416"/>
      <c r="AC167" s="147"/>
      <c r="AD167" s="147">
        <f>SUM(AD168,AD172,AD175,AD178,AD184,AD189,AD191)</f>
        <v>7200000</v>
      </c>
      <c r="AE167" s="146" t="s">
        <v>25</v>
      </c>
    </row>
    <row r="168" spans="1:32" s="11" customFormat="1" ht="21" customHeight="1">
      <c r="A168" s="38"/>
      <c r="B168" s="38" t="s">
        <v>399</v>
      </c>
      <c r="C168" s="28" t="s">
        <v>453</v>
      </c>
      <c r="D168" s="135">
        <v>840</v>
      </c>
      <c r="E168" s="97">
        <f>ROUND(AD168/1000,0)</f>
        <v>240</v>
      </c>
      <c r="F168" s="103">
        <f>SUMIF($AB$169:$AB$171,"보조",$AD$169:$AD$171)/1000</f>
        <v>0</v>
      </c>
      <c r="G168" s="103">
        <f>SUMIF($AB$169:$AB$171,"4종",$AD$169:$AD$171)/1000</f>
        <v>0</v>
      </c>
      <c r="H168" s="103">
        <f>SUMIF($AB$169:$AB$171,"6종",$AD$169:$AD$171)/1000</f>
        <v>0</v>
      </c>
      <c r="I168" s="103">
        <f>SUMIF($AB$169:$AB$171,"후원",$AD$169:$AD$171)/1000</f>
        <v>0</v>
      </c>
      <c r="J168" s="103">
        <f>SUMIF($AB$169:$AB$171,"입소",$AD$169:$AD$171)/1000</f>
        <v>240</v>
      </c>
      <c r="K168" s="103">
        <f>SUMIF($AB$169:$AB$171,"법인",$AD$169:$AD$171)/1000</f>
        <v>0</v>
      </c>
      <c r="L168" s="103">
        <f>SUMIF($AB$169:$AB$171,"잡수",$AD$169:$AD$171)/1000</f>
        <v>0</v>
      </c>
      <c r="M168" s="97">
        <f>E168-D168</f>
        <v>-600</v>
      </c>
      <c r="N168" s="60">
        <f>IF(D168=0,0,M168/D168)</f>
        <v>-0.7142857142857143</v>
      </c>
      <c r="O168" s="540"/>
      <c r="P168" s="153"/>
      <c r="Q168" s="153"/>
      <c r="R168" s="153"/>
      <c r="S168" s="153"/>
      <c r="T168" s="152"/>
      <c r="U168" s="152"/>
      <c r="V168" s="152"/>
      <c r="W168" s="152"/>
      <c r="X168" s="152"/>
      <c r="Y168" s="416" t="s">
        <v>394</v>
      </c>
      <c r="Z168" s="416"/>
      <c r="AA168" s="416"/>
      <c r="AB168" s="416"/>
      <c r="AC168" s="147"/>
      <c r="AD168" s="147">
        <f>SUM(AD169)</f>
        <v>240000</v>
      </c>
      <c r="AE168" s="146" t="s">
        <v>25</v>
      </c>
    </row>
    <row r="169" spans="1:32" s="11" customFormat="1" ht="21" customHeight="1">
      <c r="A169" s="38"/>
      <c r="B169" s="38"/>
      <c r="C169" s="38" t="s">
        <v>402</v>
      </c>
      <c r="D169" s="430"/>
      <c r="E169" s="431"/>
      <c r="F169" s="431"/>
      <c r="G169" s="431"/>
      <c r="H169" s="431"/>
      <c r="I169" s="431"/>
      <c r="J169" s="431"/>
      <c r="K169" s="431"/>
      <c r="L169" s="431"/>
      <c r="M169" s="97"/>
      <c r="N169" s="60"/>
      <c r="O169" s="454" t="s">
        <v>452</v>
      </c>
      <c r="P169" s="454"/>
      <c r="Q169" s="454"/>
      <c r="R169" s="454"/>
      <c r="S169" s="453">
        <v>60000</v>
      </c>
      <c r="T169" s="458" t="s">
        <v>25</v>
      </c>
      <c r="U169" s="458" t="s">
        <v>26</v>
      </c>
      <c r="V169" s="453">
        <v>4</v>
      </c>
      <c r="W169" s="453" t="s">
        <v>108</v>
      </c>
      <c r="X169" s="455"/>
      <c r="Y169" s="481"/>
      <c r="Z169" s="482"/>
      <c r="AA169" s="483" t="s">
        <v>27</v>
      </c>
      <c r="AB169" s="453" t="s">
        <v>418</v>
      </c>
      <c r="AC169" s="453"/>
      <c r="AD169" s="453">
        <f>S169*V169</f>
        <v>240000</v>
      </c>
      <c r="AE169" s="459" t="s">
        <v>25</v>
      </c>
    </row>
    <row r="170" spans="1:32" s="11" customFormat="1" ht="21" customHeight="1">
      <c r="A170" s="38"/>
      <c r="B170" s="38"/>
      <c r="C170" s="38"/>
      <c r="D170" s="432"/>
      <c r="E170" s="433"/>
      <c r="F170" s="433"/>
      <c r="G170" s="433"/>
      <c r="H170" s="433"/>
      <c r="I170" s="433"/>
      <c r="J170" s="433"/>
      <c r="K170" s="433"/>
      <c r="L170" s="433"/>
      <c r="M170" s="97"/>
      <c r="N170" s="60"/>
      <c r="O170" s="454"/>
      <c r="P170" s="454"/>
      <c r="Q170" s="454"/>
      <c r="R170" s="454"/>
      <c r="S170" s="453"/>
      <c r="T170" s="458"/>
      <c r="U170" s="458"/>
      <c r="V170" s="453"/>
      <c r="W170" s="453"/>
      <c r="X170" s="455"/>
      <c r="Y170" s="481"/>
      <c r="Z170" s="482"/>
      <c r="AA170" s="483"/>
      <c r="AB170" s="453"/>
      <c r="AC170" s="453"/>
      <c r="AD170" s="453"/>
      <c r="AE170" s="459"/>
      <c r="AF170" s="11" t="s">
        <v>521</v>
      </c>
    </row>
    <row r="171" spans="1:32" s="11" customFormat="1" ht="21" customHeight="1">
      <c r="A171" s="38"/>
      <c r="B171" s="38"/>
      <c r="C171" s="38"/>
      <c r="D171" s="133"/>
      <c r="E171" s="97"/>
      <c r="F171" s="97"/>
      <c r="G171" s="97"/>
      <c r="H171" s="97"/>
      <c r="I171" s="97"/>
      <c r="J171" s="97"/>
      <c r="K171" s="97"/>
      <c r="L171" s="97"/>
      <c r="M171" s="97"/>
      <c r="N171" s="60"/>
      <c r="O171" s="420"/>
      <c r="P171" s="393"/>
      <c r="Q171" s="393"/>
      <c r="R171" s="393"/>
      <c r="S171" s="393"/>
      <c r="T171" s="393"/>
      <c r="U171" s="393"/>
      <c r="V171" s="393"/>
      <c r="W171" s="393"/>
      <c r="X171" s="393"/>
      <c r="Y171" s="393"/>
      <c r="Z171" s="393"/>
      <c r="AA171" s="393"/>
      <c r="AB171" s="393"/>
      <c r="AC171" s="393"/>
      <c r="AD171" s="393"/>
      <c r="AE171" s="394"/>
    </row>
    <row r="172" spans="1:32" s="11" customFormat="1" ht="21" customHeight="1">
      <c r="A172" s="38"/>
      <c r="B172" s="38"/>
      <c r="C172" s="28" t="s">
        <v>401</v>
      </c>
      <c r="D172" s="135">
        <v>0</v>
      </c>
      <c r="E172" s="102">
        <f>ROUND(AD172/1000,0)</f>
        <v>0</v>
      </c>
      <c r="F172" s="103">
        <f>SUMIF($AB$174:$AB$174,"보조",$AD$174:$AD$174)/1000</f>
        <v>0</v>
      </c>
      <c r="G172" s="103">
        <f>SUMIF($AB$174:$AB$174,"4종",$AD$174:$AD$174)/1000</f>
        <v>0</v>
      </c>
      <c r="H172" s="103">
        <f>SUMIF($AB$174:$AB$174,"6종",$AD$174:$AD$174)/1000</f>
        <v>0</v>
      </c>
      <c r="I172" s="103">
        <f>SUMIF($AB$174:$AB$174,"후원",$AD$174:$AD$174)/1000</f>
        <v>0</v>
      </c>
      <c r="J172" s="103">
        <f>SUMIF($AB$173:$AB$174,"입소",$AD$173:$AD$174)/1000</f>
        <v>0</v>
      </c>
      <c r="K172" s="103">
        <f>SUMIF($AB$174:$AB$174,"법인",$AD$174:$AD$174)/1000</f>
        <v>0</v>
      </c>
      <c r="L172" s="103">
        <f>SUMIF($AB$174:$AB$174,"잡수",$AD$174:$AD$174)/1000</f>
        <v>0</v>
      </c>
      <c r="M172" s="438">
        <f>E172-D172</f>
        <v>0</v>
      </c>
      <c r="N172" s="109">
        <f>IF(D172=0,0,M172/D172)</f>
        <v>0</v>
      </c>
      <c r="O172" s="287"/>
      <c r="P172" s="301"/>
      <c r="Q172" s="301"/>
      <c r="R172" s="442"/>
      <c r="S172" s="442"/>
      <c r="T172" s="442"/>
      <c r="U172" s="442"/>
      <c r="V172" s="442"/>
      <c r="W172" s="443" t="s">
        <v>400</v>
      </c>
      <c r="X172" s="443"/>
      <c r="Y172" s="443"/>
      <c r="Z172" s="443"/>
      <c r="AA172" s="443"/>
      <c r="AB172" s="443"/>
      <c r="AC172" s="444"/>
      <c r="AD172" s="445">
        <f>SUM(AD173:AD174)</f>
        <v>0</v>
      </c>
      <c r="AE172" s="446" t="s">
        <v>25</v>
      </c>
    </row>
    <row r="173" spans="1:32" s="11" customFormat="1" ht="21" customHeight="1">
      <c r="A173" s="38"/>
      <c r="B173" s="38"/>
      <c r="C173" s="38" t="s">
        <v>103</v>
      </c>
      <c r="D173" s="133"/>
      <c r="E173" s="97"/>
      <c r="F173" s="97"/>
      <c r="G173" s="97"/>
      <c r="H173" s="97"/>
      <c r="I173" s="97"/>
      <c r="J173" s="97"/>
      <c r="K173" s="97"/>
      <c r="L173" s="97"/>
      <c r="M173" s="97"/>
      <c r="N173" s="60"/>
      <c r="O173" s="454" t="s">
        <v>494</v>
      </c>
      <c r="P173" s="454"/>
      <c r="Q173" s="454"/>
      <c r="R173" s="454"/>
      <c r="S173" s="453"/>
      <c r="T173" s="458"/>
      <c r="U173" s="458"/>
      <c r="V173" s="453"/>
      <c r="W173" s="454"/>
      <c r="X173" s="453"/>
      <c r="Y173" s="484"/>
      <c r="Z173" s="484"/>
      <c r="AA173" s="484"/>
      <c r="AB173" s="484" t="s">
        <v>371</v>
      </c>
      <c r="AC173" s="484"/>
      <c r="AD173" s="485">
        <v>0</v>
      </c>
      <c r="AE173" s="486" t="s">
        <v>25</v>
      </c>
    </row>
    <row r="174" spans="1:32" s="11" customFormat="1" ht="24" customHeight="1">
      <c r="A174" s="38"/>
      <c r="B174" s="38"/>
      <c r="C174" s="38"/>
      <c r="D174" s="133"/>
      <c r="E174" s="97"/>
      <c r="F174" s="97"/>
      <c r="G174" s="97"/>
      <c r="H174" s="97"/>
      <c r="I174" s="97"/>
      <c r="J174" s="97"/>
      <c r="K174" s="97"/>
      <c r="L174" s="97"/>
      <c r="M174" s="97"/>
      <c r="N174" s="60"/>
      <c r="O174" s="420"/>
      <c r="P174" s="393"/>
      <c r="Q174" s="393"/>
      <c r="R174" s="393"/>
      <c r="S174" s="393"/>
      <c r="T174" s="393"/>
      <c r="U174" s="393"/>
      <c r="V174" s="393"/>
      <c r="W174" s="393"/>
      <c r="X174" s="393"/>
      <c r="Y174" s="393"/>
      <c r="Z174" s="393"/>
      <c r="AA174" s="393"/>
      <c r="AB174" s="393"/>
      <c r="AC174" s="393"/>
      <c r="AD174" s="393"/>
      <c r="AE174" s="394"/>
    </row>
    <row r="175" spans="1:32" s="14" customFormat="1" ht="24" customHeight="1">
      <c r="A175" s="38"/>
      <c r="B175" s="38"/>
      <c r="C175" s="28" t="s">
        <v>455</v>
      </c>
      <c r="D175" s="447">
        <v>540</v>
      </c>
      <c r="E175" s="102">
        <f>ROUND(AD175/1000,0)</f>
        <v>540</v>
      </c>
      <c r="F175" s="103">
        <f ca="1">SUMIF($AB$176:$AB$177,"보조",$AD$174:$AD$174)/1000</f>
        <v>0</v>
      </c>
      <c r="G175" s="103">
        <f>SUMIF($AB$176:$AB$177,"4종",$AD$176:$AD$177)/1000</f>
        <v>0</v>
      </c>
      <c r="H175" s="103">
        <f>SUMIF($AB$176:$AB$177,"6종",$AD$176:$AD$177)/1000</f>
        <v>0</v>
      </c>
      <c r="I175" s="103">
        <f>SUMIF($AB$176:$AB$177,"후원",$AD$176:$AD$177)/1000</f>
        <v>0</v>
      </c>
      <c r="J175" s="103">
        <f>SUMIF($AB$176:$AB$177,"입소",$AD$176:$AD$177)/1000</f>
        <v>540</v>
      </c>
      <c r="K175" s="103">
        <f>SUMIF($AB$176:$AB$177,"법인",$AD$176:$AD$177)/1000</f>
        <v>0</v>
      </c>
      <c r="L175" s="103">
        <f>SUMIF($AB$176:$AB$177,"잡수",$AD$176:$AD$177)/1000</f>
        <v>0</v>
      </c>
      <c r="M175" s="102">
        <f>E175-D175</f>
        <v>0</v>
      </c>
      <c r="N175" s="109">
        <f>IF(D175=0,0,M175/D175)</f>
        <v>0</v>
      </c>
      <c r="O175" s="448"/>
      <c r="P175" s="139"/>
      <c r="Q175" s="139"/>
      <c r="R175" s="139"/>
      <c r="S175" s="139"/>
      <c r="T175" s="79"/>
      <c r="U175" s="79"/>
      <c r="V175" s="79"/>
      <c r="W175" s="128" t="s">
        <v>400</v>
      </c>
      <c r="X175" s="128"/>
      <c r="Y175" s="128"/>
      <c r="Z175" s="128"/>
      <c r="AA175" s="128"/>
      <c r="AB175" s="128"/>
      <c r="AC175" s="129"/>
      <c r="AD175" s="449">
        <f>SUM(AD176)</f>
        <v>540000</v>
      </c>
      <c r="AE175" s="130" t="s">
        <v>25</v>
      </c>
    </row>
    <row r="176" spans="1:32" s="14" customFormat="1" ht="24" customHeight="1">
      <c r="A176" s="38"/>
      <c r="B176" s="38"/>
      <c r="C176" s="38" t="s">
        <v>402</v>
      </c>
      <c r="D176" s="430"/>
      <c r="E176" s="431"/>
      <c r="F176" s="431"/>
      <c r="G176" s="431"/>
      <c r="H176" s="431"/>
      <c r="I176" s="431"/>
      <c r="J176" s="431"/>
      <c r="K176" s="431"/>
      <c r="L176" s="431"/>
      <c r="M176" s="97"/>
      <c r="N176" s="60"/>
      <c r="O176" s="454" t="s">
        <v>454</v>
      </c>
      <c r="P176" s="467"/>
      <c r="Q176" s="467"/>
      <c r="R176" s="464"/>
      <c r="S176" s="453">
        <v>15000</v>
      </c>
      <c r="T176" s="453" t="s">
        <v>25</v>
      </c>
      <c r="U176" s="454" t="s">
        <v>26</v>
      </c>
      <c r="V176" s="453">
        <v>6</v>
      </c>
      <c r="W176" s="453" t="s">
        <v>108</v>
      </c>
      <c r="X176" s="454" t="s">
        <v>26</v>
      </c>
      <c r="Y176" s="474">
        <v>6</v>
      </c>
      <c r="Z176" s="455" t="s">
        <v>432</v>
      </c>
      <c r="AA176" s="455" t="s">
        <v>27</v>
      </c>
      <c r="AB176" s="453" t="s">
        <v>418</v>
      </c>
      <c r="AC176" s="428"/>
      <c r="AD176" s="453">
        <f>S176*V176*Y176</f>
        <v>540000</v>
      </c>
      <c r="AE176" s="459" t="s">
        <v>25</v>
      </c>
    </row>
    <row r="177" spans="1:31" s="14" customFormat="1" ht="24" customHeight="1">
      <c r="A177" s="38"/>
      <c r="B177" s="38"/>
      <c r="C177" s="38"/>
      <c r="D177" s="432"/>
      <c r="E177" s="433"/>
      <c r="F177" s="433"/>
      <c r="G177" s="433"/>
      <c r="H177" s="433"/>
      <c r="I177" s="433"/>
      <c r="J177" s="433"/>
      <c r="K177" s="433"/>
      <c r="L177" s="433"/>
      <c r="M177" s="97"/>
      <c r="N177" s="60"/>
      <c r="O177" s="420"/>
      <c r="P177" s="420"/>
      <c r="Q177" s="420"/>
      <c r="R177" s="420"/>
      <c r="S177" s="420"/>
      <c r="T177" s="419"/>
      <c r="U177" s="419"/>
      <c r="V177" s="419"/>
      <c r="W177" s="419"/>
      <c r="X177" s="419"/>
      <c r="Y177" s="419"/>
      <c r="Z177" s="419"/>
      <c r="AA177" s="419"/>
      <c r="AB177" s="419"/>
      <c r="AC177" s="427"/>
      <c r="AD177" s="393"/>
      <c r="AE177" s="122"/>
    </row>
    <row r="178" spans="1:31" s="14" customFormat="1" ht="24" customHeight="1">
      <c r="A178" s="38"/>
      <c r="B178" s="38"/>
      <c r="C178" s="28" t="s">
        <v>501</v>
      </c>
      <c r="D178" s="135">
        <v>2090</v>
      </c>
      <c r="E178" s="102">
        <f>ROUND(AD178/1000,0)</f>
        <v>2790</v>
      </c>
      <c r="F178" s="103">
        <f>SUMIF($AB$179:$AB$183,"보조",$AD$179:$AD$183)/1000</f>
        <v>0</v>
      </c>
      <c r="G178" s="103">
        <f>SUMIF($AB$179:$AB$183,"4종",$AD$179:$AD$183)/1000</f>
        <v>0</v>
      </c>
      <c r="H178" s="103">
        <f>SUMIF($AB$179:$AB$183,"6종",$AD$179:$AD$183)/1000</f>
        <v>0</v>
      </c>
      <c r="I178" s="103">
        <f>SUMIF($AB$179:$AB$183,"후원",$AD$179:$AD$183)/1000</f>
        <v>0</v>
      </c>
      <c r="J178" s="103">
        <f>SUMIF($AB$179:$AB$183,"입소",$AD$179:$AD$183)/1000</f>
        <v>2790</v>
      </c>
      <c r="K178" s="103">
        <f>SUMIF($AB$179:$AB$183,"법인",$AD$179:$AD$183)/1000</f>
        <v>0</v>
      </c>
      <c r="L178" s="103">
        <f>SUMIF($AB$179:$AB$183,"잡수",$AD$179:$AD$183)/1000</f>
        <v>0</v>
      </c>
      <c r="M178" s="102">
        <f>E178-D178</f>
        <v>700</v>
      </c>
      <c r="N178" s="109">
        <f>IF(D178=0,0,M178/D178)</f>
        <v>0.3349282296650718</v>
      </c>
      <c r="O178" s="287"/>
      <c r="P178" s="301"/>
      <c r="Q178" s="301"/>
      <c r="R178" s="442"/>
      <c r="S178" s="442"/>
      <c r="T178" s="442"/>
      <c r="U178" s="442"/>
      <c r="V178" s="442"/>
      <c r="W178" s="443" t="s">
        <v>400</v>
      </c>
      <c r="X178" s="443"/>
      <c r="Y178" s="443"/>
      <c r="Z178" s="443"/>
      <c r="AA178" s="443"/>
      <c r="AB178" s="443"/>
      <c r="AC178" s="444"/>
      <c r="AD178" s="445">
        <f>SUM(AD179:AD183)</f>
        <v>2790000</v>
      </c>
      <c r="AE178" s="446" t="s">
        <v>25</v>
      </c>
    </row>
    <row r="179" spans="1:31" s="14" customFormat="1" ht="24" customHeight="1">
      <c r="A179" s="38"/>
      <c r="B179" s="38"/>
      <c r="C179" s="38" t="s">
        <v>502</v>
      </c>
      <c r="D179" s="430"/>
      <c r="E179" s="431"/>
      <c r="F179" s="431"/>
      <c r="G179" s="431"/>
      <c r="H179" s="431"/>
      <c r="I179" s="431"/>
      <c r="J179" s="431"/>
      <c r="K179" s="431"/>
      <c r="L179" s="431"/>
      <c r="M179" s="97"/>
      <c r="N179" s="60"/>
      <c r="O179" s="454" t="s">
        <v>503</v>
      </c>
      <c r="P179" s="487"/>
      <c r="Q179" s="487"/>
      <c r="R179" s="487"/>
      <c r="S179" s="453">
        <v>80000</v>
      </c>
      <c r="T179" s="458" t="s">
        <v>25</v>
      </c>
      <c r="U179" s="458" t="s">
        <v>26</v>
      </c>
      <c r="V179" s="453">
        <v>5</v>
      </c>
      <c r="W179" s="454" t="s">
        <v>55</v>
      </c>
      <c r="X179" s="454"/>
      <c r="Y179" s="474">
        <v>2</v>
      </c>
      <c r="Z179" s="455" t="s">
        <v>432</v>
      </c>
      <c r="AA179" s="484" t="s">
        <v>27</v>
      </c>
      <c r="AB179" s="484" t="s">
        <v>418</v>
      </c>
      <c r="AC179" s="484"/>
      <c r="AD179" s="485">
        <f>S179*V179*Y179</f>
        <v>800000</v>
      </c>
      <c r="AE179" s="486" t="s">
        <v>25</v>
      </c>
    </row>
    <row r="180" spans="1:31" s="14" customFormat="1" ht="24" customHeight="1">
      <c r="A180" s="38"/>
      <c r="B180" s="38"/>
      <c r="C180" s="38"/>
      <c r="D180" s="430"/>
      <c r="E180" s="431"/>
      <c r="F180" s="431"/>
      <c r="G180" s="431"/>
      <c r="H180" s="431"/>
      <c r="I180" s="431"/>
      <c r="J180" s="431"/>
      <c r="K180" s="431"/>
      <c r="L180" s="431"/>
      <c r="M180" s="97"/>
      <c r="N180" s="60"/>
      <c r="O180" s="454" t="s">
        <v>504</v>
      </c>
      <c r="P180" s="454"/>
      <c r="Q180" s="454"/>
      <c r="R180" s="454"/>
      <c r="S180" s="453">
        <v>15000</v>
      </c>
      <c r="T180" s="458" t="s">
        <v>25</v>
      </c>
      <c r="U180" s="458" t="s">
        <v>26</v>
      </c>
      <c r="V180" s="453">
        <v>5</v>
      </c>
      <c r="W180" s="454" t="s">
        <v>108</v>
      </c>
      <c r="X180" s="454"/>
      <c r="Y180" s="474">
        <v>4</v>
      </c>
      <c r="Z180" s="455" t="s">
        <v>505</v>
      </c>
      <c r="AA180" s="487" t="s">
        <v>27</v>
      </c>
      <c r="AB180" s="487" t="s">
        <v>418</v>
      </c>
      <c r="AC180" s="428"/>
      <c r="AD180" s="485">
        <f>S180*V180*Y180</f>
        <v>300000</v>
      </c>
      <c r="AE180" s="486" t="s">
        <v>56</v>
      </c>
    </row>
    <row r="181" spans="1:31" s="14" customFormat="1" ht="24" customHeight="1">
      <c r="A181" s="38"/>
      <c r="B181" s="38"/>
      <c r="C181" s="38"/>
      <c r="D181" s="430"/>
      <c r="E181" s="431"/>
      <c r="F181" s="431"/>
      <c r="G181" s="431"/>
      <c r="H181" s="431"/>
      <c r="I181" s="431"/>
      <c r="J181" s="431"/>
      <c r="K181" s="431"/>
      <c r="L181" s="431"/>
      <c r="M181" s="97"/>
      <c r="N181" s="60"/>
      <c r="O181" s="454" t="s">
        <v>514</v>
      </c>
      <c r="P181" s="487"/>
      <c r="Q181" s="487"/>
      <c r="R181" s="487"/>
      <c r="S181" s="453">
        <v>20000</v>
      </c>
      <c r="T181" s="458" t="s">
        <v>25</v>
      </c>
      <c r="U181" s="458" t="s">
        <v>26</v>
      </c>
      <c r="V181" s="453">
        <v>5</v>
      </c>
      <c r="W181" s="454" t="s">
        <v>55</v>
      </c>
      <c r="X181" s="454"/>
      <c r="Y181" s="474">
        <v>3</v>
      </c>
      <c r="Z181" s="455" t="s">
        <v>505</v>
      </c>
      <c r="AA181" s="484" t="s">
        <v>27</v>
      </c>
      <c r="AB181" s="484" t="s">
        <v>418</v>
      </c>
      <c r="AC181" s="484"/>
      <c r="AD181" s="485">
        <f>S181*V181*Y181</f>
        <v>300000</v>
      </c>
      <c r="AE181" s="486" t="s">
        <v>56</v>
      </c>
    </row>
    <row r="182" spans="1:31" s="14" customFormat="1" ht="24" customHeight="1">
      <c r="A182" s="38"/>
      <c r="B182" s="38"/>
      <c r="C182" s="38"/>
      <c r="D182" s="432"/>
      <c r="E182" s="433"/>
      <c r="F182" s="433"/>
      <c r="G182" s="433"/>
      <c r="H182" s="433"/>
      <c r="I182" s="433"/>
      <c r="J182" s="433"/>
      <c r="K182" s="433"/>
      <c r="L182" s="433"/>
      <c r="M182" s="97"/>
      <c r="N182" s="60"/>
      <c r="O182" s="454" t="s">
        <v>508</v>
      </c>
      <c r="P182" s="454"/>
      <c r="Q182" s="454"/>
      <c r="R182" s="454"/>
      <c r="S182" s="453">
        <v>46000</v>
      </c>
      <c r="T182" s="458" t="s">
        <v>25</v>
      </c>
      <c r="U182" s="458" t="s">
        <v>26</v>
      </c>
      <c r="V182" s="453">
        <v>5</v>
      </c>
      <c r="W182" s="454" t="s">
        <v>55</v>
      </c>
      <c r="X182" s="454"/>
      <c r="Y182" s="474">
        <v>3</v>
      </c>
      <c r="Z182" s="455" t="s">
        <v>505</v>
      </c>
      <c r="AA182" s="484" t="s">
        <v>27</v>
      </c>
      <c r="AB182" s="484" t="s">
        <v>418</v>
      </c>
      <c r="AC182" s="484"/>
      <c r="AD182" s="485">
        <f>S182*V182*Y182</f>
        <v>690000</v>
      </c>
      <c r="AE182" s="486" t="s">
        <v>56</v>
      </c>
    </row>
    <row r="183" spans="1:31" s="14" customFormat="1" ht="24" customHeight="1">
      <c r="A183" s="38"/>
      <c r="B183" s="38"/>
      <c r="C183" s="38"/>
      <c r="D183" s="136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54" t="s">
        <v>533</v>
      </c>
      <c r="P183" s="454"/>
      <c r="Q183" s="454"/>
      <c r="R183" s="454"/>
      <c r="S183" s="453">
        <v>140000</v>
      </c>
      <c r="T183" s="458" t="s">
        <v>25</v>
      </c>
      <c r="U183" s="458" t="s">
        <v>26</v>
      </c>
      <c r="V183" s="453">
        <v>5</v>
      </c>
      <c r="W183" s="454" t="s">
        <v>108</v>
      </c>
      <c r="X183" s="454"/>
      <c r="Y183" s="474">
        <v>1</v>
      </c>
      <c r="Z183" s="455" t="s">
        <v>70</v>
      </c>
      <c r="AA183" s="487" t="s">
        <v>27</v>
      </c>
      <c r="AB183" s="487" t="s">
        <v>418</v>
      </c>
      <c r="AC183" s="428"/>
      <c r="AD183" s="485">
        <f>S183*V183*Y183</f>
        <v>700000</v>
      </c>
      <c r="AE183" s="486" t="s">
        <v>56</v>
      </c>
    </row>
    <row r="184" spans="1:31" s="14" customFormat="1" ht="24" customHeight="1">
      <c r="A184" s="38"/>
      <c r="B184" s="38"/>
      <c r="C184" s="28" t="s">
        <v>456</v>
      </c>
      <c r="D184" s="447">
        <v>2060</v>
      </c>
      <c r="E184" s="102">
        <f>ROUND(AD184/1000,0)</f>
        <v>2780</v>
      </c>
      <c r="F184" s="103">
        <f>SUMIF($AB$185:$AB$188,"보조",$AD$185:$AD$188)/1000</f>
        <v>0</v>
      </c>
      <c r="G184" s="103">
        <f>SUMIF($AB$185:$AB$188,"4종",$AD$185:$AD$188)/1000</f>
        <v>0</v>
      </c>
      <c r="H184" s="103">
        <f>SUMIF($AB$185:$AB$188,"6종",$AD$185:$AD$188)/1000</f>
        <v>0</v>
      </c>
      <c r="I184" s="103">
        <f>SUMIF($AB$185:$AB$188,"후원",$AD$185:$AD$188)/1000</f>
        <v>0</v>
      </c>
      <c r="J184" s="103">
        <f>SUMIF($AB$185:$AB$188,"입소",$AD$185:$AD$188)/1000</f>
        <v>2780</v>
      </c>
      <c r="K184" s="103">
        <f>SUMIF($AB$185:$AB$188,"법인",$AD$185:$AD$188)/1000</f>
        <v>0</v>
      </c>
      <c r="L184" s="103">
        <f>SUMIF($AB$185:$AB$188,"잡수",$AD$185:$AD$188)/1000</f>
        <v>0</v>
      </c>
      <c r="M184" s="102">
        <f>E184-D184</f>
        <v>720</v>
      </c>
      <c r="N184" s="109">
        <f>IF(D184=0,0,M184/D184)</f>
        <v>0.34951456310679613</v>
      </c>
      <c r="O184" s="287"/>
      <c r="P184" s="301"/>
      <c r="Q184" s="301"/>
      <c r="R184" s="442"/>
      <c r="S184" s="442"/>
      <c r="T184" s="442"/>
      <c r="U184" s="442"/>
      <c r="V184" s="442"/>
      <c r="W184" s="443" t="s">
        <v>400</v>
      </c>
      <c r="X184" s="443"/>
      <c r="Y184" s="443"/>
      <c r="Z184" s="443"/>
      <c r="AA184" s="443"/>
      <c r="AB184" s="443"/>
      <c r="AC184" s="444"/>
      <c r="AD184" s="445">
        <f>SUM(AD185:AD188)</f>
        <v>2780000</v>
      </c>
      <c r="AE184" s="446" t="s">
        <v>25</v>
      </c>
    </row>
    <row r="185" spans="1:31" s="14" customFormat="1" ht="24" customHeight="1">
      <c r="A185" s="38"/>
      <c r="B185" s="38"/>
      <c r="C185" s="38"/>
      <c r="D185" s="430"/>
      <c r="E185" s="431"/>
      <c r="F185" s="431"/>
      <c r="G185" s="431"/>
      <c r="H185" s="431"/>
      <c r="I185" s="431"/>
      <c r="J185" s="431"/>
      <c r="K185" s="431"/>
      <c r="L185" s="431"/>
      <c r="M185" s="97"/>
      <c r="N185" s="60"/>
      <c r="O185" s="487" t="s">
        <v>472</v>
      </c>
      <c r="P185" s="487"/>
      <c r="Q185" s="487"/>
      <c r="R185" s="487"/>
      <c r="S185" s="453">
        <v>170000</v>
      </c>
      <c r="T185" s="458" t="s">
        <v>25</v>
      </c>
      <c r="U185" s="458" t="s">
        <v>26</v>
      </c>
      <c r="V185" s="453">
        <v>6</v>
      </c>
      <c r="W185" s="454" t="s">
        <v>108</v>
      </c>
      <c r="X185" s="453"/>
      <c r="Y185" s="484">
        <v>1</v>
      </c>
      <c r="Z185" s="484" t="s">
        <v>525</v>
      </c>
      <c r="AA185" s="484" t="s">
        <v>27</v>
      </c>
      <c r="AB185" s="484" t="s">
        <v>418</v>
      </c>
      <c r="AC185" s="484"/>
      <c r="AD185" s="485">
        <f>S185*V185*Y185</f>
        <v>1020000</v>
      </c>
      <c r="AE185" s="486" t="s">
        <v>25</v>
      </c>
    </row>
    <row r="186" spans="1:31" s="14" customFormat="1" ht="24" customHeight="1">
      <c r="A186" s="38"/>
      <c r="B186" s="38"/>
      <c r="C186" s="38"/>
      <c r="D186" s="432"/>
      <c r="E186" s="433"/>
      <c r="F186" s="433"/>
      <c r="G186" s="433"/>
      <c r="H186" s="433"/>
      <c r="I186" s="433"/>
      <c r="J186" s="433"/>
      <c r="K186" s="433"/>
      <c r="L186" s="433"/>
      <c r="M186" s="97"/>
      <c r="N186" s="60"/>
      <c r="O186" s="487" t="s">
        <v>528</v>
      </c>
      <c r="P186" s="487"/>
      <c r="Q186" s="487"/>
      <c r="R186" s="487"/>
      <c r="S186" s="453">
        <v>40000</v>
      </c>
      <c r="T186" s="458" t="s">
        <v>25</v>
      </c>
      <c r="U186" s="458" t="s">
        <v>26</v>
      </c>
      <c r="V186" s="453">
        <v>5</v>
      </c>
      <c r="W186" s="454" t="s">
        <v>108</v>
      </c>
      <c r="X186" s="453"/>
      <c r="Y186" s="484">
        <v>2</v>
      </c>
      <c r="Z186" s="484" t="s">
        <v>525</v>
      </c>
      <c r="AA186" s="484" t="s">
        <v>27</v>
      </c>
      <c r="AB186" s="484" t="s">
        <v>418</v>
      </c>
      <c r="AC186" s="484"/>
      <c r="AD186" s="485">
        <f>S186*V186*Y186</f>
        <v>400000</v>
      </c>
      <c r="AE186" s="486" t="s">
        <v>25</v>
      </c>
    </row>
    <row r="187" spans="1:31" s="14" customFormat="1" ht="24" customHeight="1">
      <c r="A187" s="38"/>
      <c r="B187" s="38"/>
      <c r="C187" s="38"/>
      <c r="D187" s="432"/>
      <c r="E187" s="433"/>
      <c r="F187" s="433"/>
      <c r="G187" s="433"/>
      <c r="H187" s="433"/>
      <c r="I187" s="433"/>
      <c r="J187" s="433"/>
      <c r="K187" s="433"/>
      <c r="L187" s="433"/>
      <c r="M187" s="97"/>
      <c r="N187" s="60"/>
      <c r="O187" s="487" t="s">
        <v>529</v>
      </c>
      <c r="P187" s="487"/>
      <c r="Q187" s="487"/>
      <c r="R187" s="487"/>
      <c r="S187" s="453">
        <v>200000</v>
      </c>
      <c r="T187" s="458" t="s">
        <v>25</v>
      </c>
      <c r="U187" s="458" t="s">
        <v>26</v>
      </c>
      <c r="V187" s="453">
        <v>6</v>
      </c>
      <c r="W187" s="454" t="s">
        <v>108</v>
      </c>
      <c r="X187" s="453"/>
      <c r="Y187" s="487">
        <v>1</v>
      </c>
      <c r="Z187" s="484" t="s">
        <v>525</v>
      </c>
      <c r="AA187" s="484" t="s">
        <v>27</v>
      </c>
      <c r="AB187" s="484" t="s">
        <v>418</v>
      </c>
      <c r="AC187" s="487"/>
      <c r="AD187" s="485">
        <f>S187*V187*Y187</f>
        <v>1200000</v>
      </c>
      <c r="AE187" s="486" t="s">
        <v>531</v>
      </c>
    </row>
    <row r="188" spans="1:31" s="14" customFormat="1" ht="24" customHeight="1">
      <c r="A188" s="38"/>
      <c r="B188" s="38"/>
      <c r="C188" s="38"/>
      <c r="D188" s="136"/>
      <c r="E188" s="97"/>
      <c r="F188" s="97"/>
      <c r="G188" s="97"/>
      <c r="H188" s="97"/>
      <c r="I188" s="97"/>
      <c r="J188" s="97"/>
      <c r="K188" s="97"/>
      <c r="L188" s="97"/>
      <c r="M188" s="97"/>
      <c r="N188" s="60"/>
      <c r="O188" s="487" t="s">
        <v>530</v>
      </c>
      <c r="P188" s="510"/>
      <c r="Q188" s="510"/>
      <c r="R188" s="510"/>
      <c r="S188" s="453">
        <v>40000</v>
      </c>
      <c r="T188" s="458" t="s">
        <v>25</v>
      </c>
      <c r="U188" s="458" t="s">
        <v>26</v>
      </c>
      <c r="V188" s="453">
        <v>2</v>
      </c>
      <c r="W188" s="454" t="s">
        <v>108</v>
      </c>
      <c r="X188" s="453"/>
      <c r="Y188" s="484">
        <v>2</v>
      </c>
      <c r="Z188" s="484" t="s">
        <v>525</v>
      </c>
      <c r="AA188" s="484" t="s">
        <v>27</v>
      </c>
      <c r="AB188" s="484" t="s">
        <v>418</v>
      </c>
      <c r="AC188" s="484"/>
      <c r="AD188" s="485">
        <f>S188*V188*Y188</f>
        <v>160000</v>
      </c>
      <c r="AE188" s="486" t="s">
        <v>25</v>
      </c>
    </row>
    <row r="189" spans="1:31" s="14" customFormat="1" ht="24" customHeight="1">
      <c r="A189" s="38"/>
      <c r="B189" s="38"/>
      <c r="C189" s="28" t="s">
        <v>457</v>
      </c>
      <c r="D189" s="135">
        <v>150</v>
      </c>
      <c r="E189" s="102">
        <f>ROUND(AD189/1000,0)</f>
        <v>0</v>
      </c>
      <c r="F189" s="103">
        <f>SUMIF($AB$190:$AB$193,"보조",$AD$190:$AD$193)/1000</f>
        <v>0</v>
      </c>
      <c r="G189" s="103">
        <f>SUMIF($AB$190:$AB$193,"4종",$AD$190:$AD$193)/1000</f>
        <v>0</v>
      </c>
      <c r="H189" s="103">
        <f>SUMIF($AB$190:$AB$193,"6종",$AD$190:$AD$193)/1000</f>
        <v>0</v>
      </c>
      <c r="I189" s="103">
        <f>SUMIF($AB$190:$AB$190,"후원",$AD$190:$AD$190)/1000</f>
        <v>0</v>
      </c>
      <c r="J189" s="103">
        <f>SUMIF($AB$190:$AB$190,"입소",$AD$190:$AD$190)/1000</f>
        <v>0</v>
      </c>
      <c r="K189" s="103">
        <f>SUMIF($AB$190:$AB$193,"법인",$AD$190:$AD$193)/1000</f>
        <v>0</v>
      </c>
      <c r="L189" s="103">
        <f>SUMIF($AB$190:$AB$193,"잡수",$AD$190:$AD$193)/1000</f>
        <v>0</v>
      </c>
      <c r="M189" s="102">
        <f>E189-D189</f>
        <v>-150</v>
      </c>
      <c r="N189" s="109">
        <f>IF(D189=0,0,M189/D189)</f>
        <v>-1</v>
      </c>
      <c r="O189" s="287"/>
      <c r="P189" s="301"/>
      <c r="Q189" s="301"/>
      <c r="R189" s="442"/>
      <c r="S189" s="442"/>
      <c r="T189" s="442"/>
      <c r="U189" s="442"/>
      <c r="V189" s="442"/>
      <c r="W189" s="443" t="s">
        <v>400</v>
      </c>
      <c r="X189" s="443"/>
      <c r="Y189" s="443"/>
      <c r="Z189" s="443"/>
      <c r="AA189" s="443"/>
      <c r="AB189" s="443"/>
      <c r="AC189" s="444"/>
      <c r="AD189" s="445">
        <f>SUM(AD190:AD190)</f>
        <v>0</v>
      </c>
      <c r="AE189" s="446" t="s">
        <v>25</v>
      </c>
    </row>
    <row r="190" spans="1:31" s="14" customFormat="1" ht="24" customHeight="1">
      <c r="A190" s="38"/>
      <c r="B190" s="38"/>
      <c r="C190" s="38" t="s">
        <v>103</v>
      </c>
      <c r="D190" s="430"/>
      <c r="E190" s="431"/>
      <c r="F190" s="431"/>
      <c r="G190" s="431"/>
      <c r="H190" s="431"/>
      <c r="I190" s="431"/>
      <c r="J190" s="431"/>
      <c r="K190" s="431"/>
      <c r="L190" s="431"/>
      <c r="M190" s="97"/>
      <c r="N190" s="60"/>
      <c r="O190" s="454"/>
      <c r="P190" s="454"/>
      <c r="Q190" s="454"/>
      <c r="R190" s="454"/>
      <c r="S190" s="453"/>
      <c r="T190" s="453"/>
      <c r="U190" s="454"/>
      <c r="V190" s="453"/>
      <c r="W190" s="453"/>
      <c r="X190" s="454"/>
      <c r="Y190" s="474"/>
      <c r="Z190" s="455"/>
      <c r="AA190" s="455"/>
      <c r="AB190" s="453"/>
      <c r="AC190" s="428"/>
      <c r="AD190" s="539"/>
      <c r="AE190" s="459" t="s">
        <v>25</v>
      </c>
    </row>
    <row r="191" spans="1:31" s="14" customFormat="1" ht="24" customHeight="1">
      <c r="A191" s="38"/>
      <c r="B191" s="38"/>
      <c r="C191" s="28" t="s">
        <v>458</v>
      </c>
      <c r="D191" s="135">
        <v>800</v>
      </c>
      <c r="E191" s="102">
        <f>ROUND(AD191/1000,0)</f>
        <v>850</v>
      </c>
      <c r="F191" s="103">
        <f>SUMIF($AB$190:$AB$193,"보조",$AD$190:$AD$193)/1000</f>
        <v>0</v>
      </c>
      <c r="G191" s="103">
        <f>SUMIF($AB$190:$AB$193,"4종",$AD$190:$AD$193)/1000</f>
        <v>0</v>
      </c>
      <c r="H191" s="103">
        <f>SUMIF($AB$190:$AB$193,"6종",$AD$190:$AD$193)/1000</f>
        <v>0</v>
      </c>
      <c r="I191" s="103">
        <f>SUMIF($AB$192:$AB$193,"후원",$AD$192:$AD$193)/1000</f>
        <v>0</v>
      </c>
      <c r="J191" s="103">
        <f>SUMIF($AB$192:$AB$194,"입소",$AD$192:$AD$194)/1000</f>
        <v>850</v>
      </c>
      <c r="K191" s="103">
        <f>SUMIF($AB$190:$AB$193,"법인",$AD$190:$AD$193)/1000</f>
        <v>0</v>
      </c>
      <c r="L191" s="103">
        <f>SUMIF($AB$190:$AB$193,"잡수",$AD$190:$AD$193)/1000</f>
        <v>0</v>
      </c>
      <c r="M191" s="102">
        <f>E191-D191</f>
        <v>50</v>
      </c>
      <c r="N191" s="109">
        <f>IF(D191=0,0,M191/D191)</f>
        <v>6.25E-2</v>
      </c>
      <c r="O191" s="287"/>
      <c r="P191" s="301"/>
      <c r="Q191" s="301"/>
      <c r="R191" s="442"/>
      <c r="S191" s="442"/>
      <c r="T191" s="442"/>
      <c r="U191" s="442"/>
      <c r="V191" s="442"/>
      <c r="W191" s="443" t="s">
        <v>400</v>
      </c>
      <c r="X191" s="443"/>
      <c r="Y191" s="443"/>
      <c r="Z191" s="443"/>
      <c r="AA191" s="443"/>
      <c r="AB191" s="443"/>
      <c r="AC191" s="444"/>
      <c r="AD191" s="445">
        <f>SUM(AD192:AD194)</f>
        <v>850000</v>
      </c>
      <c r="AE191" s="446" t="s">
        <v>25</v>
      </c>
    </row>
    <row r="192" spans="1:31" s="14" customFormat="1" ht="24" customHeight="1">
      <c r="A192" s="38"/>
      <c r="B192" s="38"/>
      <c r="C192" s="38" t="s">
        <v>397</v>
      </c>
      <c r="D192" s="133"/>
      <c r="E192" s="97"/>
      <c r="F192" s="97"/>
      <c r="G192" s="97"/>
      <c r="H192" s="97"/>
      <c r="I192" s="97"/>
      <c r="J192" s="97"/>
      <c r="K192" s="97"/>
      <c r="L192" s="97"/>
      <c r="M192" s="97"/>
      <c r="N192" s="60"/>
      <c r="O192" s="454" t="s">
        <v>495</v>
      </c>
      <c r="P192" s="467"/>
      <c r="Q192" s="467"/>
      <c r="R192" s="464"/>
      <c r="S192" s="453">
        <v>500000</v>
      </c>
      <c r="T192" s="458" t="s">
        <v>25</v>
      </c>
      <c r="U192" s="458" t="s">
        <v>26</v>
      </c>
      <c r="V192" s="453">
        <v>1</v>
      </c>
      <c r="W192" s="454" t="s">
        <v>432</v>
      </c>
      <c r="X192" s="453"/>
      <c r="Y192" s="487"/>
      <c r="Z192" s="487" t="s">
        <v>27</v>
      </c>
      <c r="AA192" s="487"/>
      <c r="AB192" s="487" t="s">
        <v>418</v>
      </c>
      <c r="AC192" s="487"/>
      <c r="AD192" s="488">
        <f>S192*V192</f>
        <v>500000</v>
      </c>
      <c r="AE192" s="486" t="s">
        <v>25</v>
      </c>
    </row>
    <row r="193" spans="1:31" s="14" customFormat="1" ht="24" customHeight="1">
      <c r="A193" s="38"/>
      <c r="B193" s="38"/>
      <c r="C193" s="38"/>
      <c r="D193" s="133"/>
      <c r="E193" s="97"/>
      <c r="F193" s="97"/>
      <c r="G193" s="97"/>
      <c r="H193" s="97"/>
      <c r="I193" s="97"/>
      <c r="J193" s="97"/>
      <c r="K193" s="97"/>
      <c r="L193" s="97"/>
      <c r="M193" s="97"/>
      <c r="N193" s="60"/>
      <c r="O193" s="454" t="s">
        <v>496</v>
      </c>
      <c r="P193" s="467"/>
      <c r="Q193" s="467"/>
      <c r="R193" s="464"/>
      <c r="S193" s="453">
        <v>100000</v>
      </c>
      <c r="T193" s="458" t="s">
        <v>25</v>
      </c>
      <c r="U193" s="458" t="s">
        <v>26</v>
      </c>
      <c r="V193" s="453">
        <v>1</v>
      </c>
      <c r="W193" s="454" t="s">
        <v>432</v>
      </c>
      <c r="X193" s="453"/>
      <c r="Y193" s="487"/>
      <c r="Z193" s="487" t="s">
        <v>27</v>
      </c>
      <c r="AA193" s="487"/>
      <c r="AB193" s="487" t="s">
        <v>418</v>
      </c>
      <c r="AC193" s="487"/>
      <c r="AD193" s="488">
        <f>S193*V193</f>
        <v>100000</v>
      </c>
      <c r="AE193" s="486" t="s">
        <v>25</v>
      </c>
    </row>
    <row r="194" spans="1:31" s="14" customFormat="1" ht="24" customHeight="1">
      <c r="A194" s="38"/>
      <c r="B194" s="38"/>
      <c r="C194" s="39"/>
      <c r="D194" s="133"/>
      <c r="E194" s="97"/>
      <c r="F194" s="440"/>
      <c r="G194" s="440"/>
      <c r="H194" s="440"/>
      <c r="I194" s="440"/>
      <c r="J194" s="440"/>
      <c r="K194" s="440"/>
      <c r="L194" s="440"/>
      <c r="M194" s="489"/>
      <c r="N194" s="60"/>
      <c r="O194" s="454" t="s">
        <v>532</v>
      </c>
      <c r="P194" s="467"/>
      <c r="Q194" s="467"/>
      <c r="R194" s="511"/>
      <c r="S194" s="453">
        <v>50000</v>
      </c>
      <c r="T194" s="458" t="s">
        <v>25</v>
      </c>
      <c r="U194" s="458" t="s">
        <v>26</v>
      </c>
      <c r="V194" s="453">
        <v>5</v>
      </c>
      <c r="W194" s="454" t="s">
        <v>432</v>
      </c>
      <c r="X194" s="453"/>
      <c r="Y194" s="487"/>
      <c r="Z194" s="487" t="s">
        <v>27</v>
      </c>
      <c r="AA194" s="487"/>
      <c r="AB194" s="487" t="s">
        <v>418</v>
      </c>
      <c r="AC194" s="487"/>
      <c r="AD194" s="488">
        <f>S194*V194</f>
        <v>250000</v>
      </c>
      <c r="AE194" s="486" t="s">
        <v>25</v>
      </c>
    </row>
    <row r="195" spans="1:31" s="11" customFormat="1" ht="21" customHeight="1">
      <c r="A195" s="27" t="s">
        <v>409</v>
      </c>
      <c r="B195" s="612" t="s">
        <v>20</v>
      </c>
      <c r="C195" s="613"/>
      <c r="D195" s="144">
        <f>D196</f>
        <v>0</v>
      </c>
      <c r="E195" s="144">
        <f>E196</f>
        <v>0</v>
      </c>
      <c r="F195" s="144">
        <f t="shared" ref="F195:L195" si="10">F196</f>
        <v>0</v>
      </c>
      <c r="G195" s="144">
        <f t="shared" si="10"/>
        <v>0</v>
      </c>
      <c r="H195" s="144">
        <f t="shared" si="10"/>
        <v>0</v>
      </c>
      <c r="I195" s="144">
        <f t="shared" si="10"/>
        <v>0</v>
      </c>
      <c r="J195" s="144">
        <f t="shared" si="10"/>
        <v>0</v>
      </c>
      <c r="K195" s="144">
        <f t="shared" si="10"/>
        <v>0</v>
      </c>
      <c r="L195" s="144">
        <f t="shared" si="10"/>
        <v>0</v>
      </c>
      <c r="M195" s="144">
        <f>E195-D195</f>
        <v>0</v>
      </c>
      <c r="N195" s="145">
        <f>IF(D195=0,0,M195/D195)</f>
        <v>0</v>
      </c>
      <c r="O195" s="417" t="s">
        <v>410</v>
      </c>
      <c r="P195" s="417"/>
      <c r="Q195" s="417"/>
      <c r="R195" s="417"/>
      <c r="S195" s="416"/>
      <c r="T195" s="416"/>
      <c r="U195" s="416"/>
      <c r="V195" s="416"/>
      <c r="W195" s="416"/>
      <c r="X195" s="416"/>
      <c r="Y195" s="416"/>
      <c r="Z195" s="416"/>
      <c r="AA195" s="416"/>
      <c r="AB195" s="416"/>
      <c r="AC195" s="416"/>
      <c r="AD195" s="416">
        <f>SUM(AD196)</f>
        <v>0</v>
      </c>
      <c r="AE195" s="146" t="s">
        <v>25</v>
      </c>
    </row>
    <row r="196" spans="1:31" s="11" customFormat="1" ht="21" customHeight="1">
      <c r="A196" s="37"/>
      <c r="B196" s="38" t="s">
        <v>409</v>
      </c>
      <c r="C196" s="38" t="s">
        <v>409</v>
      </c>
      <c r="D196" s="133">
        <v>0</v>
      </c>
      <c r="E196" s="97">
        <f>AD196/1000</f>
        <v>0</v>
      </c>
      <c r="F196" s="103">
        <f>SUMIF($AB$197:$AB$197,"보조",$AD$197:$AD$197)/1000</f>
        <v>0</v>
      </c>
      <c r="G196" s="103">
        <f>SUMIF($AB$197:$AB$197,"4종",$AD$197:$AD$197)/1000</f>
        <v>0</v>
      </c>
      <c r="H196" s="103">
        <f>SUMIF($AB$197:$AB$197,"6종",$AD$197:$AD$197)/1000</f>
        <v>0</v>
      </c>
      <c r="I196" s="103">
        <f>SUMIF($AB$197:$AB$197,"후원",$AD$197:$AD$197)/1000</f>
        <v>0</v>
      </c>
      <c r="J196" s="103">
        <f>SUMIF($AB$197:$AB$197,"입소",$AD$197:$AD$197)/1000</f>
        <v>0</v>
      </c>
      <c r="K196" s="103">
        <f>SUMIF($AB$197:$AB$197,"법인",$AD$197:$AD$197)/1000</f>
        <v>0</v>
      </c>
      <c r="L196" s="103">
        <f>SUMIF($AB$197:$AB$197,"잡수",$AD$197:$AD$197)/1000</f>
        <v>0</v>
      </c>
      <c r="M196" s="97">
        <f>E196-D196</f>
        <v>0</v>
      </c>
      <c r="N196" s="60">
        <f>IF(D196=0,0,M196/D196)</f>
        <v>0</v>
      </c>
      <c r="O196" s="105" t="s">
        <v>411</v>
      </c>
      <c r="P196" s="151"/>
      <c r="Q196" s="151"/>
      <c r="R196" s="151"/>
      <c r="S196" s="151"/>
      <c r="T196" s="150"/>
      <c r="U196" s="150"/>
      <c r="V196" s="150"/>
      <c r="W196" s="150"/>
      <c r="X196" s="150"/>
      <c r="Y196" s="416" t="s">
        <v>375</v>
      </c>
      <c r="Z196" s="87"/>
      <c r="AA196" s="87"/>
      <c r="AB196" s="87"/>
      <c r="AC196" s="107"/>
      <c r="AD196" s="107">
        <v>0</v>
      </c>
      <c r="AE196" s="108" t="s">
        <v>25</v>
      </c>
    </row>
    <row r="197" spans="1:31" s="1" customFormat="1" ht="21" customHeight="1">
      <c r="A197" s="48"/>
      <c r="B197" s="49"/>
      <c r="C197" s="49"/>
      <c r="D197" s="134"/>
      <c r="E197" s="100"/>
      <c r="F197" s="100"/>
      <c r="G197" s="100"/>
      <c r="H197" s="100"/>
      <c r="I197" s="100"/>
      <c r="J197" s="100"/>
      <c r="K197" s="100"/>
      <c r="L197" s="100"/>
      <c r="M197" s="100"/>
      <c r="N197" s="75"/>
      <c r="O197" s="348"/>
      <c r="P197" s="348"/>
      <c r="Q197" s="348"/>
      <c r="R197" s="348"/>
      <c r="S197" s="348"/>
      <c r="T197" s="348"/>
      <c r="U197" s="348"/>
      <c r="V197" s="348"/>
      <c r="W197" s="348"/>
      <c r="X197" s="348"/>
      <c r="Y197" s="348"/>
      <c r="Z197" s="348"/>
      <c r="AA197" s="348"/>
      <c r="AB197" s="348"/>
      <c r="AC197" s="348"/>
      <c r="AD197" s="348"/>
      <c r="AE197" s="514"/>
    </row>
    <row r="198" spans="1:31" s="11" customFormat="1" ht="21" customHeight="1">
      <c r="A198" s="37" t="s">
        <v>21</v>
      </c>
      <c r="B198" s="607" t="s">
        <v>20</v>
      </c>
      <c r="C198" s="608"/>
      <c r="D198" s="100">
        <f t="shared" ref="D198:L198" si="11">SUM(D199)+D209</f>
        <v>22</v>
      </c>
      <c r="E198" s="100">
        <f t="shared" si="11"/>
        <v>22</v>
      </c>
      <c r="F198" s="100">
        <f t="shared" si="11"/>
        <v>20</v>
      </c>
      <c r="G198" s="100">
        <f t="shared" si="11"/>
        <v>2</v>
      </c>
      <c r="H198" s="100">
        <f t="shared" si="11"/>
        <v>0</v>
      </c>
      <c r="I198" s="100">
        <f t="shared" si="11"/>
        <v>0</v>
      </c>
      <c r="J198" s="100">
        <f t="shared" si="11"/>
        <v>0</v>
      </c>
      <c r="K198" s="100">
        <f t="shared" si="11"/>
        <v>0</v>
      </c>
      <c r="L198" s="100">
        <f t="shared" si="11"/>
        <v>0</v>
      </c>
      <c r="M198" s="100">
        <f>E198-D198</f>
        <v>0</v>
      </c>
      <c r="N198" s="75">
        <f>IF(D198=0,0,M198/D198)</f>
        <v>0</v>
      </c>
      <c r="O198" s="490" t="s">
        <v>21</v>
      </c>
      <c r="P198" s="105"/>
      <c r="Q198" s="105"/>
      <c r="R198" s="105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>
        <f>AD199+AD209</f>
        <v>22000</v>
      </c>
      <c r="AE198" s="108" t="s">
        <v>25</v>
      </c>
    </row>
    <row r="199" spans="1:31" s="11" customFormat="1" ht="21" customHeight="1">
      <c r="A199" s="37"/>
      <c r="B199" s="38" t="s">
        <v>21</v>
      </c>
      <c r="C199" s="38" t="s">
        <v>21</v>
      </c>
      <c r="D199" s="97">
        <v>0</v>
      </c>
      <c r="E199" s="102">
        <f>AD199/1000</f>
        <v>0</v>
      </c>
      <c r="F199" s="103">
        <f>SUMIF($AB$199:$AB$207,"보조",$AD$199:$AD$207)/1000</f>
        <v>0</v>
      </c>
      <c r="G199" s="103">
        <f>SUMIF($AB$199:$AB$207,"4종",$AD$199:$AD$207)/1000</f>
        <v>0</v>
      </c>
      <c r="H199" s="103">
        <f>SUMIF($AB$199:$AB$207,"6종",$AD$199:$AD$207)/1000</f>
        <v>0</v>
      </c>
      <c r="I199" s="103">
        <f>SUMIF($AB$199:$AB$207,"후원",$AD$199:$AD$207)/1000</f>
        <v>0</v>
      </c>
      <c r="J199" s="103">
        <f>SUMIF($AB$199:$AB$207,"입소",$AD$199:$AD$207)/1000</f>
        <v>0</v>
      </c>
      <c r="K199" s="103">
        <f>SUMIF($AB$199:$AB$207,"법인",$AD$199:$AD$207)/1000</f>
        <v>0</v>
      </c>
      <c r="L199" s="103">
        <f>SUMIF($AB$199:$AB$207,"잡수",$AD$199:$AD$207)/1000</f>
        <v>0</v>
      </c>
      <c r="M199" s="97">
        <f>E199-D199</f>
        <v>0</v>
      </c>
      <c r="N199" s="60">
        <f>IF(D199=0,0,M199/D199)</f>
        <v>0</v>
      </c>
      <c r="O199" s="105" t="s">
        <v>52</v>
      </c>
      <c r="P199" s="151"/>
      <c r="Q199" s="151"/>
      <c r="R199" s="151"/>
      <c r="S199" s="151"/>
      <c r="T199" s="150"/>
      <c r="U199" s="150"/>
      <c r="V199" s="150"/>
      <c r="W199" s="150"/>
      <c r="X199" s="150"/>
      <c r="Y199" s="416" t="s">
        <v>362</v>
      </c>
      <c r="Z199" s="87"/>
      <c r="AA199" s="87"/>
      <c r="AB199" s="87"/>
      <c r="AC199" s="107"/>
      <c r="AD199" s="107">
        <f>SUM(AD200:AD207)</f>
        <v>0</v>
      </c>
      <c r="AE199" s="108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440"/>
      <c r="G200" s="440"/>
      <c r="H200" s="440"/>
      <c r="I200" s="440"/>
      <c r="J200" s="440"/>
      <c r="K200" s="440"/>
      <c r="L200" s="440"/>
      <c r="M200" s="97"/>
      <c r="N200" s="60"/>
      <c r="O200" s="454" t="s">
        <v>473</v>
      </c>
      <c r="P200" s="454"/>
      <c r="Q200" s="454"/>
      <c r="R200" s="454"/>
      <c r="S200" s="454"/>
      <c r="T200" s="453"/>
      <c r="U200" s="453"/>
      <c r="V200" s="453"/>
      <c r="W200" s="453"/>
      <c r="X200" s="453"/>
      <c r="Y200" s="453"/>
      <c r="Z200" s="453"/>
      <c r="AA200" s="453"/>
      <c r="AB200" s="453" t="s">
        <v>467</v>
      </c>
      <c r="AC200" s="428"/>
      <c r="AD200" s="428">
        <v>0</v>
      </c>
      <c r="AE200" s="459" t="s">
        <v>25</v>
      </c>
    </row>
    <row r="201" spans="1:31" s="11" customFormat="1" ht="21" customHeight="1">
      <c r="A201" s="37"/>
      <c r="B201" s="38"/>
      <c r="C201" s="38"/>
      <c r="D201" s="133"/>
      <c r="E201" s="97"/>
      <c r="F201" s="440"/>
      <c r="G201" s="440"/>
      <c r="H201" s="440"/>
      <c r="I201" s="440"/>
      <c r="J201" s="440"/>
      <c r="K201" s="440"/>
      <c r="L201" s="440"/>
      <c r="M201" s="97"/>
      <c r="N201" s="60"/>
      <c r="O201" s="454" t="s">
        <v>474</v>
      </c>
      <c r="P201" s="454"/>
      <c r="Q201" s="454"/>
      <c r="R201" s="454"/>
      <c r="S201" s="454"/>
      <c r="T201" s="453"/>
      <c r="U201" s="453"/>
      <c r="V201" s="453"/>
      <c r="W201" s="453"/>
      <c r="X201" s="453"/>
      <c r="Y201" s="453"/>
      <c r="Z201" s="453"/>
      <c r="AA201" s="453"/>
      <c r="AB201" s="453" t="s">
        <v>467</v>
      </c>
      <c r="AC201" s="428"/>
      <c r="AD201" s="428">
        <v>0</v>
      </c>
      <c r="AE201" s="459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440"/>
      <c r="G202" s="440"/>
      <c r="H202" s="440"/>
      <c r="I202" s="440"/>
      <c r="J202" s="440"/>
      <c r="K202" s="440"/>
      <c r="L202" s="440"/>
      <c r="M202" s="97"/>
      <c r="N202" s="60"/>
      <c r="O202" s="454" t="s">
        <v>475</v>
      </c>
      <c r="P202" s="454"/>
      <c r="Q202" s="454"/>
      <c r="R202" s="454"/>
      <c r="S202" s="454"/>
      <c r="T202" s="453"/>
      <c r="U202" s="453"/>
      <c r="V202" s="453"/>
      <c r="W202" s="453"/>
      <c r="X202" s="453"/>
      <c r="Y202" s="453"/>
      <c r="Z202" s="453"/>
      <c r="AA202" s="453"/>
      <c r="AB202" s="453" t="s">
        <v>418</v>
      </c>
      <c r="AC202" s="428"/>
      <c r="AD202" s="428">
        <v>0</v>
      </c>
      <c r="AE202" s="459" t="s">
        <v>25</v>
      </c>
    </row>
    <row r="203" spans="1:31" s="11" customFormat="1" ht="21" customHeight="1">
      <c r="A203" s="37"/>
      <c r="B203" s="38"/>
      <c r="C203" s="38"/>
      <c r="D203" s="133"/>
      <c r="E203" s="97"/>
      <c r="F203" s="440"/>
      <c r="G203" s="440"/>
      <c r="H203" s="440"/>
      <c r="I203" s="440"/>
      <c r="J203" s="440"/>
      <c r="K203" s="440"/>
      <c r="L203" s="440"/>
      <c r="M203" s="97"/>
      <c r="N203" s="60"/>
      <c r="O203" s="454" t="s">
        <v>476</v>
      </c>
      <c r="P203" s="454"/>
      <c r="Q203" s="454"/>
      <c r="R203" s="454"/>
      <c r="S203" s="454"/>
      <c r="T203" s="453"/>
      <c r="U203" s="453"/>
      <c r="V203" s="453"/>
      <c r="W203" s="453"/>
      <c r="X203" s="453"/>
      <c r="Y203" s="453"/>
      <c r="Z203" s="453"/>
      <c r="AA203" s="453"/>
      <c r="AB203" s="453" t="s">
        <v>418</v>
      </c>
      <c r="AC203" s="428"/>
      <c r="AD203" s="428">
        <v>0</v>
      </c>
      <c r="AE203" s="459" t="s">
        <v>25</v>
      </c>
    </row>
    <row r="204" spans="1:31" s="11" customFormat="1" ht="21" customHeight="1">
      <c r="A204" s="37"/>
      <c r="B204" s="38"/>
      <c r="C204" s="38"/>
      <c r="D204" s="133"/>
      <c r="E204" s="97"/>
      <c r="F204" s="440"/>
      <c r="G204" s="440"/>
      <c r="H204" s="440"/>
      <c r="I204" s="440"/>
      <c r="J204" s="440"/>
      <c r="K204" s="440"/>
      <c r="L204" s="440"/>
      <c r="M204" s="97"/>
      <c r="N204" s="60"/>
      <c r="O204" s="454" t="s">
        <v>477</v>
      </c>
      <c r="P204" s="454"/>
      <c r="Q204" s="454"/>
      <c r="R204" s="454"/>
      <c r="S204" s="454"/>
      <c r="T204" s="453"/>
      <c r="U204" s="453"/>
      <c r="V204" s="453"/>
      <c r="W204" s="453"/>
      <c r="X204" s="453"/>
      <c r="Y204" s="453"/>
      <c r="Z204" s="453"/>
      <c r="AA204" s="453"/>
      <c r="AB204" s="453" t="s">
        <v>429</v>
      </c>
      <c r="AC204" s="428"/>
      <c r="AD204" s="428">
        <v>0</v>
      </c>
      <c r="AE204" s="459" t="s">
        <v>25</v>
      </c>
    </row>
    <row r="205" spans="1:31" s="11" customFormat="1" ht="21" customHeight="1">
      <c r="A205" s="37"/>
      <c r="B205" s="38"/>
      <c r="C205" s="38"/>
      <c r="D205" s="133"/>
      <c r="E205" s="97"/>
      <c r="F205" s="440"/>
      <c r="G205" s="440"/>
      <c r="H205" s="440"/>
      <c r="I205" s="440"/>
      <c r="J205" s="440"/>
      <c r="K205" s="440"/>
      <c r="L205" s="440"/>
      <c r="M205" s="97"/>
      <c r="N205" s="60"/>
      <c r="O205" s="454" t="s">
        <v>478</v>
      </c>
      <c r="P205" s="454"/>
      <c r="Q205" s="454"/>
      <c r="R205" s="454"/>
      <c r="S205" s="454"/>
      <c r="T205" s="453"/>
      <c r="U205" s="453"/>
      <c r="V205" s="453"/>
      <c r="W205" s="453"/>
      <c r="X205" s="453"/>
      <c r="Y205" s="453"/>
      <c r="Z205" s="453"/>
      <c r="AA205" s="453"/>
      <c r="AB205" s="453" t="s">
        <v>429</v>
      </c>
      <c r="AC205" s="428"/>
      <c r="AD205" s="428">
        <v>0</v>
      </c>
      <c r="AE205" s="459" t="s">
        <v>25</v>
      </c>
    </row>
    <row r="206" spans="1:31" s="11" customFormat="1" ht="21" customHeight="1">
      <c r="A206" s="37"/>
      <c r="B206" s="38"/>
      <c r="C206" s="38"/>
      <c r="D206" s="133"/>
      <c r="E206" s="97"/>
      <c r="F206" s="440"/>
      <c r="G206" s="440"/>
      <c r="H206" s="440"/>
      <c r="I206" s="440"/>
      <c r="J206" s="440"/>
      <c r="K206" s="440"/>
      <c r="L206" s="440"/>
      <c r="M206" s="97"/>
      <c r="N206" s="60"/>
      <c r="O206" s="454" t="s">
        <v>479</v>
      </c>
      <c r="P206" s="454"/>
      <c r="Q206" s="454"/>
      <c r="R206" s="454"/>
      <c r="S206" s="454"/>
      <c r="T206" s="453"/>
      <c r="U206" s="453"/>
      <c r="V206" s="453"/>
      <c r="W206" s="453"/>
      <c r="X206" s="453"/>
      <c r="Y206" s="453"/>
      <c r="Z206" s="453"/>
      <c r="AA206" s="453"/>
      <c r="AB206" s="453" t="s">
        <v>447</v>
      </c>
      <c r="AC206" s="428"/>
      <c r="AD206" s="428">
        <v>0</v>
      </c>
      <c r="AE206" s="459" t="s">
        <v>25</v>
      </c>
    </row>
    <row r="207" spans="1:31" s="11" customFormat="1" ht="21" customHeight="1">
      <c r="A207" s="37"/>
      <c r="B207" s="38"/>
      <c r="C207" s="38"/>
      <c r="D207" s="133"/>
      <c r="E207" s="97"/>
      <c r="F207" s="440"/>
      <c r="G207" s="440"/>
      <c r="H207" s="440"/>
      <c r="I207" s="440"/>
      <c r="J207" s="440"/>
      <c r="K207" s="440"/>
      <c r="L207" s="440"/>
      <c r="M207" s="97"/>
      <c r="N207" s="60"/>
      <c r="O207" s="454" t="s">
        <v>480</v>
      </c>
      <c r="P207" s="454"/>
      <c r="Q207" s="454"/>
      <c r="R207" s="454"/>
      <c r="S207" s="454"/>
      <c r="T207" s="453"/>
      <c r="U207" s="453"/>
      <c r="V207" s="453"/>
      <c r="W207" s="453"/>
      <c r="X207" s="453"/>
      <c r="Y207" s="453"/>
      <c r="Z207" s="453"/>
      <c r="AA207" s="453"/>
      <c r="AB207" s="453" t="s">
        <v>447</v>
      </c>
      <c r="AC207" s="428"/>
      <c r="AD207" s="428">
        <v>0</v>
      </c>
      <c r="AE207" s="459" t="s">
        <v>25</v>
      </c>
    </row>
    <row r="208" spans="1:31" s="11" customFormat="1" ht="21" customHeight="1">
      <c r="A208" s="37"/>
      <c r="B208" s="38"/>
      <c r="C208" s="38"/>
      <c r="D208" s="133"/>
      <c r="E208" s="97"/>
      <c r="F208" s="97"/>
      <c r="G208" s="97"/>
      <c r="H208" s="97"/>
      <c r="I208" s="97"/>
      <c r="J208" s="97"/>
      <c r="K208" s="97"/>
      <c r="L208" s="97"/>
      <c r="M208" s="97"/>
      <c r="N208" s="60"/>
      <c r="O208" s="454"/>
      <c r="P208" s="454"/>
      <c r="Q208" s="454"/>
      <c r="R208" s="454"/>
      <c r="S208" s="454"/>
      <c r="T208" s="453"/>
      <c r="U208" s="453"/>
      <c r="V208" s="453"/>
      <c r="W208" s="453"/>
      <c r="X208" s="453"/>
      <c r="Y208" s="453"/>
      <c r="Z208" s="453"/>
      <c r="AA208" s="453"/>
      <c r="AB208" s="453"/>
      <c r="AC208" s="428"/>
      <c r="AD208" s="428"/>
      <c r="AE208" s="459"/>
    </row>
    <row r="209" spans="1:31" s="11" customFormat="1" ht="21" customHeight="1">
      <c r="A209" s="37"/>
      <c r="B209" s="38"/>
      <c r="C209" s="28" t="s">
        <v>132</v>
      </c>
      <c r="D209" s="135">
        <v>22</v>
      </c>
      <c r="E209" s="102">
        <f>AD209/1000</f>
        <v>22</v>
      </c>
      <c r="F209" s="103">
        <f>SUMIF($AB$210:$AB$216,"보조",$AD$210:$AD$216)/1000</f>
        <v>20</v>
      </c>
      <c r="G209" s="103">
        <f>SUMIF($AB$210:$AB$216,"4종",$AD$210:$AD$216)/1000</f>
        <v>2</v>
      </c>
      <c r="H209" s="103">
        <f>SUMIF($AB$210:$AB$216,"6종",$AD$210:$AD$216)/1000</f>
        <v>0</v>
      </c>
      <c r="I209" s="103">
        <f>SUMIF($AB$210:$AB$216,"후원",$AD$210:$AD$216)/1000</f>
        <v>0</v>
      </c>
      <c r="J209" s="103">
        <f>SUMIF($AB$210:$AB$216,"입소",$AD$210:$AD$216)/1000</f>
        <v>0</v>
      </c>
      <c r="K209" s="103">
        <f>SUMIF($AB$210:$AB$216,"법인",$AD$210:$AD$216)/1000</f>
        <v>0</v>
      </c>
      <c r="L209" s="103">
        <f>SUMIF($AB$210:$AB$215,"잡수",$AD$210:$AD$215)/1000</f>
        <v>0</v>
      </c>
      <c r="M209" s="102">
        <f>E209-D209</f>
        <v>0</v>
      </c>
      <c r="N209" s="109">
        <f>IF(D209=0,0,M209/D209)</f>
        <v>0</v>
      </c>
      <c r="O209" s="300" t="s">
        <v>404</v>
      </c>
      <c r="P209" s="153"/>
      <c r="Q209" s="153"/>
      <c r="R209" s="153"/>
      <c r="S209" s="153"/>
      <c r="T209" s="152"/>
      <c r="U209" s="152"/>
      <c r="V209" s="152"/>
      <c r="W209" s="152"/>
      <c r="X209" s="152"/>
      <c r="Y209" s="513" t="s">
        <v>362</v>
      </c>
      <c r="Z209" s="513"/>
      <c r="AA209" s="513"/>
      <c r="AB209" s="513"/>
      <c r="AC209" s="147"/>
      <c r="AD209" s="304">
        <f>ROUNDDOWN(SUM(AD210:AD215),-3)</f>
        <v>22000</v>
      </c>
      <c r="AE209" s="146" t="s">
        <v>25</v>
      </c>
    </row>
    <row r="210" spans="1:31" s="11" customFormat="1" ht="21" customHeight="1">
      <c r="A210" s="37"/>
      <c r="B210" s="38"/>
      <c r="C210" s="38" t="s">
        <v>403</v>
      </c>
      <c r="D210" s="133"/>
      <c r="E210" s="97"/>
      <c r="F210" s="97"/>
      <c r="G210" s="97"/>
      <c r="H210" s="97"/>
      <c r="I210" s="97"/>
      <c r="J210" s="97"/>
      <c r="K210" s="97"/>
      <c r="L210" s="97"/>
      <c r="M210" s="97"/>
      <c r="N210" s="60"/>
      <c r="O210" s="457" t="s">
        <v>405</v>
      </c>
      <c r="P210" s="457"/>
      <c r="Q210" s="457"/>
      <c r="R210" s="457"/>
      <c r="S210" s="456"/>
      <c r="T210" s="456"/>
      <c r="U210" s="456"/>
      <c r="V210" s="456"/>
      <c r="W210" s="456"/>
      <c r="X210" s="456"/>
      <c r="Y210" s="456"/>
      <c r="Z210" s="456"/>
      <c r="AA210" s="456"/>
      <c r="AB210" s="456" t="s">
        <v>326</v>
      </c>
      <c r="AC210" s="456"/>
      <c r="AD210" s="121">
        <v>0</v>
      </c>
      <c r="AE210" s="122" t="s">
        <v>25</v>
      </c>
    </row>
    <row r="211" spans="1:31" s="11" customFormat="1" ht="21" customHeight="1">
      <c r="A211" s="37"/>
      <c r="B211" s="38"/>
      <c r="C211" s="38"/>
      <c r="D211" s="133"/>
      <c r="E211" s="97"/>
      <c r="F211" s="97"/>
      <c r="G211" s="97"/>
      <c r="H211" s="97"/>
      <c r="I211" s="97"/>
      <c r="J211" s="97"/>
      <c r="K211" s="97"/>
      <c r="L211" s="97"/>
      <c r="M211" s="97"/>
      <c r="N211" s="60"/>
      <c r="O211" s="457" t="s">
        <v>406</v>
      </c>
      <c r="P211" s="457"/>
      <c r="Q211" s="457"/>
      <c r="R211" s="457"/>
      <c r="S211" s="456"/>
      <c r="T211" s="456"/>
      <c r="U211" s="456"/>
      <c r="V211" s="456"/>
      <c r="W211" s="456"/>
      <c r="X211" s="456"/>
      <c r="Y211" s="456"/>
      <c r="Z211" s="456"/>
      <c r="AA211" s="456"/>
      <c r="AB211" s="456" t="s">
        <v>326</v>
      </c>
      <c r="AC211" s="456"/>
      <c r="AD211" s="275">
        <v>20000</v>
      </c>
      <c r="AE211" s="122" t="s">
        <v>56</v>
      </c>
    </row>
    <row r="212" spans="1:31" s="11" customFormat="1" ht="21" customHeight="1">
      <c r="A212" s="37"/>
      <c r="B212" s="38"/>
      <c r="C212" s="38"/>
      <c r="D212" s="133"/>
      <c r="E212" s="97"/>
      <c r="F212" s="97"/>
      <c r="G212" s="97"/>
      <c r="H212" s="97"/>
      <c r="I212" s="97"/>
      <c r="J212" s="97"/>
      <c r="K212" s="97"/>
      <c r="L212" s="97"/>
      <c r="M212" s="97"/>
      <c r="N212" s="60"/>
      <c r="O212" s="457" t="s">
        <v>407</v>
      </c>
      <c r="P212" s="457"/>
      <c r="Q212" s="457"/>
      <c r="R212" s="457"/>
      <c r="S212" s="456"/>
      <c r="T212" s="456"/>
      <c r="U212" s="456"/>
      <c r="V212" s="456"/>
      <c r="W212" s="456"/>
      <c r="X212" s="456"/>
      <c r="Y212" s="456"/>
      <c r="Z212" s="456"/>
      <c r="AA212" s="456"/>
      <c r="AB212" s="456" t="s">
        <v>288</v>
      </c>
      <c r="AC212" s="456"/>
      <c r="AD212" s="121"/>
      <c r="AE212" s="122" t="s">
        <v>25</v>
      </c>
    </row>
    <row r="213" spans="1:31" s="11" customFormat="1" ht="21" customHeight="1">
      <c r="A213" s="37"/>
      <c r="B213" s="38"/>
      <c r="C213" s="38"/>
      <c r="D213" s="133"/>
      <c r="E213" s="97"/>
      <c r="F213" s="97"/>
      <c r="G213" s="97"/>
      <c r="H213" s="97"/>
      <c r="I213" s="97"/>
      <c r="J213" s="97"/>
      <c r="K213" s="97"/>
      <c r="L213" s="97"/>
      <c r="M213" s="97"/>
      <c r="N213" s="60"/>
      <c r="O213" s="457" t="s">
        <v>408</v>
      </c>
      <c r="P213" s="457"/>
      <c r="Q213" s="457"/>
      <c r="R213" s="457"/>
      <c r="S213" s="456"/>
      <c r="T213" s="456"/>
      <c r="U213" s="456"/>
      <c r="V213" s="456"/>
      <c r="W213" s="456"/>
      <c r="X213" s="456"/>
      <c r="Y213" s="456"/>
      <c r="Z213" s="456"/>
      <c r="AA213" s="456"/>
      <c r="AB213" s="456" t="s">
        <v>288</v>
      </c>
      <c r="AC213" s="456"/>
      <c r="AD213" s="275">
        <v>2000</v>
      </c>
      <c r="AE213" s="122" t="s">
        <v>56</v>
      </c>
    </row>
    <row r="214" spans="1:31" s="11" customFormat="1" ht="21" customHeight="1">
      <c r="A214" s="37"/>
      <c r="B214" s="38"/>
      <c r="C214" s="38"/>
      <c r="D214" s="133"/>
      <c r="E214" s="97"/>
      <c r="F214" s="97"/>
      <c r="G214" s="97"/>
      <c r="H214" s="97"/>
      <c r="I214" s="97"/>
      <c r="J214" s="97"/>
      <c r="K214" s="97"/>
      <c r="L214" s="97"/>
      <c r="M214" s="97"/>
      <c r="N214" s="60"/>
      <c r="O214" s="457" t="s">
        <v>421</v>
      </c>
      <c r="P214" s="457"/>
      <c r="Q214" s="457"/>
      <c r="R214" s="457"/>
      <c r="S214" s="456"/>
      <c r="T214" s="456"/>
      <c r="U214" s="456"/>
      <c r="V214" s="456"/>
      <c r="W214" s="456"/>
      <c r="X214" s="456"/>
      <c r="Y214" s="456"/>
      <c r="Z214" s="456"/>
      <c r="AA214" s="456"/>
      <c r="AB214" s="456" t="s">
        <v>301</v>
      </c>
      <c r="AC214" s="456"/>
      <c r="AD214" s="121">
        <v>0</v>
      </c>
      <c r="AE214" s="122" t="s">
        <v>25</v>
      </c>
    </row>
    <row r="215" spans="1:31" s="11" customFormat="1" ht="21" customHeight="1">
      <c r="A215" s="37"/>
      <c r="B215" s="38"/>
      <c r="C215" s="38"/>
      <c r="D215" s="133"/>
      <c r="E215" s="97"/>
      <c r="F215" s="97"/>
      <c r="G215" s="97"/>
      <c r="H215" s="97"/>
      <c r="I215" s="97"/>
      <c r="J215" s="97"/>
      <c r="K215" s="97"/>
      <c r="L215" s="97"/>
      <c r="M215" s="97"/>
      <c r="N215" s="60"/>
      <c r="O215" s="457" t="s">
        <v>422</v>
      </c>
      <c r="P215" s="457"/>
      <c r="Q215" s="457"/>
      <c r="R215" s="457"/>
      <c r="S215" s="456"/>
      <c r="T215" s="456"/>
      <c r="U215" s="456"/>
      <c r="V215" s="456"/>
      <c r="W215" s="456"/>
      <c r="X215" s="456"/>
      <c r="Y215" s="456"/>
      <c r="Z215" s="456"/>
      <c r="AA215" s="456"/>
      <c r="AB215" s="456" t="s">
        <v>301</v>
      </c>
      <c r="AC215" s="456"/>
      <c r="AD215" s="427"/>
      <c r="AE215" s="122" t="s">
        <v>56</v>
      </c>
    </row>
    <row r="216" spans="1:31" s="1" customFormat="1" ht="21" customHeight="1" thickBot="1">
      <c r="A216" s="123"/>
      <c r="B216" s="90"/>
      <c r="C216" s="90"/>
      <c r="D216" s="138"/>
      <c r="E216" s="124"/>
      <c r="F216" s="124"/>
      <c r="G216" s="124"/>
      <c r="H216" s="124"/>
      <c r="I216" s="124"/>
      <c r="J216" s="124"/>
      <c r="K216" s="124"/>
      <c r="L216" s="124"/>
      <c r="M216" s="124"/>
      <c r="N216" s="125"/>
      <c r="O216" s="397"/>
      <c r="P216" s="397"/>
      <c r="Q216" s="397"/>
      <c r="R216" s="397"/>
      <c r="S216" s="398"/>
      <c r="T216" s="398"/>
      <c r="U216" s="398"/>
      <c r="V216" s="398"/>
      <c r="W216" s="398"/>
      <c r="X216" s="398"/>
      <c r="Y216" s="398"/>
      <c r="Z216" s="398"/>
      <c r="AA216" s="398"/>
      <c r="AB216" s="398"/>
      <c r="AC216" s="398"/>
      <c r="AD216" s="398"/>
      <c r="AE216" s="399"/>
    </row>
    <row r="218" spans="1:31" ht="21" customHeight="1">
      <c r="E218" s="290"/>
      <c r="F218" s="290"/>
    </row>
    <row r="219" spans="1:31" ht="21" customHeight="1">
      <c r="E219" s="290"/>
      <c r="F219" s="290"/>
    </row>
    <row r="220" spans="1:31" ht="21" customHeight="1">
      <c r="F220" s="290"/>
    </row>
    <row r="221" spans="1:31" ht="21" customHeight="1">
      <c r="E221" s="290"/>
      <c r="F221" s="290"/>
    </row>
    <row r="222" spans="1:31" ht="21" customHeight="1">
      <c r="E222" s="290"/>
      <c r="F222" s="290"/>
    </row>
    <row r="223" spans="1:31" ht="21" customHeight="1">
      <c r="E223" s="290"/>
      <c r="F223" s="290"/>
    </row>
  </sheetData>
  <mergeCells count="15">
    <mergeCell ref="B198:C198"/>
    <mergeCell ref="B120:C120"/>
    <mergeCell ref="B142:C142"/>
    <mergeCell ref="B195:C195"/>
    <mergeCell ref="O125:R125"/>
    <mergeCell ref="V112:W112"/>
    <mergeCell ref="A1:D1"/>
    <mergeCell ref="A2:C2"/>
    <mergeCell ref="D2:D3"/>
    <mergeCell ref="E2:L2"/>
    <mergeCell ref="M2:N2"/>
    <mergeCell ref="O2:AE3"/>
    <mergeCell ref="A4:C4"/>
    <mergeCell ref="B5:C5"/>
    <mergeCell ref="V82:W82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6" firstPageNumber="23" fitToHeight="0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2025-08-05T08:52:10Z</cp:lastPrinted>
  <dcterms:created xsi:type="dcterms:W3CDTF">2003-12-18T04:11:57Z</dcterms:created>
  <dcterms:modified xsi:type="dcterms:W3CDTF">2025-09-10T01:59:21Z</dcterms:modified>
</cp:coreProperties>
</file>