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-15" yWindow="-15" windowWidth="9615" windowHeight="11745" tabRatio="656" activeTab="2"/>
  </bookViews>
  <sheets>
    <sheet name="세입세출총괄표" sheetId="18" r:id="rId1"/>
    <sheet name="세입" sheetId="32" r:id="rId2"/>
    <sheet name="세출" sheetId="33" r:id="rId3"/>
  </sheets>
  <externalReferences>
    <externalReference r:id="rId4"/>
    <externalReference r:id="rId5"/>
    <externalReference r:id="rId6"/>
  </externalReferences>
  <definedNames>
    <definedName name="_xlnm.Print_Area" localSheetId="1">세입!$A$1:$X$89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[2]세입!#REF!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[2]세입!#REF!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[2]세입!#REF!</definedName>
    <definedName name="수정제수당총액">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1">[1]세입!#REF!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[2]세입!#REF!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[2]세입!#REF!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특수근무수당6" localSheetId="1">[3]세입!#REF!</definedName>
    <definedName name="특수근무수당6" localSheetId="2">[3]세입!#REF!</definedName>
    <definedName name="특수근무수당6">[3]세입!#REF!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AD116" i="33" l="1"/>
  <c r="AD115" i="33"/>
  <c r="AD80" i="33"/>
  <c r="AD26" i="33"/>
  <c r="AD21" i="33"/>
  <c r="AD20" i="33" s="1"/>
  <c r="AD10" i="33"/>
  <c r="I7" i="33" l="1"/>
  <c r="J7" i="33"/>
  <c r="K7" i="33"/>
  <c r="L7" i="33"/>
  <c r="AD8" i="33"/>
  <c r="AD9" i="33"/>
  <c r="H12" i="33"/>
  <c r="I12" i="33"/>
  <c r="J12" i="33"/>
  <c r="K12" i="33"/>
  <c r="L12" i="33"/>
  <c r="N12" i="33"/>
  <c r="AD13" i="33"/>
  <c r="F12" i="33" s="1"/>
  <c r="G15" i="33"/>
  <c r="H15" i="33"/>
  <c r="I15" i="33"/>
  <c r="J15" i="33"/>
  <c r="K15" i="33"/>
  <c r="L15" i="33"/>
  <c r="AD17" i="33"/>
  <c r="AD18" i="33"/>
  <c r="AD24" i="33"/>
  <c r="AD25" i="33"/>
  <c r="G28" i="33"/>
  <c r="H28" i="33"/>
  <c r="I28" i="33"/>
  <c r="J28" i="33"/>
  <c r="K28" i="33"/>
  <c r="L28" i="33"/>
  <c r="G31" i="33"/>
  <c r="H31" i="33"/>
  <c r="I31" i="33"/>
  <c r="J31" i="33"/>
  <c r="K31" i="33"/>
  <c r="L31" i="33"/>
  <c r="G51" i="33"/>
  <c r="I51" i="33"/>
  <c r="K51" i="33"/>
  <c r="AD52" i="33"/>
  <c r="AD53" i="33"/>
  <c r="J51" i="33" s="1"/>
  <c r="AD54" i="33"/>
  <c r="AD55" i="33"/>
  <c r="F58" i="33"/>
  <c r="G58" i="33"/>
  <c r="H58" i="33"/>
  <c r="I58" i="33"/>
  <c r="J58" i="33"/>
  <c r="K58" i="33"/>
  <c r="L58" i="33"/>
  <c r="N58" i="33"/>
  <c r="AD58" i="33"/>
  <c r="E58" i="33" s="1"/>
  <c r="M58" i="33" s="1"/>
  <c r="E60" i="33"/>
  <c r="M60" i="33" s="1"/>
  <c r="N60" i="33"/>
  <c r="G62" i="33"/>
  <c r="H62" i="33"/>
  <c r="H57" i="33" s="1"/>
  <c r="I62" i="33"/>
  <c r="K62" i="33"/>
  <c r="AD63" i="33"/>
  <c r="F62" i="33" s="1"/>
  <c r="AD64" i="33"/>
  <c r="AD65" i="33"/>
  <c r="F68" i="33"/>
  <c r="G68" i="33"/>
  <c r="H68" i="33"/>
  <c r="J68" i="33"/>
  <c r="K68" i="33"/>
  <c r="L68" i="33"/>
  <c r="AD69" i="33"/>
  <c r="I68" i="33" s="1"/>
  <c r="G71" i="33"/>
  <c r="H71" i="33"/>
  <c r="I71" i="33"/>
  <c r="J71" i="33"/>
  <c r="K71" i="33"/>
  <c r="L71" i="33"/>
  <c r="AD73" i="33"/>
  <c r="F71" i="33" s="1"/>
  <c r="G78" i="33"/>
  <c r="H78" i="33"/>
  <c r="I78" i="33"/>
  <c r="K78" i="33"/>
  <c r="L78" i="33"/>
  <c r="AD79" i="33"/>
  <c r="AD81" i="33"/>
  <c r="J78" i="33" s="1"/>
  <c r="G84" i="33"/>
  <c r="H84" i="33"/>
  <c r="I84" i="33"/>
  <c r="K84" i="33"/>
  <c r="L84" i="33"/>
  <c r="AD85" i="33"/>
  <c r="AD86" i="33"/>
  <c r="G89" i="33"/>
  <c r="H89" i="33"/>
  <c r="J89" i="33"/>
  <c r="K89" i="33"/>
  <c r="L89" i="33"/>
  <c r="AD90" i="33"/>
  <c r="AD89" i="33" s="1"/>
  <c r="E89" i="33" s="1"/>
  <c r="M89" i="33" s="1"/>
  <c r="N89" i="33" s="1"/>
  <c r="F93" i="33"/>
  <c r="G93" i="33"/>
  <c r="H93" i="33"/>
  <c r="I93" i="33"/>
  <c r="K93" i="33"/>
  <c r="L93" i="33"/>
  <c r="AD94" i="33"/>
  <c r="J93" i="33" s="1"/>
  <c r="F98" i="33"/>
  <c r="G98" i="33"/>
  <c r="H98" i="33"/>
  <c r="I98" i="33"/>
  <c r="J98" i="33"/>
  <c r="K98" i="33"/>
  <c r="L98" i="33"/>
  <c r="N98" i="33"/>
  <c r="AD98" i="33"/>
  <c r="F100" i="33"/>
  <c r="G100" i="33"/>
  <c r="H100" i="33"/>
  <c r="I100" i="33"/>
  <c r="J100" i="33"/>
  <c r="K100" i="33"/>
  <c r="L100" i="33"/>
  <c r="AD100" i="33"/>
  <c r="E100" i="33" s="1"/>
  <c r="M100" i="33" s="1"/>
  <c r="N100" i="33" s="1"/>
  <c r="F104" i="33"/>
  <c r="G104" i="33"/>
  <c r="H104" i="33"/>
  <c r="I104" i="33"/>
  <c r="K104" i="33"/>
  <c r="L104" i="33"/>
  <c r="AD107" i="33"/>
  <c r="AD108" i="33"/>
  <c r="G112" i="33"/>
  <c r="H112" i="33"/>
  <c r="I112" i="33"/>
  <c r="K112" i="33"/>
  <c r="AD113" i="33"/>
  <c r="AD114" i="33"/>
  <c r="AD117" i="33"/>
  <c r="L112" i="33" s="1"/>
  <c r="G119" i="33"/>
  <c r="H119" i="33"/>
  <c r="J119" i="33"/>
  <c r="K119" i="33"/>
  <c r="L119" i="33"/>
  <c r="AD120" i="33"/>
  <c r="I119" i="33" s="1"/>
  <c r="G123" i="33"/>
  <c r="H123" i="33"/>
  <c r="K123" i="33"/>
  <c r="L123" i="33"/>
  <c r="AD124" i="33"/>
  <c r="AD125" i="33"/>
  <c r="I123" i="33" s="1"/>
  <c r="G127" i="33"/>
  <c r="H127" i="33"/>
  <c r="I127" i="33"/>
  <c r="K127" i="33"/>
  <c r="L127" i="33"/>
  <c r="AD128" i="33"/>
  <c r="AD127" i="33" s="1"/>
  <c r="E127" i="33" s="1"/>
  <c r="M127" i="33" s="1"/>
  <c r="N127" i="33" s="1"/>
  <c r="G131" i="33"/>
  <c r="H131" i="33"/>
  <c r="I131" i="33"/>
  <c r="K131" i="33"/>
  <c r="L131" i="33"/>
  <c r="AD132" i="33"/>
  <c r="J131" i="33" s="1"/>
  <c r="F135" i="33"/>
  <c r="G135" i="33"/>
  <c r="H135" i="33"/>
  <c r="I135" i="33"/>
  <c r="K135" i="33"/>
  <c r="L135" i="33"/>
  <c r="AD136" i="33"/>
  <c r="AD137" i="33"/>
  <c r="F139" i="33"/>
  <c r="G139" i="33"/>
  <c r="H139" i="33"/>
  <c r="I139" i="33"/>
  <c r="K139" i="33"/>
  <c r="L139" i="33"/>
  <c r="AD140" i="33"/>
  <c r="J139" i="33" s="1"/>
  <c r="F142" i="33"/>
  <c r="G142" i="33"/>
  <c r="H142" i="33"/>
  <c r="I142" i="33"/>
  <c r="K142" i="33"/>
  <c r="L142" i="33"/>
  <c r="AD143" i="33"/>
  <c r="J142" i="33" s="1"/>
  <c r="F145" i="33"/>
  <c r="G145" i="33"/>
  <c r="H145" i="33"/>
  <c r="I145" i="33"/>
  <c r="K145" i="33"/>
  <c r="L145" i="33"/>
  <c r="AD146" i="33"/>
  <c r="AD145" i="33" s="1"/>
  <c r="E145" i="33" s="1"/>
  <c r="M145" i="33" s="1"/>
  <c r="N145" i="33" s="1"/>
  <c r="F148" i="33"/>
  <c r="G148" i="33"/>
  <c r="H148" i="33"/>
  <c r="I148" i="33"/>
  <c r="K148" i="33"/>
  <c r="L148" i="33"/>
  <c r="AD149" i="33"/>
  <c r="F151" i="33"/>
  <c r="G151" i="33"/>
  <c r="H151" i="33"/>
  <c r="I151" i="33"/>
  <c r="K151" i="33"/>
  <c r="L151" i="33"/>
  <c r="AD152" i="33"/>
  <c r="F154" i="33"/>
  <c r="G154" i="33"/>
  <c r="H154" i="33"/>
  <c r="I154" i="33"/>
  <c r="K154" i="33"/>
  <c r="L154" i="33"/>
  <c r="AD155" i="33"/>
  <c r="F158" i="33"/>
  <c r="F157" i="33" s="1"/>
  <c r="G158" i="33"/>
  <c r="G157" i="33" s="1"/>
  <c r="H158" i="33"/>
  <c r="H157" i="33" s="1"/>
  <c r="I158" i="33"/>
  <c r="I157" i="33" s="1"/>
  <c r="J158" i="33"/>
  <c r="J157" i="33" s="1"/>
  <c r="K158" i="33"/>
  <c r="K157" i="33" s="1"/>
  <c r="L158" i="33"/>
  <c r="L157" i="33" s="1"/>
  <c r="AD158" i="33"/>
  <c r="E158" i="33" s="1"/>
  <c r="N166" i="33"/>
  <c r="AD166" i="33"/>
  <c r="E167" i="33"/>
  <c r="E166" i="33" s="1"/>
  <c r="M166" i="33" s="1"/>
  <c r="F167" i="33"/>
  <c r="F166" i="33" s="1"/>
  <c r="G167" i="33"/>
  <c r="G166" i="33" s="1"/>
  <c r="H167" i="33"/>
  <c r="H166" i="33" s="1"/>
  <c r="I167" i="33"/>
  <c r="I166" i="33" s="1"/>
  <c r="J167" i="33"/>
  <c r="J166" i="33" s="1"/>
  <c r="K167" i="33"/>
  <c r="K166" i="33" s="1"/>
  <c r="L167" i="33"/>
  <c r="L166" i="33" s="1"/>
  <c r="M167" i="33"/>
  <c r="N167" i="33"/>
  <c r="F170" i="33"/>
  <c r="F169" i="33" s="1"/>
  <c r="G170" i="33"/>
  <c r="G169" i="33" s="1"/>
  <c r="H170" i="33"/>
  <c r="H169" i="33" s="1"/>
  <c r="I170" i="33"/>
  <c r="I169" i="33" s="1"/>
  <c r="J170" i="33"/>
  <c r="J169" i="33" s="1"/>
  <c r="K170" i="33"/>
  <c r="K169" i="33" s="1"/>
  <c r="L170" i="33"/>
  <c r="L169" i="33" s="1"/>
  <c r="M170" i="33"/>
  <c r="N170" i="33" s="1"/>
  <c r="AD170" i="33"/>
  <c r="AD169" i="33" s="1"/>
  <c r="AD23" i="33" l="1"/>
  <c r="J151" i="33"/>
  <c r="L62" i="33"/>
  <c r="E170" i="33"/>
  <c r="E169" i="33" s="1"/>
  <c r="M169" i="33" s="1"/>
  <c r="N169" i="33" s="1"/>
  <c r="AD12" i="33"/>
  <c r="AD7" i="33"/>
  <c r="E7" i="33" s="1"/>
  <c r="AD139" i="33"/>
  <c r="E139" i="33" s="1"/>
  <c r="M139" i="33" s="1"/>
  <c r="N139" i="33" s="1"/>
  <c r="AD123" i="33"/>
  <c r="E123" i="33" s="1"/>
  <c r="M123" i="33" s="1"/>
  <c r="N123" i="33" s="1"/>
  <c r="AD71" i="33"/>
  <c r="E71" i="33" s="1"/>
  <c r="M71" i="33" s="1"/>
  <c r="N71" i="33" s="1"/>
  <c r="AD62" i="33"/>
  <c r="E62" i="33" s="1"/>
  <c r="M62" i="33" s="1"/>
  <c r="N62" i="33" s="1"/>
  <c r="I57" i="33"/>
  <c r="J148" i="33"/>
  <c r="J145" i="33"/>
  <c r="J112" i="33"/>
  <c r="I97" i="33"/>
  <c r="I96" i="33" s="1"/>
  <c r="F97" i="33"/>
  <c r="F96" i="33" s="1"/>
  <c r="AD78" i="33"/>
  <c r="E78" i="33" s="1"/>
  <c r="M78" i="33" s="1"/>
  <c r="N78" i="33" s="1"/>
  <c r="K57" i="33"/>
  <c r="L57" i="33"/>
  <c r="L51" i="33"/>
  <c r="L6" i="33" s="1"/>
  <c r="I6" i="33"/>
  <c r="AD157" i="33"/>
  <c r="AD151" i="33"/>
  <c r="E151" i="33" s="1"/>
  <c r="M151" i="33" s="1"/>
  <c r="N151" i="33" s="1"/>
  <c r="AD148" i="33"/>
  <c r="E148" i="33" s="1"/>
  <c r="M148" i="33" s="1"/>
  <c r="N148" i="33" s="1"/>
  <c r="AD142" i="33"/>
  <c r="E142" i="33" s="1"/>
  <c r="M142" i="33" s="1"/>
  <c r="N142" i="33" s="1"/>
  <c r="F134" i="33"/>
  <c r="J135" i="33"/>
  <c r="H134" i="33"/>
  <c r="AD131" i="33"/>
  <c r="E131" i="33" s="1"/>
  <c r="M131" i="33" s="1"/>
  <c r="N131" i="33" s="1"/>
  <c r="J127" i="33"/>
  <c r="J111" i="33" s="1"/>
  <c r="AD112" i="33"/>
  <c r="E112" i="33" s="1"/>
  <c r="F112" i="33"/>
  <c r="F111" i="33" s="1"/>
  <c r="F110" i="33" s="1"/>
  <c r="J104" i="33"/>
  <c r="J97" i="33" s="1"/>
  <c r="J96" i="33" s="1"/>
  <c r="H97" i="33"/>
  <c r="H96" i="33" s="1"/>
  <c r="K97" i="33"/>
  <c r="K96" i="33" s="1"/>
  <c r="G97" i="33"/>
  <c r="G96" i="33" s="1"/>
  <c r="I89" i="33"/>
  <c r="J84" i="33"/>
  <c r="J67" i="33" s="1"/>
  <c r="H67" i="33"/>
  <c r="AD68" i="33"/>
  <c r="E68" i="33" s="1"/>
  <c r="M68" i="33" s="1"/>
  <c r="N68" i="33" s="1"/>
  <c r="J62" i="33"/>
  <c r="J57" i="33" s="1"/>
  <c r="G57" i="33"/>
  <c r="F57" i="33"/>
  <c r="AD51" i="33"/>
  <c r="E51" i="33" s="1"/>
  <c r="M51" i="33" s="1"/>
  <c r="N51" i="33" s="1"/>
  <c r="AD16" i="33"/>
  <c r="AD15" i="33" s="1"/>
  <c r="E15" i="33" s="1"/>
  <c r="M15" i="33" s="1"/>
  <c r="N15" i="33" s="1"/>
  <c r="G12" i="33"/>
  <c r="E12" i="33" s="1"/>
  <c r="M12" i="33" s="1"/>
  <c r="K134" i="33"/>
  <c r="G134" i="33"/>
  <c r="L134" i="33"/>
  <c r="I134" i="33"/>
  <c r="I111" i="33"/>
  <c r="H111" i="33"/>
  <c r="L111" i="33"/>
  <c r="L110" i="33" s="1"/>
  <c r="K111" i="33"/>
  <c r="G111" i="33"/>
  <c r="L97" i="33"/>
  <c r="L96" i="33" s="1"/>
  <c r="L67" i="33"/>
  <c r="I67" i="33"/>
  <c r="F78" i="33"/>
  <c r="F67" i="33" s="1"/>
  <c r="K67" i="33"/>
  <c r="G67" i="33"/>
  <c r="K6" i="33"/>
  <c r="J6" i="33"/>
  <c r="G6" i="33"/>
  <c r="J154" i="33"/>
  <c r="M158" i="33"/>
  <c r="N158" i="33" s="1"/>
  <c r="E157" i="33"/>
  <c r="M157" i="33" s="1"/>
  <c r="N157" i="33" s="1"/>
  <c r="AD135" i="33"/>
  <c r="AD119" i="33"/>
  <c r="E119" i="33" s="1"/>
  <c r="M119" i="33" s="1"/>
  <c r="N119" i="33" s="1"/>
  <c r="H51" i="33"/>
  <c r="H6" i="33" s="1"/>
  <c r="H5" i="33" s="1"/>
  <c r="F7" i="33"/>
  <c r="AD154" i="33"/>
  <c r="E154" i="33" s="1"/>
  <c r="M154" i="33" s="1"/>
  <c r="N154" i="33" s="1"/>
  <c r="AD104" i="33"/>
  <c r="E104" i="33" s="1"/>
  <c r="M104" i="33" s="1"/>
  <c r="N104" i="33" s="1"/>
  <c r="E98" i="33"/>
  <c r="AD93" i="33"/>
  <c r="E93" i="33" s="1"/>
  <c r="M93" i="33" s="1"/>
  <c r="N93" i="33" s="1"/>
  <c r="AD84" i="33"/>
  <c r="E84" i="33" s="1"/>
  <c r="M84" i="33" s="1"/>
  <c r="N84" i="33" s="1"/>
  <c r="F15" i="33"/>
  <c r="E57" i="33" l="1"/>
  <c r="M57" i="33" s="1"/>
  <c r="N57" i="33" s="1"/>
  <c r="H110" i="33"/>
  <c r="H4" i="33" s="1"/>
  <c r="G110" i="33"/>
  <c r="I110" i="33"/>
  <c r="K110" i="33"/>
  <c r="AD57" i="33"/>
  <c r="L5" i="33"/>
  <c r="L4" i="33" s="1"/>
  <c r="J134" i="33"/>
  <c r="K5" i="33"/>
  <c r="K4" i="33" s="1"/>
  <c r="I5" i="33"/>
  <c r="G5" i="33"/>
  <c r="J110" i="33"/>
  <c r="J5" i="33"/>
  <c r="E135" i="33"/>
  <c r="AD134" i="33"/>
  <c r="AD67" i="33"/>
  <c r="M98" i="33"/>
  <c r="E97" i="33"/>
  <c r="S29" i="33"/>
  <c r="AD111" i="33"/>
  <c r="AD97" i="33"/>
  <c r="AD96" i="33" s="1"/>
  <c r="M7" i="33"/>
  <c r="N7" i="33" s="1"/>
  <c r="E111" i="33"/>
  <c r="M112" i="33"/>
  <c r="N112" i="33" s="1"/>
  <c r="E67" i="33"/>
  <c r="M67" i="33" s="1"/>
  <c r="N67" i="33" s="1"/>
  <c r="G4" i="33" l="1"/>
  <c r="I4" i="33"/>
  <c r="AD110" i="33"/>
  <c r="J4" i="33"/>
  <c r="M111" i="33"/>
  <c r="N111" i="33" s="1"/>
  <c r="AD29" i="33"/>
  <c r="S34" i="33"/>
  <c r="M97" i="33"/>
  <c r="N97" i="33" s="1"/>
  <c r="E96" i="33"/>
  <c r="M96" i="33" s="1"/>
  <c r="N96" i="33" s="1"/>
  <c r="M135" i="33"/>
  <c r="N135" i="33" s="1"/>
  <c r="E134" i="33"/>
  <c r="M134" i="33" s="1"/>
  <c r="N134" i="33" s="1"/>
  <c r="F28" i="33" l="1"/>
  <c r="AD28" i="33"/>
  <c r="S37" i="33"/>
  <c r="AD34" i="33"/>
  <c r="E110" i="33"/>
  <c r="M110" i="33" s="1"/>
  <c r="N110" i="33" s="1"/>
  <c r="AD37" i="33" l="1"/>
  <c r="S43" i="33"/>
  <c r="AD33" i="33"/>
  <c r="E28" i="33"/>
  <c r="AD43" i="33" l="1"/>
  <c r="AD42" i="33" s="1"/>
  <c r="S46" i="33"/>
  <c r="AD46" i="33" s="1"/>
  <c r="AD45" i="33" s="1"/>
  <c r="M28" i="33"/>
  <c r="N28" i="33" s="1"/>
  <c r="AD36" i="33"/>
  <c r="S40" i="33"/>
  <c r="AD40" i="33" s="1"/>
  <c r="AD39" i="33" l="1"/>
  <c r="AD31" i="33" s="1"/>
  <c r="F31" i="33"/>
  <c r="F6" i="33" s="1"/>
  <c r="F5" i="33" s="1"/>
  <c r="F4" i="33" s="1"/>
  <c r="E31" i="33" l="1"/>
  <c r="AD6" i="33"/>
  <c r="AD5" i="33" s="1"/>
  <c r="AD4" i="33" s="1"/>
  <c r="M31" i="33" l="1"/>
  <c r="N31" i="33" s="1"/>
  <c r="E6" i="33"/>
  <c r="E5" i="33" l="1"/>
  <c r="M6" i="33"/>
  <c r="N6" i="33" s="1"/>
  <c r="M5" i="33" l="1"/>
  <c r="N5" i="33" s="1"/>
  <c r="E4" i="33"/>
  <c r="M4" i="33" s="1"/>
  <c r="N4" i="33" s="1"/>
  <c r="W6" i="32" l="1"/>
  <c r="W5" i="32" s="1"/>
  <c r="G7" i="32"/>
  <c r="W7" i="32"/>
  <c r="E7" i="32" s="1"/>
  <c r="F7" i="32" s="1"/>
  <c r="E9" i="32"/>
  <c r="F9" i="32" s="1"/>
  <c r="G9" i="32"/>
  <c r="W9" i="32"/>
  <c r="E12" i="32"/>
  <c r="F12" i="32" s="1"/>
  <c r="G12" i="32"/>
  <c r="W18" i="32"/>
  <c r="W16" i="32" s="1"/>
  <c r="E16" i="32" s="1"/>
  <c r="W21" i="32"/>
  <c r="E22" i="32"/>
  <c r="F22" i="32" s="1"/>
  <c r="G22" i="32" s="1"/>
  <c r="W24" i="32"/>
  <c r="E25" i="32"/>
  <c r="F25" i="32" s="1"/>
  <c r="W29" i="32"/>
  <c r="E29" i="32" s="1"/>
  <c r="E31" i="32"/>
  <c r="F31" i="32" s="1"/>
  <c r="G31" i="32"/>
  <c r="W31" i="32"/>
  <c r="W35" i="32"/>
  <c r="W34" i="32" s="1"/>
  <c r="G37" i="32"/>
  <c r="G39" i="32"/>
  <c r="W39" i="32"/>
  <c r="W38" i="32" s="1"/>
  <c r="W37" i="32" s="1"/>
  <c r="G41" i="32"/>
  <c r="W41" i="32"/>
  <c r="E42" i="32"/>
  <c r="E41" i="32" s="1"/>
  <c r="F41" i="32" s="1"/>
  <c r="G42" i="32"/>
  <c r="W45" i="32"/>
  <c r="E46" i="32"/>
  <c r="F46" i="32" s="1"/>
  <c r="G46" i="32"/>
  <c r="E48" i="32"/>
  <c r="W48" i="32"/>
  <c r="W44" i="32" s="1"/>
  <c r="E49" i="32"/>
  <c r="F49" i="32" s="1"/>
  <c r="W53" i="32"/>
  <c r="G56" i="32"/>
  <c r="W56" i="32"/>
  <c r="E56" i="32" s="1"/>
  <c r="F56" i="32" s="1"/>
  <c r="G59" i="32"/>
  <c r="W59" i="32"/>
  <c r="E59" i="32" s="1"/>
  <c r="F59" i="32" s="1"/>
  <c r="W62" i="32"/>
  <c r="E62" i="32" s="1"/>
  <c r="F62" i="32" s="1"/>
  <c r="G62" i="32" s="1"/>
  <c r="W66" i="32"/>
  <c r="E66" i="32" s="1"/>
  <c r="F66" i="32" s="1"/>
  <c r="G66" i="32" s="1"/>
  <c r="G69" i="32"/>
  <c r="W69" i="32"/>
  <c r="E70" i="32"/>
  <c r="E69" i="32" s="1"/>
  <c r="F69" i="32" s="1"/>
  <c r="G70" i="32"/>
  <c r="W70" i="32"/>
  <c r="W74" i="32"/>
  <c r="E74" i="32" s="1"/>
  <c r="W77" i="32"/>
  <c r="W76" i="32" s="1"/>
  <c r="W84" i="32"/>
  <c r="E84" i="32" s="1"/>
  <c r="W88" i="32"/>
  <c r="W65" i="32" l="1"/>
  <c r="E24" i="32"/>
  <c r="E39" i="32"/>
  <c r="F39" i="32" s="1"/>
  <c r="W52" i="32"/>
  <c r="W51" i="32" s="1"/>
  <c r="W33" i="32"/>
  <c r="E34" i="32"/>
  <c r="E28" i="32"/>
  <c r="F29" i="32"/>
  <c r="F16" i="32"/>
  <c r="E15" i="32"/>
  <c r="F15" i="32" s="1"/>
  <c r="G15" i="32" s="1"/>
  <c r="F74" i="32"/>
  <c r="E73" i="32"/>
  <c r="G73" i="32"/>
  <c r="F48" i="32"/>
  <c r="F84" i="32"/>
  <c r="G84" i="32" s="1"/>
  <c r="E83" i="32"/>
  <c r="F83" i="32" s="1"/>
  <c r="G83" i="32" s="1"/>
  <c r="W83" i="32"/>
  <c r="E77" i="32"/>
  <c r="G74" i="32"/>
  <c r="W73" i="32"/>
  <c r="F70" i="32"/>
  <c r="E65" i="32"/>
  <c r="F65" i="32" s="1"/>
  <c r="G65" i="32" s="1"/>
  <c r="E53" i="32"/>
  <c r="G49" i="32"/>
  <c r="G48" i="32"/>
  <c r="E45" i="32"/>
  <c r="F42" i="32"/>
  <c r="E38" i="32"/>
  <c r="G25" i="32"/>
  <c r="G24" i="32"/>
  <c r="E21" i="32"/>
  <c r="F21" i="32" s="1"/>
  <c r="G21" i="32" s="1"/>
  <c r="G16" i="32"/>
  <c r="W15" i="32"/>
  <c r="W11" i="32" s="1"/>
  <c r="E5" i="32"/>
  <c r="W28" i="32"/>
  <c r="W27" i="32" s="1"/>
  <c r="G45" i="32"/>
  <c r="G38" i="32"/>
  <c r="F5" i="32" l="1"/>
  <c r="G5" i="32" s="1"/>
  <c r="E11" i="32"/>
  <c r="F11" i="32" s="1"/>
  <c r="G11" i="32" s="1"/>
  <c r="E44" i="32"/>
  <c r="F45" i="32"/>
  <c r="E52" i="32"/>
  <c r="F53" i="32"/>
  <c r="G53" i="32" s="1"/>
  <c r="F28" i="32"/>
  <c r="E76" i="32"/>
  <c r="F76" i="32" s="1"/>
  <c r="G76" i="32" s="1"/>
  <c r="F77" i="32"/>
  <c r="G77" i="32" s="1"/>
  <c r="F24" i="32"/>
  <c r="F73" i="32"/>
  <c r="E72" i="32"/>
  <c r="F72" i="32" s="1"/>
  <c r="G72" i="32" s="1"/>
  <c r="F34" i="32"/>
  <c r="G34" i="32" s="1"/>
  <c r="E33" i="32"/>
  <c r="F33" i="32" s="1"/>
  <c r="G33" i="32" s="1"/>
  <c r="F38" i="32"/>
  <c r="E37" i="32"/>
  <c r="F37" i="32" s="1"/>
  <c r="W72" i="32"/>
  <c r="W4" i="32" s="1"/>
  <c r="E27" i="32" l="1"/>
  <c r="F27" i="32" s="1"/>
  <c r="G27" i="32" s="1"/>
  <c r="E51" i="32"/>
  <c r="F51" i="32" s="1"/>
  <c r="G51" i="32" s="1"/>
  <c r="F52" i="32"/>
  <c r="G52" i="32" s="1"/>
  <c r="G44" i="32"/>
  <c r="F44" i="32"/>
  <c r="F4" i="32" l="1"/>
  <c r="G4" i="32" s="1"/>
  <c r="E4" i="32"/>
  <c r="I27" i="18" l="1"/>
  <c r="I25" i="18"/>
  <c r="I23" i="18"/>
  <c r="I16" i="18"/>
  <c r="I12" i="18"/>
  <c r="I8" i="18"/>
  <c r="D22" i="18"/>
  <c r="D20" i="18"/>
  <c r="D18" i="18"/>
  <c r="D15" i="18"/>
  <c r="D10" i="18"/>
  <c r="D8" i="18"/>
  <c r="I7" i="18" l="1"/>
  <c r="D7" i="18"/>
  <c r="J27" i="18" l="1"/>
  <c r="J25" i="18"/>
  <c r="J23" i="18"/>
  <c r="J16" i="18"/>
  <c r="J12" i="18"/>
  <c r="J8" i="18"/>
  <c r="E22" i="18"/>
  <c r="E20" i="18"/>
  <c r="E18" i="18"/>
  <c r="E15" i="18"/>
  <c r="J7" i="18" l="1"/>
  <c r="E10" i="18" l="1"/>
  <c r="E8" i="18"/>
  <c r="E7" i="18" l="1"/>
  <c r="F13" i="18" l="1"/>
  <c r="K26" i="18" l="1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K28" i="18" l="1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F7" i="18" l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<sst xmlns="http://schemas.openxmlformats.org/spreadsheetml/2006/main" count="1034" uniqueCount="362">
  <si>
    <t>기타운영비</t>
    <phoneticPr fontId="8" type="noConversion"/>
  </si>
  <si>
    <t>운      영      비</t>
    <phoneticPr fontId="11" type="noConversion"/>
  </si>
  <si>
    <t>재산조성비</t>
    <phoneticPr fontId="11" type="noConversion"/>
  </si>
  <si>
    <t>시      설      비</t>
    <phoneticPr fontId="11" type="noConversion"/>
  </si>
  <si>
    <t>후원금  수입</t>
    <phoneticPr fontId="11" type="noConversion"/>
  </si>
  <si>
    <t>지정      후원금</t>
    <phoneticPr fontId="11" type="noConversion"/>
  </si>
  <si>
    <t>자 산   취 득 비</t>
    <phoneticPr fontId="11" type="noConversion"/>
  </si>
  <si>
    <t>비지정   후원금</t>
    <phoneticPr fontId="11" type="noConversion"/>
  </si>
  <si>
    <t>시설장비유지비</t>
    <phoneticPr fontId="11" type="noConversion"/>
  </si>
  <si>
    <t>전    입    금</t>
    <phoneticPr fontId="11" type="noConversion"/>
  </si>
  <si>
    <t>법인      전입금</t>
    <phoneticPr fontId="11" type="noConversion"/>
  </si>
  <si>
    <t>사   업   비</t>
    <phoneticPr fontId="11" type="noConversion"/>
  </si>
  <si>
    <t>생      계      비</t>
    <phoneticPr fontId="11" type="noConversion"/>
  </si>
  <si>
    <t>이    월    금</t>
    <phoneticPr fontId="11" type="noConversion"/>
  </si>
  <si>
    <t>전년도   이월금</t>
    <phoneticPr fontId="11" type="noConversion"/>
  </si>
  <si>
    <t>수용기관   경비</t>
    <phoneticPr fontId="11" type="noConversion"/>
  </si>
  <si>
    <t>잡    수    입</t>
    <phoneticPr fontId="11" type="noConversion"/>
  </si>
  <si>
    <t>잡      수      입</t>
    <phoneticPr fontId="11" type="noConversion"/>
  </si>
  <si>
    <t>피      복      비</t>
    <phoneticPr fontId="11" type="noConversion"/>
  </si>
  <si>
    <t>의      료      비</t>
    <phoneticPr fontId="11" type="noConversion"/>
  </si>
  <si>
    <t>연      료      비</t>
    <phoneticPr fontId="11" type="noConversion"/>
  </si>
  <si>
    <t>프로그램사업비</t>
    <phoneticPr fontId="11" type="noConversion"/>
  </si>
  <si>
    <t>보조금   반납금</t>
    <phoneticPr fontId="11" type="noConversion"/>
  </si>
  <si>
    <t>잡   지   출</t>
    <phoneticPr fontId="11" type="noConversion"/>
  </si>
  <si>
    <t>잡      지      출</t>
    <phoneticPr fontId="11" type="noConversion"/>
  </si>
  <si>
    <t>예   비   비</t>
    <phoneticPr fontId="11" type="noConversion"/>
  </si>
  <si>
    <t>예      비      비</t>
    <phoneticPr fontId="11" type="noConversion"/>
  </si>
  <si>
    <t>보조금반환</t>
    <phoneticPr fontId="11" type="noConversion"/>
  </si>
  <si>
    <t>세       입</t>
    <phoneticPr fontId="11" type="noConversion"/>
  </si>
  <si>
    <t>세       출</t>
    <phoneticPr fontId="11" type="noConversion"/>
  </si>
  <si>
    <t>구        분</t>
    <phoneticPr fontId="11" type="noConversion"/>
  </si>
  <si>
    <t>증감</t>
    <phoneticPr fontId="11" type="noConversion"/>
  </si>
  <si>
    <t>합        계</t>
    <phoneticPr fontId="11" type="noConversion"/>
  </si>
  <si>
    <t>입소비용수입</t>
    <phoneticPr fontId="11" type="noConversion"/>
  </si>
  <si>
    <t>입소비용   수입</t>
    <phoneticPr fontId="11" type="noConversion"/>
  </si>
  <si>
    <t>사   무   비</t>
    <phoneticPr fontId="11" type="noConversion"/>
  </si>
  <si>
    <t>인      건      비</t>
    <phoneticPr fontId="11" type="noConversion"/>
  </si>
  <si>
    <t>보조금  수입</t>
    <phoneticPr fontId="11" type="noConversion"/>
  </si>
  <si>
    <t>업 무   추 진 비</t>
    <phoneticPr fontId="11" type="noConversion"/>
  </si>
  <si>
    <t>목</t>
    <phoneticPr fontId="8" type="noConversion"/>
  </si>
  <si>
    <t>국고보조금</t>
    <phoneticPr fontId="11" type="noConversion"/>
  </si>
  <si>
    <t>시도보조금</t>
    <phoneticPr fontId="11" type="noConversion"/>
  </si>
  <si>
    <t>시군구보조금</t>
    <phoneticPr fontId="11" type="noConversion"/>
  </si>
  <si>
    <t>소계</t>
    <phoneticPr fontId="8" type="noConversion"/>
  </si>
  <si>
    <t>(단위:원)</t>
    <phoneticPr fontId="11" type="noConversion"/>
  </si>
  <si>
    <t>기타 보조금</t>
    <phoneticPr fontId="11" type="noConversion"/>
  </si>
  <si>
    <t>생계비</t>
    <phoneticPr fontId="8" type="noConversion"/>
  </si>
  <si>
    <t>운영비</t>
    <phoneticPr fontId="8" type="noConversion"/>
  </si>
  <si>
    <t>후원금</t>
    <phoneticPr fontId="8" type="noConversion"/>
  </si>
  <si>
    <t>전입금</t>
    <phoneticPr fontId="8" type="noConversion"/>
  </si>
  <si>
    <t>이월금</t>
    <phoneticPr fontId="8" type="noConversion"/>
  </si>
  <si>
    <t>잡수입</t>
    <phoneticPr fontId="8" type="noConversion"/>
  </si>
  <si>
    <t>사무비</t>
    <phoneticPr fontId="8" type="noConversion"/>
  </si>
  <si>
    <t>인건비</t>
    <phoneticPr fontId="8" type="noConversion"/>
  </si>
  <si>
    <t>일용잡급</t>
    <phoneticPr fontId="8" type="noConversion"/>
  </si>
  <si>
    <t>시설비</t>
    <phoneticPr fontId="8" type="noConversion"/>
  </si>
  <si>
    <t>사업비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</si>
  <si>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</si>
  <si>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</si>
  <si>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</si>
  <si>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재산조성비</t>
    <phoneticPr fontId="8" type="noConversion"/>
  </si>
  <si>
    <t>업무추진비</t>
    <phoneticPr fontId="8" type="noConversion"/>
  </si>
  <si>
    <t>2020년 본예산</t>
    <phoneticPr fontId="11" type="noConversion"/>
  </si>
  <si>
    <t xml:space="preserve"> </t>
    <phoneticPr fontId="8" type="noConversion"/>
  </si>
  <si>
    <t>□ 2020년도 1차추경예산 세 입 · 세 출 총  괄  표</t>
    <phoneticPr fontId="11" type="noConversion"/>
  </si>
  <si>
    <t>2020년 1차추경예산</t>
    <phoneticPr fontId="8" type="noConversion"/>
  </si>
  <si>
    <t>원</t>
    <phoneticPr fontId="8" type="noConversion"/>
  </si>
  <si>
    <t>=</t>
  </si>
  <si>
    <t>월</t>
  </si>
  <si>
    <t>×</t>
  </si>
  <si>
    <t>명</t>
  </si>
  <si>
    <t>원</t>
  </si>
  <si>
    <t>4. 직원 급식비</t>
    <phoneticPr fontId="8" type="noConversion"/>
  </si>
  <si>
    <t>3. 후원금 체크카드환급금</t>
    <phoneticPr fontId="8" type="noConversion"/>
  </si>
  <si>
    <t>2. 잡수입 체크카드환급금</t>
    <phoneticPr fontId="8" type="noConversion"/>
  </si>
  <si>
    <t>1. 입소비용 체크카드환급액</t>
    <phoneticPr fontId="8" type="noConversion"/>
  </si>
  <si>
    <t>소계 :</t>
    <phoneticPr fontId="8" type="noConversion"/>
  </si>
  <si>
    <t>합계:</t>
    <phoneticPr fontId="8" type="noConversion"/>
  </si>
  <si>
    <t>※ 체크카드환급 및 직원급식비</t>
    <phoneticPr fontId="8" type="noConversion"/>
  </si>
  <si>
    <t xml:space="preserve"> &lt;기타잡수입&gt;</t>
    <phoneticPr fontId="8" type="noConversion"/>
  </si>
  <si>
    <t>기 타</t>
    <phoneticPr fontId="8" type="noConversion"/>
  </si>
  <si>
    <t>4. 후원금 이자수입</t>
    <phoneticPr fontId="8" type="noConversion"/>
  </si>
  <si>
    <t>3. 잡수입 이자수입</t>
    <phoneticPr fontId="8" type="noConversion"/>
  </si>
  <si>
    <t>2. 입소비용 이자수입</t>
    <phoneticPr fontId="8" type="noConversion"/>
  </si>
  <si>
    <t>1. 보조금 이자수입</t>
    <phoneticPr fontId="8" type="noConversion"/>
  </si>
  <si>
    <t>수 입</t>
    <phoneticPr fontId="8" type="noConversion"/>
  </si>
  <si>
    <t>※ 예금이자수입</t>
    <phoneticPr fontId="8" type="noConversion"/>
  </si>
  <si>
    <t>금이자</t>
    <phoneticPr fontId="8" type="noConversion"/>
  </si>
  <si>
    <t xml:space="preserve"> &lt;기타예금이자수입&gt;</t>
    <phoneticPr fontId="8" type="noConversion"/>
  </si>
  <si>
    <t>기타예</t>
    <phoneticPr fontId="8" type="noConversion"/>
  </si>
  <si>
    <t xml:space="preserve"> &lt;불용품매각대&gt;</t>
    <phoneticPr fontId="8" type="noConversion"/>
  </si>
  <si>
    <t>매각대</t>
    <phoneticPr fontId="8" type="noConversion"/>
  </si>
  <si>
    <t>불용품</t>
    <phoneticPr fontId="8" type="noConversion"/>
  </si>
  <si>
    <t>총  계 :</t>
    <phoneticPr fontId="8" type="noConversion"/>
  </si>
  <si>
    <t>※ 잡 수 입</t>
    <phoneticPr fontId="8" type="noConversion"/>
  </si>
  <si>
    <t>소  계</t>
    <phoneticPr fontId="8" type="noConversion"/>
  </si>
  <si>
    <t>잡수입</t>
  </si>
  <si>
    <t xml:space="preserve"> &lt;이월 사업비&gt;</t>
    <phoneticPr fontId="8" type="noConversion"/>
  </si>
  <si>
    <t>이 월</t>
    <phoneticPr fontId="8" type="noConversion"/>
  </si>
  <si>
    <t xml:space="preserve"> * 후원금이월액</t>
    <phoneticPr fontId="8" type="noConversion"/>
  </si>
  <si>
    <t>(후원)</t>
    <phoneticPr fontId="8" type="noConversion"/>
  </si>
  <si>
    <t xml:space="preserve"> &lt;후원금이월금&gt;</t>
    <phoneticPr fontId="8" type="noConversion"/>
  </si>
  <si>
    <t xml:space="preserve"> &lt;전년도이월금(후원금)&gt;</t>
    <phoneticPr fontId="8" type="noConversion"/>
  </si>
  <si>
    <t>전년도</t>
    <phoneticPr fontId="8" type="noConversion"/>
  </si>
  <si>
    <t xml:space="preserve"> * 잡수입이월액</t>
    <phoneticPr fontId="8" type="noConversion"/>
  </si>
  <si>
    <t xml:space="preserve"> &lt;잡수입이월금&gt;</t>
    <phoneticPr fontId="8" type="noConversion"/>
  </si>
  <si>
    <t xml:space="preserve"> * 법인전입금이월액</t>
    <phoneticPr fontId="8" type="noConversion"/>
  </si>
  <si>
    <t xml:space="preserve"> &lt;법인전입금이월금&gt;</t>
    <phoneticPr fontId="8" type="noConversion"/>
  </si>
  <si>
    <t xml:space="preserve"> * 운영비보조금이월액</t>
    <phoneticPr fontId="8" type="noConversion"/>
  </si>
  <si>
    <t xml:space="preserve"> &lt;보조금이월금&gt;</t>
    <phoneticPr fontId="8" type="noConversion"/>
  </si>
  <si>
    <t xml:space="preserve"> * 입소비용이월액</t>
    <phoneticPr fontId="8" type="noConversion"/>
  </si>
  <si>
    <t xml:space="preserve"> &lt;입소비용이월금&gt;</t>
    <phoneticPr fontId="8" type="noConversion"/>
  </si>
  <si>
    <t xml:space="preserve"> &lt;전년도 이월금&gt;</t>
    <phoneticPr fontId="8" type="noConversion"/>
  </si>
  <si>
    <t>※이 월 금</t>
    <phoneticPr fontId="8" type="noConversion"/>
  </si>
  <si>
    <t>이월금</t>
  </si>
  <si>
    <t xml:space="preserve">  *법인 전입금(후원금)</t>
    <phoneticPr fontId="8" type="noConversion"/>
  </si>
  <si>
    <t xml:space="preserve"> &lt;법인 전입금(후원금)&gt;</t>
    <phoneticPr fontId="8" type="noConversion"/>
  </si>
  <si>
    <t>법인</t>
    <phoneticPr fontId="8" type="noConversion"/>
  </si>
  <si>
    <t xml:space="preserve"> *법인전입금</t>
    <phoneticPr fontId="8" type="noConversion"/>
  </si>
  <si>
    <t xml:space="preserve"> &lt;법인 전입금&gt;</t>
    <phoneticPr fontId="8" type="noConversion"/>
  </si>
  <si>
    <t>법 인</t>
    <phoneticPr fontId="8" type="noConversion"/>
  </si>
  <si>
    <t>※법인 전입금</t>
    <phoneticPr fontId="8" type="noConversion"/>
  </si>
  <si>
    <t>전입금</t>
  </si>
  <si>
    <t>차입금</t>
    <phoneticPr fontId="8" type="noConversion"/>
  </si>
  <si>
    <t xml:space="preserve"> &lt;기타 차입금&gt;</t>
    <phoneticPr fontId="8" type="noConversion"/>
  </si>
  <si>
    <t xml:space="preserve"> &lt;금융기관 차입금&gt;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</si>
  <si>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</si>
  <si>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</si>
  <si>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</si>
  <si>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=</t>
    <phoneticPr fontId="8" type="noConversion"/>
  </si>
  <si>
    <t>월</t>
    <phoneticPr fontId="8" type="noConversion"/>
  </si>
  <si>
    <t>×</t>
    <phoneticPr fontId="8" type="noConversion"/>
  </si>
  <si>
    <t xml:space="preserve">  *후원금 수입</t>
    <phoneticPr fontId="8" type="noConversion"/>
  </si>
  <si>
    <t>&lt;비지정후원금&gt;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</si>
  <si>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</si>
  <si>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</si>
  <si>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</si>
  <si>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</si>
  <si>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</si>
  <si>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※후원금수입</t>
    <phoneticPr fontId="8" type="noConversion"/>
  </si>
  <si>
    <t>후원금</t>
  </si>
  <si>
    <t>보조금</t>
    <phoneticPr fontId="8" type="noConversion"/>
  </si>
  <si>
    <t xml:space="preserve"> &lt;기타 보조금 합계&gt;</t>
    <phoneticPr fontId="8" type="noConversion"/>
  </si>
  <si>
    <t xml:space="preserve"> * 직원 건강진단비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</si>
  <si>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</si>
  <si>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</si>
  <si>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>* 환경개선사업비(7종)</t>
    <phoneticPr fontId="8" type="noConversion"/>
  </si>
  <si>
    <t>명</t>
    <phoneticPr fontId="8" type="noConversion"/>
  </si>
  <si>
    <t>* 시설당 기본지원</t>
    <phoneticPr fontId="8" type="noConversion"/>
  </si>
  <si>
    <t>* 인건비 지원금</t>
    <phoneticPr fontId="8" type="noConversion"/>
  </si>
  <si>
    <t>계:</t>
    <phoneticPr fontId="8" type="noConversion"/>
  </si>
  <si>
    <t>&lt;운영비&gt;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</si>
  <si>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</si>
  <si>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</si>
  <si>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</si>
  <si>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</si>
  <si>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</si>
  <si>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</si>
  <si>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</si>
  <si>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</si>
  <si>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</si>
  <si>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※ 사업수입</t>
    <phoneticPr fontId="8" type="noConversion"/>
  </si>
  <si>
    <t>사 업</t>
    <phoneticPr fontId="8" type="noConversion"/>
  </si>
  <si>
    <t>* 입소비용수입</t>
    <phoneticPr fontId="8" type="noConversion"/>
  </si>
  <si>
    <t>비  용</t>
  </si>
  <si>
    <t>비  용</t>
    <phoneticPr fontId="8" type="noConversion"/>
  </si>
  <si>
    <t>※ 입소비용수입</t>
    <phoneticPr fontId="8" type="noConversion"/>
  </si>
  <si>
    <t>입   소</t>
    <phoneticPr fontId="8" type="noConversion"/>
  </si>
  <si>
    <t>입  소</t>
    <phoneticPr fontId="8" type="noConversion"/>
  </si>
  <si>
    <t>※ 총 계</t>
    <phoneticPr fontId="8" type="noConversion"/>
  </si>
  <si>
    <t>총          계</t>
  </si>
  <si>
    <t>비율(%)</t>
  </si>
  <si>
    <t>금액
(B-A)</t>
    <phoneticPr fontId="8" type="noConversion"/>
  </si>
  <si>
    <t>항</t>
  </si>
  <si>
    <t>관</t>
  </si>
  <si>
    <t>산               출                기               초</t>
    <phoneticPr fontId="8" type="noConversion"/>
  </si>
  <si>
    <t>증      감</t>
  </si>
  <si>
    <t>2020년
1차추경예산(B)
(단위:천원)</t>
    <phoneticPr fontId="8" type="noConversion"/>
  </si>
  <si>
    <t>2020년
본예산(A)
(단위:천원)</t>
    <phoneticPr fontId="8" type="noConversion"/>
  </si>
  <si>
    <t>과            목</t>
    <phoneticPr fontId="8" type="noConversion"/>
  </si>
  <si>
    <t>&lt;몬띠의 집 2020년도 1차추경예산 세입내역&gt;</t>
    <phoneticPr fontId="8" type="noConversion"/>
  </si>
  <si>
    <t>잡수</t>
    <phoneticPr fontId="8" type="noConversion"/>
  </si>
  <si>
    <t>* 잡수입 체크카드 환급액</t>
    <phoneticPr fontId="8" type="noConversion"/>
  </si>
  <si>
    <t>* 잡수입 예금이자</t>
    <phoneticPr fontId="8" type="noConversion"/>
  </si>
  <si>
    <t>후원</t>
    <phoneticPr fontId="8" type="noConversion"/>
  </si>
  <si>
    <t>* 후원금 체크카드 환급액</t>
    <phoneticPr fontId="8" type="noConversion"/>
  </si>
  <si>
    <t>* 후원금 예금이자</t>
    <phoneticPr fontId="8" type="noConversion"/>
  </si>
  <si>
    <t>입소</t>
    <phoneticPr fontId="8" type="noConversion"/>
  </si>
  <si>
    <t>* 입소비용 체크카드 환급액</t>
    <phoneticPr fontId="8" type="noConversion"/>
  </si>
  <si>
    <t>* 입소비용 예금이자</t>
    <phoneticPr fontId="8" type="noConversion"/>
  </si>
  <si>
    <t>소계:</t>
    <phoneticPr fontId="8" type="noConversion"/>
  </si>
  <si>
    <t>※ 예비비</t>
  </si>
  <si>
    <t>예비비</t>
  </si>
  <si>
    <t>소     계</t>
  </si>
  <si>
    <t>※ 잡지출</t>
    <phoneticPr fontId="8" type="noConversion"/>
  </si>
  <si>
    <t>잡지출</t>
    <phoneticPr fontId="8" type="noConversion"/>
  </si>
  <si>
    <t>시비</t>
    <phoneticPr fontId="8" type="noConversion"/>
  </si>
  <si>
    <t>* 보조금(시비) 예금이자</t>
    <phoneticPr fontId="8" type="noConversion"/>
  </si>
  <si>
    <t>* 보조금(시비) 잔액</t>
    <phoneticPr fontId="8" type="noConversion"/>
  </si>
  <si>
    <t>7종</t>
    <phoneticPr fontId="8" type="noConversion"/>
  </si>
  <si>
    <t>* 7종 보조금 예금이자</t>
    <phoneticPr fontId="8" type="noConversion"/>
  </si>
  <si>
    <t>* 7종 보조금 잔액</t>
    <phoneticPr fontId="8" type="noConversion"/>
  </si>
  <si>
    <t>보조</t>
    <phoneticPr fontId="8" type="noConversion"/>
  </si>
  <si>
    <t>* 보조금 운영비 예금이자</t>
    <phoneticPr fontId="8" type="noConversion"/>
  </si>
  <si>
    <t>* 보조금 운영비 잔액</t>
    <phoneticPr fontId="8" type="noConversion"/>
  </si>
  <si>
    <t>반환금</t>
    <phoneticPr fontId="8" type="noConversion"/>
  </si>
  <si>
    <t>※ 보조금 반환금(수원시)</t>
    <phoneticPr fontId="8" type="noConversion"/>
  </si>
  <si>
    <t>보조금 반환금</t>
    <phoneticPr fontId="8" type="noConversion"/>
  </si>
  <si>
    <t>회</t>
    <phoneticPr fontId="8" type="noConversion"/>
  </si>
  <si>
    <t>* 송년회</t>
    <phoneticPr fontId="8" type="noConversion"/>
  </si>
  <si>
    <t>프로그램</t>
    <phoneticPr fontId="8" type="noConversion"/>
  </si>
  <si>
    <t>소  계 :</t>
    <phoneticPr fontId="8" type="noConversion"/>
  </si>
  <si>
    <t>기타</t>
    <phoneticPr fontId="8" type="noConversion"/>
  </si>
  <si>
    <t>* 등산프로그램</t>
    <phoneticPr fontId="8" type="noConversion"/>
  </si>
  <si>
    <t>운동지원</t>
    <phoneticPr fontId="8" type="noConversion"/>
  </si>
  <si>
    <t>* 스포츠관람</t>
    <phoneticPr fontId="8" type="noConversion"/>
  </si>
  <si>
    <t>지원사업비</t>
    <phoneticPr fontId="8" type="noConversion"/>
  </si>
  <si>
    <t>문화생활</t>
    <phoneticPr fontId="8" type="noConversion"/>
  </si>
  <si>
    <t>* 봄 나들이</t>
    <phoneticPr fontId="8" type="noConversion"/>
  </si>
  <si>
    <t>나들이</t>
    <phoneticPr fontId="8" type="noConversion"/>
  </si>
  <si>
    <t>* 자치회의</t>
    <phoneticPr fontId="8" type="noConversion"/>
  </si>
  <si>
    <t>자치회의</t>
    <phoneticPr fontId="8" type="noConversion"/>
  </si>
  <si>
    <t>* 성교육</t>
    <phoneticPr fontId="8" type="noConversion"/>
  </si>
  <si>
    <t>교육지원</t>
    <phoneticPr fontId="8" type="noConversion"/>
  </si>
  <si>
    <t xml:space="preserve">* 요리프로그램 </t>
    <phoneticPr fontId="8" type="noConversion"/>
  </si>
  <si>
    <t>* 이용인 생일</t>
    <phoneticPr fontId="8" type="noConversion"/>
  </si>
  <si>
    <t>일상생활</t>
    <phoneticPr fontId="8" type="noConversion"/>
  </si>
  <si>
    <t xml:space="preserve">총  괄 : </t>
  </si>
  <si>
    <t>계</t>
    <phoneticPr fontId="8" type="noConversion"/>
  </si>
  <si>
    <t>* 취사용 연료비</t>
    <phoneticPr fontId="8" type="noConversion"/>
  </si>
  <si>
    <t>※ 연료비</t>
    <phoneticPr fontId="8" type="noConversion"/>
  </si>
  <si>
    <t>* 외래 진료비 및 의약품비</t>
    <phoneticPr fontId="8" type="noConversion"/>
  </si>
  <si>
    <t>* 입소자 건강진단비</t>
    <phoneticPr fontId="8" type="noConversion"/>
  </si>
  <si>
    <t>※ 의료비</t>
    <phoneticPr fontId="8" type="noConversion"/>
  </si>
  <si>
    <t>* 피복비</t>
    <phoneticPr fontId="8" type="noConversion"/>
  </si>
  <si>
    <t>※ 피복비</t>
  </si>
  <si>
    <t>* 기타 수용기관경비</t>
    <phoneticPr fontId="8" type="noConversion"/>
  </si>
  <si>
    <t>* 생활용품구입비(비누,치약, 화장지 등)</t>
    <phoneticPr fontId="8" type="noConversion"/>
  </si>
  <si>
    <t>경비</t>
    <phoneticPr fontId="8" type="noConversion"/>
  </si>
  <si>
    <t>※ 수용기관경비</t>
    <phoneticPr fontId="8" type="noConversion"/>
  </si>
  <si>
    <t>수용기관</t>
    <phoneticPr fontId="8" type="noConversion"/>
  </si>
  <si>
    <t>* 주부식비(직원급식)</t>
    <phoneticPr fontId="8" type="noConversion"/>
  </si>
  <si>
    <t>* 간식비</t>
  </si>
  <si>
    <t>* 주부식비(부식)</t>
    <phoneticPr fontId="8" type="noConversion"/>
  </si>
  <si>
    <t>※ 생계비</t>
    <phoneticPr fontId="8" type="noConversion"/>
  </si>
  <si>
    <t>사업비</t>
  </si>
  <si>
    <t>* 가스안전점검비</t>
    <phoneticPr fontId="8" type="noConversion"/>
  </si>
  <si>
    <t>* 전기안전점검비</t>
    <phoneticPr fontId="8" type="noConversion"/>
  </si>
  <si>
    <t>* 기타 시설물 관리유지비</t>
    <phoneticPr fontId="8" type="noConversion"/>
  </si>
  <si>
    <t>* 환경개선사업(7종)</t>
    <phoneticPr fontId="8" type="noConversion"/>
  </si>
  <si>
    <t>유지비</t>
    <phoneticPr fontId="8" type="noConversion"/>
  </si>
  <si>
    <t>※ 시설장비유지비</t>
  </si>
  <si>
    <t>시설장비</t>
  </si>
  <si>
    <t xml:space="preserve">* 환경개선사업(7종) </t>
    <phoneticPr fontId="8" type="noConversion"/>
  </si>
  <si>
    <t>※ 자산취득비</t>
  </si>
  <si>
    <t>자산취득비</t>
  </si>
  <si>
    <t>※ 시설비</t>
  </si>
  <si>
    <t>시설비</t>
  </si>
  <si>
    <t>조성비</t>
    <phoneticPr fontId="8" type="noConversion"/>
  </si>
  <si>
    <t>재   산</t>
  </si>
  <si>
    <t xml:space="preserve"> * 국립재활원, 한장협, 경장협, 등 </t>
    <phoneticPr fontId="8" type="noConversion"/>
  </si>
  <si>
    <t>※ 직원 교육훈련비</t>
    <phoneticPr fontId="8" type="noConversion"/>
  </si>
  <si>
    <t>* 차량 정기검사/ 차량수리 및 정비비</t>
    <phoneticPr fontId="8" type="noConversion"/>
  </si>
  <si>
    <t>* 차량유류대</t>
    <phoneticPr fontId="8" type="noConversion"/>
  </si>
  <si>
    <t>※ 차량비</t>
  </si>
  <si>
    <t>차  량  비</t>
  </si>
  <si>
    <t>* 주민세 등 기타 공과금</t>
    <phoneticPr fontId="8" type="noConversion"/>
  </si>
  <si>
    <t>÷</t>
    <phoneticPr fontId="8" type="noConversion"/>
  </si>
  <si>
    <t>* 차량보험료</t>
    <phoneticPr fontId="8" type="noConversion"/>
  </si>
  <si>
    <t>* 신원보증보험갱신</t>
    <phoneticPr fontId="8" type="noConversion"/>
  </si>
  <si>
    <t>※ 제세공과금</t>
  </si>
  <si>
    <t>제세공과금</t>
  </si>
  <si>
    <t>* 우편물발송료 등 기타 공공요금</t>
    <phoneticPr fontId="8" type="noConversion"/>
  </si>
  <si>
    <t>* 아파트관리비</t>
    <phoneticPr fontId="8" type="noConversion"/>
  </si>
  <si>
    <t>* 전화료 및 인터넷 요금</t>
    <phoneticPr fontId="8" type="noConversion"/>
  </si>
  <si>
    <t>※ 공공요금</t>
  </si>
  <si>
    <t>공공요금</t>
  </si>
  <si>
    <t>* 기타 수용비 및 수수료</t>
    <phoneticPr fontId="8" type="noConversion"/>
  </si>
  <si>
    <t>* 주방식기류 및 그릇 보강</t>
    <phoneticPr fontId="8" type="noConversion"/>
  </si>
  <si>
    <t>* 정수기 대여료 및 수질검사 등</t>
    <phoneticPr fontId="8" type="noConversion"/>
  </si>
  <si>
    <t>* 사무용품비(문구류 )</t>
    <phoneticPr fontId="8" type="noConversion"/>
  </si>
  <si>
    <t>수수료</t>
    <phoneticPr fontId="8" type="noConversion"/>
  </si>
  <si>
    <t>※ 수용비및수수료</t>
  </si>
  <si>
    <t>수용비및</t>
  </si>
  <si>
    <t xml:space="preserve"> * 교육 및 출장여비</t>
    <phoneticPr fontId="8" type="noConversion"/>
  </si>
  <si>
    <t>※ 여비</t>
  </si>
  <si>
    <t>여    비</t>
    <phoneticPr fontId="8" type="noConversion"/>
  </si>
  <si>
    <t>계</t>
  </si>
  <si>
    <t>운영비</t>
  </si>
  <si>
    <t>* 회의 다과비</t>
    <phoneticPr fontId="8" type="noConversion"/>
  </si>
  <si>
    <t>* 운영위원회 참석수당</t>
    <phoneticPr fontId="8" type="noConversion"/>
  </si>
  <si>
    <t>※ 회의비</t>
  </si>
  <si>
    <t>회  의  비</t>
    <phoneticPr fontId="8" type="noConversion"/>
  </si>
  <si>
    <t>※ 직책보조비</t>
    <phoneticPr fontId="8" type="noConversion"/>
  </si>
  <si>
    <t>직책보조비</t>
  </si>
  <si>
    <t>※ 기관운영비</t>
  </si>
  <si>
    <t>기관운영비</t>
  </si>
  <si>
    <t>추진비</t>
    <phoneticPr fontId="8" type="noConversion"/>
  </si>
  <si>
    <t>업   무</t>
    <phoneticPr fontId="8" type="noConversion"/>
  </si>
  <si>
    <t>* 명절 선물</t>
    <phoneticPr fontId="8" type="noConversion"/>
  </si>
  <si>
    <t>* 직원 독감예방접종</t>
    <phoneticPr fontId="8" type="noConversion"/>
  </si>
  <si>
    <t>* 특수건강검진</t>
    <phoneticPr fontId="8" type="noConversion"/>
  </si>
  <si>
    <t>* 직원건강검진비(순수시비)</t>
    <phoneticPr fontId="8" type="noConversion"/>
  </si>
  <si>
    <t>경      비</t>
    <phoneticPr fontId="8" type="noConversion"/>
  </si>
  <si>
    <t>※ 기타후생경비</t>
    <phoneticPr fontId="8" type="noConversion"/>
  </si>
  <si>
    <t>기타후생</t>
    <phoneticPr fontId="8" type="noConversion"/>
  </si>
  <si>
    <t xml:space="preserve"> </t>
  </si>
  <si>
    <t>후원</t>
  </si>
  <si>
    <t>합    계 :</t>
  </si>
  <si>
    <t>보조</t>
  </si>
  <si>
    <t>5.산업재해보험부담금</t>
  </si>
  <si>
    <t>4.고용보험부담금</t>
  </si>
  <si>
    <t>3.장기요양보험부담금</t>
  </si>
  <si>
    <t>÷</t>
  </si>
  <si>
    <t>2.국민건강보험부담금</t>
  </si>
  <si>
    <t>1.국민연금부담금</t>
  </si>
  <si>
    <t>부담금</t>
    <phoneticPr fontId="8" type="noConversion"/>
  </si>
  <si>
    <t>합  계 :</t>
  </si>
  <si>
    <t>※ 사회보험부담금</t>
  </si>
  <si>
    <t>사회보험</t>
    <phoneticPr fontId="8" type="noConversion"/>
  </si>
  <si>
    <t>* 사회재활교사</t>
    <phoneticPr fontId="8" type="noConversion"/>
  </si>
  <si>
    <t>합    계 :</t>
    <phoneticPr fontId="8" type="noConversion"/>
  </si>
  <si>
    <t>※ 퇴직적립금</t>
  </si>
  <si>
    <t>퇴직적립금</t>
  </si>
  <si>
    <t>4호봉</t>
    <phoneticPr fontId="8" type="noConversion"/>
  </si>
  <si>
    <t>3호봉</t>
    <phoneticPr fontId="8" type="noConversion"/>
  </si>
  <si>
    <t>1.명절휴가비</t>
    <phoneticPr fontId="8" type="noConversion"/>
  </si>
  <si>
    <t>※ 제수당</t>
  </si>
  <si>
    <t>제수당</t>
  </si>
  <si>
    <t>※ 일용잡급</t>
    <phoneticPr fontId="8" type="noConversion"/>
  </si>
  <si>
    <t>※기본급</t>
    <phoneticPr fontId="8" type="noConversion"/>
  </si>
  <si>
    <t>급여</t>
  </si>
  <si>
    <t>인건비</t>
  </si>
  <si>
    <t>소      계</t>
  </si>
  <si>
    <t>사무비</t>
  </si>
  <si>
    <t>세출총계</t>
    <phoneticPr fontId="8" type="noConversion"/>
  </si>
  <si>
    <t>총         계</t>
  </si>
  <si>
    <t>법인
전입금</t>
    <phoneticPr fontId="8" type="noConversion"/>
  </si>
  <si>
    <t>입소자
부담금</t>
    <phoneticPr fontId="8" type="noConversion"/>
  </si>
  <si>
    <t>보조금
(시비)</t>
    <phoneticPr fontId="8" type="noConversion"/>
  </si>
  <si>
    <t>보조금(7종)</t>
    <phoneticPr fontId="8" type="noConversion"/>
  </si>
  <si>
    <t>보조금(도비)</t>
    <phoneticPr fontId="8" type="noConversion"/>
  </si>
  <si>
    <t>계
(B)</t>
    <phoneticPr fontId="8" type="noConversion"/>
  </si>
  <si>
    <t>목</t>
  </si>
  <si>
    <t>산              출               기              초</t>
    <phoneticPr fontId="8" type="noConversion"/>
  </si>
  <si>
    <t>과            목</t>
  </si>
  <si>
    <t>&lt;몬띠의 집 2020년도 1차추경예산 세출내역&gt;</t>
    <phoneticPr fontId="8" type="noConversion"/>
  </si>
  <si>
    <t>2020년 1차추경예산액(B)(단위:천원)</t>
    <phoneticPr fontId="8" type="noConversion"/>
  </si>
  <si>
    <t>2020년
본예산액(A)
(단위:천원)</t>
    <phoneticPr fontId="8" type="noConversion"/>
  </si>
  <si>
    <t>* 사회재활교사(나**)</t>
    <phoneticPr fontId="8" type="noConversion"/>
  </si>
  <si>
    <t>* 사회재활교사(이**)</t>
    <phoneticPr fontId="8" type="noConversion"/>
  </si>
  <si>
    <t>21호봉</t>
    <phoneticPr fontId="8" type="noConversion"/>
  </si>
  <si>
    <t>* 사회재활교사(나**)</t>
    <phoneticPr fontId="8" type="noConversion"/>
  </si>
  <si>
    <t>* 사회재활교사(이**)</t>
    <phoneticPr fontId="8" type="noConversion"/>
  </si>
  <si>
    <t>21호봉</t>
    <phoneticPr fontId="8" type="noConversion"/>
  </si>
  <si>
    <t>* 사회재활교사</t>
  </si>
  <si>
    <t>3.연장근로수당</t>
    <phoneticPr fontId="8" type="noConversion"/>
  </si>
  <si>
    <t>2.가족수당</t>
    <phoneticPr fontId="8" type="noConversion"/>
  </si>
  <si>
    <t>월</t>
    <phoneticPr fontId="8" type="noConversion"/>
  </si>
  <si>
    <t>21호봉</t>
    <phoneticPr fontId="8" type="noConversion"/>
  </si>
  <si>
    <t>6. 사회보험부담금</t>
    <phoneticPr fontId="8" type="noConversion"/>
  </si>
  <si>
    <t>* 간식비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</si>
</sst>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&quot;▼&quot;* #,##0_-;_-* &quot;-&quot;_-;_-@_-"/>
    <numFmt numFmtId="178" formatCode="#,##0;[Red]#,##0"/>
    <numFmt numFmtId="179" formatCode="#,##0_ "/>
    <numFmt numFmtId="180" formatCode="#,##0_);[Red]\(#,##0\)"/>
    <numFmt numFmtId="181" formatCode="_-* #,##0.0_-;\-* #,##0.0_-;_-* &quot;-&quot;_-;_-@_-"/>
    <numFmt numFmtId="182" formatCode="&quot;×&quot;0%"/>
    <numFmt numFmtId="183" formatCode="&quot;×&quot;General"/>
    <numFmt numFmtId="184" formatCode="#,##0&quot;명&quot;;[Red]#,##0\ &quot;명&quot;"/>
    <numFmt numFmtId="185" formatCode="0.0%"/>
    <numFmt numFmtId="186" formatCode="0_ "/>
    <numFmt numFmtId="187" formatCode="#,##0_ ;[Red]\-#,##0\ "/>
    <numFmt numFmtId="188" formatCode="#,##0&quot;회&quot;;[Red]#,##0"/>
    <numFmt numFmtId="189" formatCode="#,##0&quot;명&quot;;[Red]#,##0"/>
    <numFmt numFmtId="190" formatCode="0_);[Red]\(0\)"/>
    <numFmt numFmtId="191" formatCode="#,##0&quot;월&quot;;\-#,##0&quot;월&quot;"/>
    <numFmt numFmtId="192" formatCode="#,##0&quot;h×&quot;;\-#,##0&quot;h×&quot;"/>
    <numFmt numFmtId="193" formatCode="#,##0.0;[Red]#,##0.0"/>
    <numFmt numFmtId="194" formatCode="#,##0&quot;×&quot;;\-#,##0&quot;원×&quot;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0"/>
      <color rgb="FF000099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10"/>
      <name val="바탕체"/>
      <family val="1"/>
      <charset val="129"/>
    </font>
    <font>
      <sz val="10"/>
      <color theme="1"/>
      <name val="바탕체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b/>
      <sz val="10"/>
      <color rgb="FFC00000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10"/>
      <color indexed="60"/>
      <name val="바탕체"/>
      <family val="1"/>
      <charset val="129"/>
    </font>
    <font>
      <sz val="10"/>
      <color indexed="12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41" fontId="7" fillId="0" borderId="0" applyFont="0" applyFill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 applyFill="0" applyAlignment="0"/>
    <xf numFmtId="9" fontId="7" fillId="0" borderId="0" applyFont="0" applyFill="0" applyAlignment="0" applyProtection="0">
      <alignment vertical="center"/>
    </xf>
    <xf numFmtId="0" fontId="9" fillId="0" borderId="0"/>
  </cellStyleXfs>
  <cellXfs count="545">
    <xf numFmtId="0" fontId="0" fillId="0" borderId="0" xfId="0" applyFill="1" applyAlignment="1">
      <alignment vertical="center"/>
    </xf>
    <xf numFmtId="0" fontId="5" fillId="0" borderId="0" xfId="4">
      <alignment vertical="center"/>
    </xf>
    <xf numFmtId="0" fontId="10" fillId="0" borderId="0" xfId="4" applyFont="1">
      <alignment vertical="center"/>
    </xf>
    <xf numFmtId="0" fontId="12" fillId="0" borderId="0" xfId="4" applyFont="1" applyAlignment="1">
      <alignment horizontal="right"/>
    </xf>
    <xf numFmtId="0" fontId="5" fillId="0" borderId="19" xfId="4" applyBorder="1" applyAlignment="1">
      <alignment horizontal="center" vertical="center"/>
    </xf>
    <xf numFmtId="41" fontId="0" fillId="0" borderId="19" xfId="5" applyFont="1" applyBorder="1">
      <alignment vertical="center"/>
    </xf>
    <xf numFmtId="176" fontId="0" fillId="0" borderId="30" xfId="5" applyNumberFormat="1" applyFont="1" applyBorder="1">
      <alignment vertical="center"/>
    </xf>
    <xf numFmtId="176" fontId="0" fillId="0" borderId="17" xfId="5" applyNumberFormat="1" applyFont="1" applyBorder="1">
      <alignment vertical="center"/>
    </xf>
    <xf numFmtId="0" fontId="5" fillId="0" borderId="3" xfId="4" applyBorder="1" applyAlignment="1">
      <alignment horizontal="center" vertical="center"/>
    </xf>
    <xf numFmtId="41" fontId="0" fillId="0" borderId="3" xfId="5" applyFont="1" applyBorder="1">
      <alignment vertical="center"/>
    </xf>
    <xf numFmtId="176" fontId="0" fillId="0" borderId="4" xfId="5" applyNumberFormat="1" applyFont="1" applyBorder="1">
      <alignment vertical="center"/>
    </xf>
    <xf numFmtId="0" fontId="3" fillId="0" borderId="19" xfId="4" applyFont="1" applyBorder="1" applyAlignment="1">
      <alignment horizontal="center" vertical="center"/>
    </xf>
    <xf numFmtId="41" fontId="15" fillId="0" borderId="11" xfId="5" applyFont="1" applyBorder="1" applyAlignment="1">
      <alignment vertical="center"/>
    </xf>
    <xf numFmtId="176" fontId="15" fillId="0" borderId="29" xfId="5" applyNumberFormat="1" applyFont="1" applyBorder="1" applyAlignment="1">
      <alignment vertical="center"/>
    </xf>
    <xf numFmtId="176" fontId="15" fillId="0" borderId="12" xfId="5" applyNumberFormat="1" applyFont="1" applyBorder="1" applyAlignment="1">
      <alignment vertical="center"/>
    </xf>
    <xf numFmtId="0" fontId="16" fillId="0" borderId="11" xfId="4" applyFont="1" applyBorder="1" applyAlignment="1">
      <alignment horizontal="center" vertical="center"/>
    </xf>
    <xf numFmtId="41" fontId="17" fillId="0" borderId="11" xfId="5" applyFont="1" applyBorder="1" applyAlignment="1">
      <alignment vertical="center"/>
    </xf>
    <xf numFmtId="176" fontId="17" fillId="0" borderId="29" xfId="5" applyNumberFormat="1" applyFont="1" applyBorder="1" applyAlignment="1">
      <alignment vertical="center"/>
    </xf>
    <xf numFmtId="0" fontId="16" fillId="0" borderId="19" xfId="4" applyFont="1" applyBorder="1" applyAlignment="1">
      <alignment horizontal="center" vertical="center"/>
    </xf>
    <xf numFmtId="41" fontId="17" fillId="0" borderId="19" xfId="5" applyFont="1" applyBorder="1">
      <alignment vertical="center"/>
    </xf>
    <xf numFmtId="176" fontId="17" fillId="0" borderId="30" xfId="5" applyNumberFormat="1" applyFont="1" applyBorder="1">
      <alignment vertical="center"/>
    </xf>
    <xf numFmtId="176" fontId="17" fillId="0" borderId="12" xfId="5" applyNumberFormat="1" applyFont="1" applyBorder="1" applyAlignment="1">
      <alignment vertical="center"/>
    </xf>
    <xf numFmtId="176" fontId="17" fillId="0" borderId="17" xfId="5" applyNumberFormat="1" applyFont="1" applyBorder="1">
      <alignment vertical="center"/>
    </xf>
    <xf numFmtId="0" fontId="1" fillId="0" borderId="19" xfId="4" applyFont="1" applyBorder="1" applyAlignment="1">
      <alignment horizontal="center" vertical="center"/>
    </xf>
    <xf numFmtId="0" fontId="5" fillId="0" borderId="38" xfId="4" applyBorder="1" applyAlignment="1">
      <alignment vertical="center"/>
    </xf>
    <xf numFmtId="0" fontId="5" fillId="0" borderId="26" xfId="4" applyBorder="1" applyAlignment="1">
      <alignment vertical="center"/>
    </xf>
    <xf numFmtId="0" fontId="5" fillId="0" borderId="22" xfId="4" applyBorder="1" applyAlignment="1">
      <alignment vertical="center"/>
    </xf>
    <xf numFmtId="0" fontId="5" fillId="0" borderId="0" xfId="4" applyBorder="1" applyAlignment="1">
      <alignment vertical="center"/>
    </xf>
    <xf numFmtId="0" fontId="5" fillId="0" borderId="33" xfId="4" applyBorder="1" applyAlignment="1">
      <alignment vertical="center"/>
    </xf>
    <xf numFmtId="0" fontId="5" fillId="0" borderId="13" xfId="4" applyBorder="1" applyAlignment="1">
      <alignment vertical="center"/>
    </xf>
    <xf numFmtId="41" fontId="17" fillId="0" borderId="19" xfId="5" applyNumberFormat="1" applyFont="1" applyBorder="1">
      <alignment vertical="center"/>
    </xf>
    <xf numFmtId="41" fontId="9" fillId="0" borderId="19" xfId="5" applyFont="1" applyBorder="1">
      <alignment vertical="center"/>
    </xf>
    <xf numFmtId="41" fontId="18" fillId="0" borderId="19" xfId="5" applyFont="1" applyBorder="1">
      <alignment vertical="center"/>
    </xf>
    <xf numFmtId="0" fontId="19" fillId="0" borderId="0" xfId="10" applyFont="1" applyFill="1" applyAlignment="1">
      <alignment vertical="center"/>
    </xf>
    <xf numFmtId="41" fontId="19" fillId="0" borderId="0" xfId="1" applyFont="1" applyFill="1" applyAlignment="1">
      <alignment vertical="center"/>
    </xf>
    <xf numFmtId="178" fontId="19" fillId="0" borderId="0" xfId="10" applyNumberFormat="1" applyFont="1" applyFill="1" applyAlignment="1">
      <alignment vertical="center"/>
    </xf>
    <xf numFmtId="9" fontId="19" fillId="0" borderId="0" xfId="10" applyNumberFormat="1" applyFont="1" applyFill="1" applyAlignment="1">
      <alignment horizontal="center" vertical="center"/>
    </xf>
    <xf numFmtId="179" fontId="19" fillId="0" borderId="0" xfId="10" applyNumberFormat="1" applyFont="1" applyFill="1" applyAlignment="1">
      <alignment vertical="center"/>
    </xf>
    <xf numFmtId="180" fontId="19" fillId="0" borderId="0" xfId="10" applyNumberFormat="1" applyFont="1" applyFill="1" applyAlignment="1">
      <alignment vertical="center"/>
    </xf>
    <xf numFmtId="0" fontId="19" fillId="0" borderId="0" xfId="10" applyFont="1" applyFill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178" fontId="20" fillId="0" borderId="43" xfId="10" applyNumberFormat="1" applyFont="1" applyFill="1" applyBorder="1" applyAlignment="1">
      <alignment vertical="center"/>
    </xf>
    <xf numFmtId="178" fontId="20" fillId="0" borderId="13" xfId="10" applyNumberFormat="1" applyFont="1" applyFill="1" applyBorder="1" applyAlignment="1">
      <alignment vertical="center"/>
    </xf>
    <xf numFmtId="0" fontId="20" fillId="0" borderId="13" xfId="10" applyFont="1" applyFill="1" applyBorder="1" applyAlignment="1">
      <alignment vertical="center"/>
    </xf>
    <xf numFmtId="178" fontId="20" fillId="0" borderId="13" xfId="10" applyNumberFormat="1" applyFont="1" applyFill="1" applyBorder="1" applyAlignment="1">
      <alignment horizontal="center" vertical="center"/>
    </xf>
    <xf numFmtId="0" fontId="20" fillId="0" borderId="44" xfId="10" applyFont="1" applyFill="1" applyBorder="1" applyAlignment="1">
      <alignment vertical="center"/>
    </xf>
    <xf numFmtId="9" fontId="20" fillId="0" borderId="7" xfId="10" applyNumberFormat="1" applyFont="1" applyFill="1" applyBorder="1" applyAlignment="1">
      <alignment horizontal="center" vertical="center"/>
    </xf>
    <xf numFmtId="179" fontId="20" fillId="0" borderId="7" xfId="10" applyNumberFormat="1" applyFont="1" applyFill="1" applyBorder="1" applyAlignment="1">
      <alignment vertical="center"/>
    </xf>
    <xf numFmtId="180" fontId="20" fillId="0" borderId="7" xfId="10" applyNumberFormat="1" applyFont="1" applyFill="1" applyBorder="1" applyAlignment="1">
      <alignment vertical="center"/>
    </xf>
    <xf numFmtId="0" fontId="20" fillId="0" borderId="7" xfId="10" applyFont="1" applyFill="1" applyBorder="1" applyAlignment="1">
      <alignment horizontal="center" vertical="center"/>
    </xf>
    <xf numFmtId="0" fontId="20" fillId="0" borderId="6" xfId="10" applyFont="1" applyFill="1" applyBorder="1" applyAlignment="1">
      <alignment vertical="center" wrapText="1"/>
    </xf>
    <xf numFmtId="178" fontId="20" fillId="0" borderId="5" xfId="10" applyNumberFormat="1" applyFont="1" applyFill="1" applyBorder="1" applyAlignment="1">
      <alignment vertical="center"/>
    </xf>
    <xf numFmtId="178" fontId="21" fillId="0" borderId="0" xfId="10" applyNumberFormat="1" applyFont="1" applyFill="1" applyBorder="1" applyAlignment="1">
      <alignment vertical="center"/>
    </xf>
    <xf numFmtId="0" fontId="20" fillId="0" borderId="0" xfId="10" applyFont="1" applyFill="1" applyBorder="1" applyAlignment="1">
      <alignment vertical="center"/>
    </xf>
    <xf numFmtId="178" fontId="20" fillId="0" borderId="0" xfId="10" applyNumberFormat="1" applyFont="1" applyFill="1" applyBorder="1" applyAlignment="1">
      <alignment horizontal="center" vertical="center"/>
    </xf>
    <xf numFmtId="178" fontId="20" fillId="0" borderId="0" xfId="10" applyNumberFormat="1" applyFont="1" applyFill="1" applyBorder="1" applyAlignment="1">
      <alignment vertical="center"/>
    </xf>
    <xf numFmtId="0" fontId="20" fillId="0" borderId="45" xfId="10" applyFont="1" applyFill="1" applyBorder="1" applyAlignment="1">
      <alignment vertical="center"/>
    </xf>
    <xf numFmtId="9" fontId="20" fillId="0" borderId="24" xfId="10" applyNumberFormat="1" applyFont="1" applyFill="1" applyBorder="1" applyAlignment="1">
      <alignment horizontal="center" vertical="center"/>
    </xf>
    <xf numFmtId="179" fontId="20" fillId="0" borderId="24" xfId="10" applyNumberFormat="1" applyFont="1" applyFill="1" applyBorder="1" applyAlignment="1">
      <alignment vertical="center"/>
    </xf>
    <xf numFmtId="180" fontId="20" fillId="0" borderId="24" xfId="10" applyNumberFormat="1" applyFont="1" applyFill="1" applyBorder="1" applyAlignment="1">
      <alignment vertical="center"/>
    </xf>
    <xf numFmtId="0" fontId="20" fillId="0" borderId="24" xfId="10" applyFont="1" applyFill="1" applyBorder="1" applyAlignment="1">
      <alignment horizontal="center" vertical="center" wrapText="1"/>
    </xf>
    <xf numFmtId="0" fontId="20" fillId="0" borderId="24" xfId="10" applyFont="1" applyFill="1" applyBorder="1" applyAlignment="1">
      <alignment horizontal="center" vertical="center"/>
    </xf>
    <xf numFmtId="0" fontId="20" fillId="0" borderId="27" xfId="10" applyFont="1" applyFill="1" applyBorder="1" applyAlignment="1">
      <alignment vertical="center" wrapText="1"/>
    </xf>
    <xf numFmtId="178" fontId="21" fillId="0" borderId="0" xfId="10" applyNumberFormat="1" applyFont="1" applyFill="1" applyBorder="1" applyAlignment="1">
      <alignment horizontal="right" vertical="center"/>
    </xf>
    <xf numFmtId="178" fontId="20" fillId="0" borderId="0" xfId="10" applyNumberFormat="1" applyFont="1" applyFill="1" applyBorder="1" applyAlignment="1">
      <alignment horizontal="right" vertical="center"/>
    </xf>
    <xf numFmtId="178" fontId="20" fillId="0" borderId="40" xfId="10" applyNumberFormat="1" applyFont="1" applyFill="1" applyBorder="1" applyAlignment="1">
      <alignment vertical="center"/>
    </xf>
    <xf numFmtId="178" fontId="20" fillId="0" borderId="46" xfId="10" applyNumberFormat="1" applyFont="1" applyFill="1" applyBorder="1" applyAlignment="1">
      <alignment horizontal="right" vertical="center"/>
    </xf>
    <xf numFmtId="178" fontId="22" fillId="0" borderId="26" xfId="10" applyNumberFormat="1" applyFont="1" applyFill="1" applyBorder="1" applyAlignment="1">
      <alignment vertical="center"/>
    </xf>
    <xf numFmtId="0" fontId="22" fillId="0" borderId="46" xfId="10" applyFont="1" applyFill="1" applyBorder="1" applyAlignment="1">
      <alignment vertical="center"/>
    </xf>
    <xf numFmtId="0" fontId="22" fillId="0" borderId="30" xfId="10" applyFont="1" applyFill="1" applyBorder="1" applyAlignment="1">
      <alignment vertical="center"/>
    </xf>
    <xf numFmtId="9" fontId="20" fillId="0" borderId="1" xfId="10" applyNumberFormat="1" applyFont="1" applyFill="1" applyBorder="1" applyAlignment="1">
      <alignment horizontal="center" vertical="center"/>
    </xf>
    <xf numFmtId="179" fontId="20" fillId="0" borderId="1" xfId="10" applyNumberFormat="1" applyFont="1" applyFill="1" applyBorder="1" applyAlignment="1">
      <alignment vertical="center"/>
    </xf>
    <xf numFmtId="178" fontId="23" fillId="0" borderId="40" xfId="10" applyNumberFormat="1" applyFont="1" applyFill="1" applyBorder="1" applyAlignment="1">
      <alignment vertical="center"/>
    </xf>
    <xf numFmtId="178" fontId="23" fillId="0" borderId="46" xfId="10" applyNumberFormat="1" applyFont="1" applyFill="1" applyBorder="1" applyAlignment="1">
      <alignment horizontal="right" vertical="center"/>
    </xf>
    <xf numFmtId="178" fontId="23" fillId="0" borderId="46" xfId="10" applyNumberFormat="1" applyFont="1" applyFill="1" applyBorder="1" applyAlignment="1">
      <alignment vertical="center"/>
    </xf>
    <xf numFmtId="178" fontId="24" fillId="0" borderId="46" xfId="10" applyNumberFormat="1" applyFont="1" applyFill="1" applyBorder="1" applyAlignment="1">
      <alignment vertical="center"/>
    </xf>
    <xf numFmtId="178" fontId="25" fillId="0" borderId="46" xfId="10" applyNumberFormat="1" applyFont="1" applyFill="1" applyBorder="1" applyAlignment="1">
      <alignment vertical="center"/>
    </xf>
    <xf numFmtId="0" fontId="25" fillId="0" borderId="46" xfId="10" applyFont="1" applyFill="1" applyBorder="1" applyAlignment="1">
      <alignment vertical="center"/>
    </xf>
    <xf numFmtId="0" fontId="24" fillId="0" borderId="30" xfId="10" applyFont="1" applyFill="1" applyBorder="1" applyAlignment="1">
      <alignment vertical="center"/>
    </xf>
    <xf numFmtId="9" fontId="26" fillId="0" borderId="19" xfId="11" applyFont="1" applyFill="1" applyBorder="1" applyAlignment="1">
      <alignment horizontal="center" vertical="center"/>
    </xf>
    <xf numFmtId="179" fontId="26" fillId="0" borderId="19" xfId="10" applyNumberFormat="1" applyFont="1" applyFill="1" applyBorder="1" applyAlignment="1">
      <alignment vertical="center"/>
    </xf>
    <xf numFmtId="180" fontId="26" fillId="0" borderId="19" xfId="10" applyNumberFormat="1" applyFont="1" applyFill="1" applyBorder="1" applyAlignment="1">
      <alignment vertical="center"/>
    </xf>
    <xf numFmtId="0" fontId="20" fillId="0" borderId="1" xfId="10" applyFont="1" applyFill="1" applyBorder="1" applyAlignment="1">
      <alignment horizontal="center" vertical="center" wrapText="1"/>
    </xf>
    <xf numFmtId="178" fontId="20" fillId="0" borderId="0" xfId="10" applyNumberFormat="1" applyFont="1" applyFill="1" applyBorder="1" applyAlignment="1">
      <alignment horizontal="left" vertical="center"/>
    </xf>
    <xf numFmtId="9" fontId="20" fillId="0" borderId="24" xfId="11" applyFont="1" applyFill="1" applyBorder="1" applyAlignment="1">
      <alignment horizontal="center" vertical="center"/>
    </xf>
    <xf numFmtId="0" fontId="20" fillId="0" borderId="47" xfId="10" applyFont="1" applyFill="1" applyBorder="1" applyAlignment="1">
      <alignment vertical="center"/>
    </xf>
    <xf numFmtId="178" fontId="22" fillId="0" borderId="0" xfId="10" applyNumberFormat="1" applyFont="1" applyFill="1" applyBorder="1" applyAlignment="1">
      <alignment vertical="center"/>
    </xf>
    <xf numFmtId="0" fontId="22" fillId="0" borderId="0" xfId="10" applyFont="1" applyFill="1" applyBorder="1" applyAlignment="1">
      <alignment vertical="center"/>
    </xf>
    <xf numFmtId="0" fontId="22" fillId="0" borderId="29" xfId="10" applyFont="1" applyFill="1" applyBorder="1" applyAlignment="1">
      <alignment vertical="center"/>
    </xf>
    <xf numFmtId="180" fontId="27" fillId="0" borderId="0" xfId="0" applyNumberFormat="1" applyFont="1" applyBorder="1">
      <alignment vertical="center"/>
    </xf>
    <xf numFmtId="181" fontId="20" fillId="0" borderId="0" xfId="1" applyNumberFormat="1" applyFont="1" applyFill="1" applyBorder="1" applyAlignment="1">
      <alignment horizontal="center" vertical="center"/>
    </xf>
    <xf numFmtId="42" fontId="20" fillId="0" borderId="0" xfId="10" applyNumberFormat="1" applyFont="1" applyFill="1" applyBorder="1" applyAlignment="1">
      <alignment horizontal="center" vertical="center"/>
    </xf>
    <xf numFmtId="180" fontId="20" fillId="0" borderId="0" xfId="10" applyNumberFormat="1" applyFont="1" applyFill="1" applyBorder="1" applyAlignment="1">
      <alignment horizontal="center" vertical="center"/>
    </xf>
    <xf numFmtId="178" fontId="20" fillId="0" borderId="26" xfId="10" applyNumberFormat="1" applyFont="1" applyFill="1" applyBorder="1" applyAlignment="1">
      <alignment vertical="center"/>
    </xf>
    <xf numFmtId="0" fontId="20" fillId="0" borderId="26" xfId="10" applyFont="1" applyFill="1" applyBorder="1" applyAlignment="1">
      <alignment vertical="center"/>
    </xf>
    <xf numFmtId="0" fontId="20" fillId="0" borderId="30" xfId="10" applyFont="1" applyFill="1" applyBorder="1" applyAlignment="1">
      <alignment vertical="center"/>
    </xf>
    <xf numFmtId="0" fontId="20" fillId="0" borderId="23" xfId="10" applyFont="1" applyFill="1" applyBorder="1" applyAlignment="1">
      <alignment vertical="center"/>
    </xf>
    <xf numFmtId="0" fontId="19" fillId="0" borderId="0" xfId="10" applyFont="1" applyFill="1" applyBorder="1" applyAlignment="1">
      <alignment vertical="center"/>
    </xf>
    <xf numFmtId="178" fontId="28" fillId="0" borderId="0" xfId="10" applyNumberFormat="1" applyFont="1" applyFill="1" applyBorder="1" applyAlignment="1">
      <alignment vertical="center"/>
    </xf>
    <xf numFmtId="178" fontId="28" fillId="0" borderId="0" xfId="10" applyNumberFormat="1" applyFont="1" applyFill="1" applyBorder="1" applyAlignment="1">
      <alignment horizontal="right" vertical="center"/>
    </xf>
    <xf numFmtId="0" fontId="28" fillId="0" borderId="0" xfId="10" applyFont="1" applyFill="1" applyBorder="1" applyAlignment="1">
      <alignment vertical="center"/>
    </xf>
    <xf numFmtId="0" fontId="28" fillId="0" borderId="0" xfId="10" applyFont="1" applyFill="1" applyBorder="1" applyAlignment="1">
      <alignment horizontal="center" vertical="center"/>
    </xf>
    <xf numFmtId="9" fontId="29" fillId="0" borderId="0" xfId="11" applyFont="1" applyFill="1" applyBorder="1" applyAlignment="1">
      <alignment horizontal="center" vertical="center"/>
    </xf>
    <xf numFmtId="179" fontId="29" fillId="0" borderId="0" xfId="10" applyNumberFormat="1" applyFont="1" applyFill="1" applyBorder="1" applyAlignment="1">
      <alignment vertical="center"/>
    </xf>
    <xf numFmtId="180" fontId="29" fillId="0" borderId="0" xfId="10" applyNumberFormat="1" applyFont="1" applyFill="1" applyBorder="1" applyAlignment="1">
      <alignment vertical="center"/>
    </xf>
    <xf numFmtId="0" fontId="29" fillId="0" borderId="0" xfId="10" applyFont="1" applyFill="1" applyBorder="1" applyAlignment="1">
      <alignment vertical="center" wrapText="1"/>
    </xf>
    <xf numFmtId="178" fontId="23" fillId="0" borderId="48" xfId="10" applyNumberFormat="1" applyFont="1" applyFill="1" applyBorder="1" applyAlignment="1">
      <alignment horizontal="right" vertical="center"/>
    </xf>
    <xf numFmtId="0" fontId="20" fillId="0" borderId="23" xfId="10" applyFont="1" applyFill="1" applyBorder="1" applyAlignment="1">
      <alignment horizontal="center" vertical="center"/>
    </xf>
    <xf numFmtId="0" fontId="20" fillId="0" borderId="27" xfId="10" applyFont="1" applyFill="1" applyBorder="1" applyAlignment="1">
      <alignment horizontal="center" vertical="center" wrapText="1"/>
    </xf>
    <xf numFmtId="0" fontId="29" fillId="0" borderId="40" xfId="10" applyFont="1" applyFill="1" applyBorder="1" applyAlignment="1">
      <alignment vertical="center" wrapText="1"/>
    </xf>
    <xf numFmtId="178" fontId="28" fillId="0" borderId="46" xfId="10" applyNumberFormat="1" applyFont="1" applyFill="1" applyBorder="1" applyAlignment="1">
      <alignment horizontal="right" vertical="center"/>
    </xf>
    <xf numFmtId="0" fontId="28" fillId="0" borderId="46" xfId="10" applyFont="1" applyFill="1" applyBorder="1" applyAlignment="1">
      <alignment vertical="center"/>
    </xf>
    <xf numFmtId="178" fontId="28" fillId="0" borderId="46" xfId="10" applyNumberFormat="1" applyFont="1" applyFill="1" applyBorder="1" applyAlignment="1">
      <alignment vertical="center"/>
    </xf>
    <xf numFmtId="0" fontId="28" fillId="0" borderId="46" xfId="10" applyFont="1" applyFill="1" applyBorder="1" applyAlignment="1">
      <alignment horizontal="center" vertical="center"/>
    </xf>
    <xf numFmtId="0" fontId="28" fillId="0" borderId="30" xfId="10" applyFont="1" applyFill="1" applyBorder="1" applyAlignment="1">
      <alignment vertical="center"/>
    </xf>
    <xf numFmtId="9" fontId="29" fillId="0" borderId="19" xfId="11" applyFont="1" applyFill="1" applyBorder="1" applyAlignment="1">
      <alignment horizontal="center" vertical="center"/>
    </xf>
    <xf numFmtId="179" fontId="29" fillId="0" borderId="19" xfId="10" applyNumberFormat="1" applyFont="1" applyFill="1" applyBorder="1" applyAlignment="1">
      <alignment vertical="center"/>
    </xf>
    <xf numFmtId="180" fontId="29" fillId="0" borderId="19" xfId="10" applyNumberFormat="1" applyFont="1" applyFill="1" applyBorder="1" applyAlignment="1">
      <alignment vertical="center"/>
    </xf>
    <xf numFmtId="0" fontId="29" fillId="0" borderId="30" xfId="10" applyFont="1" applyFill="1" applyBorder="1" applyAlignment="1">
      <alignment horizontal="center" vertical="center" wrapText="1"/>
    </xf>
    <xf numFmtId="0" fontId="20" fillId="0" borderId="1" xfId="10" applyFont="1" applyFill="1" applyBorder="1" applyAlignment="1">
      <alignment horizontal="center" vertical="center"/>
    </xf>
    <xf numFmtId="178" fontId="20" fillId="0" borderId="49" xfId="10" applyNumberFormat="1" applyFont="1" applyFill="1" applyBorder="1" applyAlignment="1">
      <alignment vertical="center"/>
    </xf>
    <xf numFmtId="178" fontId="20" fillId="0" borderId="48" xfId="10" applyNumberFormat="1" applyFont="1" applyFill="1" applyBorder="1" applyAlignment="1">
      <alignment horizontal="right" vertical="center"/>
    </xf>
    <xf numFmtId="178" fontId="20" fillId="0" borderId="48" xfId="10" applyNumberFormat="1" applyFont="1" applyFill="1" applyBorder="1" applyAlignment="1">
      <alignment vertical="center"/>
    </xf>
    <xf numFmtId="178" fontId="20" fillId="0" borderId="48" xfId="10" applyNumberFormat="1" applyFont="1" applyFill="1" applyBorder="1" applyAlignment="1">
      <alignment horizontal="left" vertical="center"/>
    </xf>
    <xf numFmtId="0" fontId="20" fillId="0" borderId="48" xfId="10" applyFont="1" applyFill="1" applyBorder="1" applyAlignment="1">
      <alignment vertical="center"/>
    </xf>
    <xf numFmtId="0" fontId="20" fillId="0" borderId="29" xfId="10" applyFont="1" applyFill="1" applyBorder="1" applyAlignment="1">
      <alignment vertical="center"/>
    </xf>
    <xf numFmtId="9" fontId="20" fillId="0" borderId="11" xfId="11" applyFont="1" applyFill="1" applyBorder="1" applyAlignment="1">
      <alignment horizontal="center" vertical="center"/>
    </xf>
    <xf numFmtId="179" fontId="20" fillId="0" borderId="11" xfId="10" applyNumberFormat="1" applyFont="1" applyFill="1" applyBorder="1" applyAlignment="1">
      <alignment vertical="center"/>
    </xf>
    <xf numFmtId="180" fontId="20" fillId="0" borderId="11" xfId="10" applyNumberFormat="1" applyFont="1" applyFill="1" applyBorder="1" applyAlignment="1">
      <alignment vertical="center"/>
    </xf>
    <xf numFmtId="0" fontId="20" fillId="0" borderId="11" xfId="10" applyFont="1" applyFill="1" applyBorder="1" applyAlignment="1">
      <alignment horizontal="center" vertical="center" wrapText="1"/>
    </xf>
    <xf numFmtId="0" fontId="20" fillId="0" borderId="16" xfId="10" applyFont="1" applyFill="1" applyBorder="1" applyAlignment="1">
      <alignment horizontal="center" vertical="center" wrapText="1"/>
    </xf>
    <xf numFmtId="0" fontId="30" fillId="0" borderId="45" xfId="10" applyFont="1" applyFill="1" applyBorder="1" applyAlignment="1">
      <alignment vertical="center"/>
    </xf>
    <xf numFmtId="0" fontId="30" fillId="0" borderId="30" xfId="10" applyFont="1" applyFill="1" applyBorder="1" applyAlignment="1">
      <alignment vertical="center"/>
    </xf>
    <xf numFmtId="180" fontId="20" fillId="0" borderId="1" xfId="10" applyNumberFormat="1" applyFont="1" applyFill="1" applyBorder="1" applyAlignment="1">
      <alignment vertical="center"/>
    </xf>
    <xf numFmtId="178" fontId="20" fillId="0" borderId="48" xfId="10" applyNumberFormat="1" applyFont="1" applyFill="1" applyBorder="1" applyAlignment="1">
      <alignment horizontal="center" vertical="center"/>
    </xf>
    <xf numFmtId="9" fontId="20" fillId="0" borderId="11" xfId="10" applyNumberFormat="1" applyFont="1" applyFill="1" applyBorder="1" applyAlignment="1">
      <alignment horizontal="center" vertical="center"/>
    </xf>
    <xf numFmtId="0" fontId="30" fillId="0" borderId="29" xfId="10" applyFont="1" applyFill="1" applyBorder="1" applyAlignment="1">
      <alignment vertical="center"/>
    </xf>
    <xf numFmtId="178" fontId="28" fillId="0" borderId="40" xfId="10" applyNumberFormat="1" applyFont="1" applyFill="1" applyBorder="1" applyAlignment="1">
      <alignment vertical="center"/>
    </xf>
    <xf numFmtId="178" fontId="28" fillId="0" borderId="48" xfId="10" applyNumberFormat="1" applyFont="1" applyFill="1" applyBorder="1" applyAlignment="1">
      <alignment horizontal="right" vertical="center"/>
    </xf>
    <xf numFmtId="0" fontId="20" fillId="0" borderId="2" xfId="10" applyFont="1" applyFill="1" applyBorder="1" applyAlignment="1">
      <alignment horizontal="center" vertical="center" wrapText="1"/>
    </xf>
    <xf numFmtId="0" fontId="31" fillId="0" borderId="0" xfId="10" applyFont="1" applyFill="1" applyAlignment="1">
      <alignment vertical="center"/>
    </xf>
    <xf numFmtId="41" fontId="31" fillId="0" borderId="0" xfId="1" applyFont="1" applyFill="1" applyAlignment="1">
      <alignment vertical="center"/>
    </xf>
    <xf numFmtId="0" fontId="20" fillId="0" borderId="46" xfId="10" applyFont="1" applyFill="1" applyBorder="1" applyAlignment="1">
      <alignment vertical="center"/>
    </xf>
    <xf numFmtId="180" fontId="27" fillId="0" borderId="48" xfId="0" applyNumberFormat="1" applyFont="1" applyBorder="1">
      <alignment vertical="center"/>
    </xf>
    <xf numFmtId="181" fontId="20" fillId="0" borderId="48" xfId="1" applyNumberFormat="1" applyFont="1" applyFill="1" applyBorder="1" applyAlignment="1">
      <alignment horizontal="center" vertical="center"/>
    </xf>
    <xf numFmtId="42" fontId="20" fillId="0" borderId="48" xfId="10" applyNumberFormat="1" applyFont="1" applyFill="1" applyBorder="1" applyAlignment="1">
      <alignment horizontal="center" vertical="center"/>
    </xf>
    <xf numFmtId="180" fontId="20" fillId="0" borderId="48" xfId="10" applyNumberFormat="1" applyFont="1" applyFill="1" applyBorder="1" applyAlignment="1">
      <alignment horizontal="center" vertical="center"/>
    </xf>
    <xf numFmtId="178" fontId="21" fillId="0" borderId="5" xfId="10" applyNumberFormat="1" applyFont="1" applyFill="1" applyBorder="1" applyAlignment="1">
      <alignment vertical="center"/>
    </xf>
    <xf numFmtId="180" fontId="21" fillId="0" borderId="0" xfId="10" applyNumberFormat="1" applyFont="1" applyFill="1" applyBorder="1" applyAlignment="1">
      <alignment horizontal="center" vertical="center"/>
    </xf>
    <xf numFmtId="182" fontId="21" fillId="0" borderId="0" xfId="11" applyNumberFormat="1" applyFont="1" applyFill="1" applyBorder="1" applyAlignment="1">
      <alignment horizontal="center" vertical="center"/>
    </xf>
    <xf numFmtId="180" fontId="21" fillId="0" borderId="0" xfId="10" applyNumberFormat="1" applyFont="1" applyFill="1" applyBorder="1" applyAlignment="1">
      <alignment vertical="center"/>
    </xf>
    <xf numFmtId="9" fontId="21" fillId="0" borderId="24" xfId="11" applyFont="1" applyFill="1" applyBorder="1" applyAlignment="1">
      <alignment horizontal="center" vertical="center"/>
    </xf>
    <xf numFmtId="179" fontId="21" fillId="0" borderId="24" xfId="10" applyNumberFormat="1" applyFont="1" applyFill="1" applyBorder="1" applyAlignment="1">
      <alignment vertical="center"/>
    </xf>
    <xf numFmtId="9" fontId="21" fillId="0" borderId="1" xfId="11" applyFont="1" applyFill="1" applyBorder="1" applyAlignment="1">
      <alignment horizontal="center" vertical="center"/>
    </xf>
    <xf numFmtId="179" fontId="21" fillId="0" borderId="1" xfId="10" applyNumberFormat="1" applyFont="1" applyFill="1" applyBorder="1" applyAlignment="1">
      <alignment vertical="center"/>
    </xf>
    <xf numFmtId="178" fontId="30" fillId="0" borderId="0" xfId="10" applyNumberFormat="1" applyFont="1" applyFill="1" applyBorder="1" applyAlignment="1">
      <alignment horizontal="right" vertical="center"/>
    </xf>
    <xf numFmtId="0" fontId="20" fillId="0" borderId="48" xfId="1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vertical="center"/>
    </xf>
    <xf numFmtId="0" fontId="20" fillId="0" borderId="11" xfId="10" applyFont="1" applyFill="1" applyBorder="1" applyAlignment="1">
      <alignment vertical="center" wrapText="1"/>
    </xf>
    <xf numFmtId="0" fontId="20" fillId="0" borderId="16" xfId="10" applyFont="1" applyFill="1" applyBorder="1" applyAlignment="1">
      <alignment vertical="center" wrapText="1"/>
    </xf>
    <xf numFmtId="9" fontId="20" fillId="0" borderId="0" xfId="11" applyFont="1" applyFill="1" applyBorder="1" applyAlignment="1">
      <alignment horizontal="center" vertical="center"/>
    </xf>
    <xf numFmtId="10" fontId="20" fillId="0" borderId="0" xfId="11" applyNumberFormat="1" applyFont="1" applyFill="1" applyBorder="1" applyAlignment="1">
      <alignment horizontal="center" vertical="center"/>
    </xf>
    <xf numFmtId="41" fontId="32" fillId="0" borderId="0" xfId="1" applyFont="1" applyFill="1" applyAlignment="1">
      <alignment vertical="center"/>
    </xf>
    <xf numFmtId="183" fontId="21" fillId="0" borderId="0" xfId="10" applyNumberFormat="1" applyFont="1" applyFill="1" applyBorder="1" applyAlignment="1">
      <alignment vertical="center"/>
    </xf>
    <xf numFmtId="184" fontId="21" fillId="0" borderId="0" xfId="10" applyNumberFormat="1" applyFont="1" applyFill="1" applyBorder="1" applyAlignment="1">
      <alignment horizontal="center" vertical="center"/>
    </xf>
    <xf numFmtId="0" fontId="21" fillId="0" borderId="0" xfId="10" applyFont="1" applyFill="1" applyBorder="1" applyAlignment="1">
      <alignment vertical="center"/>
    </xf>
    <xf numFmtId="0" fontId="21" fillId="0" borderId="45" xfId="10" applyFont="1" applyFill="1" applyBorder="1" applyAlignment="1">
      <alignment vertical="center"/>
    </xf>
    <xf numFmtId="9" fontId="20" fillId="0" borderId="1" xfId="11" applyFont="1" applyFill="1" applyBorder="1" applyAlignment="1">
      <alignment horizontal="center" vertical="center"/>
    </xf>
    <xf numFmtId="0" fontId="20" fillId="0" borderId="24" xfId="10" applyFont="1" applyFill="1" applyBorder="1" applyAlignment="1">
      <alignment vertical="center" wrapText="1"/>
    </xf>
    <xf numFmtId="178" fontId="21" fillId="0" borderId="0" xfId="10" applyNumberFormat="1" applyFont="1" applyFill="1" applyBorder="1" applyAlignment="1">
      <alignment horizontal="center" vertical="center"/>
    </xf>
    <xf numFmtId="180" fontId="33" fillId="0" borderId="0" xfId="0" applyNumberFormat="1" applyFont="1" applyBorder="1">
      <alignment vertical="center"/>
    </xf>
    <xf numFmtId="185" fontId="21" fillId="0" borderId="0" xfId="11" applyNumberFormat="1" applyFont="1" applyFill="1" applyBorder="1" applyAlignment="1">
      <alignment horizontal="center" vertical="center"/>
    </xf>
    <xf numFmtId="42" fontId="21" fillId="0" borderId="0" xfId="10" applyNumberFormat="1" applyFont="1" applyFill="1" applyBorder="1" applyAlignment="1">
      <alignment horizontal="center" vertical="center"/>
    </xf>
    <xf numFmtId="178" fontId="21" fillId="0" borderId="0" xfId="10" applyNumberFormat="1" applyFont="1" applyFill="1" applyBorder="1" applyAlignment="1">
      <alignment horizontal="left" vertical="center"/>
    </xf>
    <xf numFmtId="186" fontId="21" fillId="0" borderId="0" xfId="11" applyNumberFormat="1" applyFont="1" applyFill="1" applyBorder="1" applyAlignment="1">
      <alignment horizontal="right" vertical="center"/>
    </xf>
    <xf numFmtId="42" fontId="21" fillId="0" borderId="0" xfId="10" applyNumberFormat="1" applyFont="1" applyFill="1" applyBorder="1" applyAlignment="1">
      <alignment horizontal="left" vertical="center"/>
    </xf>
    <xf numFmtId="179" fontId="20" fillId="0" borderId="0" xfId="10" applyNumberFormat="1" applyFont="1" applyFill="1" applyBorder="1" applyAlignment="1">
      <alignment vertical="center"/>
    </xf>
    <xf numFmtId="9" fontId="21" fillId="0" borderId="0" xfId="11" applyFont="1" applyFill="1" applyBorder="1" applyAlignment="1">
      <alignment horizontal="left" vertical="center"/>
    </xf>
    <xf numFmtId="41" fontId="34" fillId="0" borderId="0" xfId="1" applyFont="1" applyFill="1" applyAlignment="1">
      <alignment vertical="center"/>
    </xf>
    <xf numFmtId="178" fontId="30" fillId="0" borderId="5" xfId="10" applyNumberFormat="1" applyFont="1" applyFill="1" applyBorder="1" applyAlignment="1">
      <alignment vertical="center"/>
    </xf>
    <xf numFmtId="178" fontId="30" fillId="0" borderId="0" xfId="10" applyNumberFormat="1" applyFont="1" applyFill="1" applyBorder="1" applyAlignment="1">
      <alignment horizontal="center" vertical="center"/>
    </xf>
    <xf numFmtId="185" fontId="30" fillId="0" borderId="0" xfId="11" applyNumberFormat="1" applyFont="1" applyFill="1" applyBorder="1" applyAlignment="1">
      <alignment horizontal="center" vertical="center"/>
    </xf>
    <xf numFmtId="42" fontId="30" fillId="0" borderId="0" xfId="10" applyNumberFormat="1" applyFont="1" applyFill="1" applyBorder="1" applyAlignment="1">
      <alignment horizontal="center" vertical="center"/>
    </xf>
    <xf numFmtId="178" fontId="30" fillId="0" borderId="0" xfId="10" applyNumberFormat="1" applyFont="1" applyFill="1" applyBorder="1" applyAlignment="1">
      <alignment horizontal="left" vertical="center"/>
    </xf>
    <xf numFmtId="186" fontId="30" fillId="0" borderId="0" xfId="11" applyNumberFormat="1" applyFont="1" applyFill="1" applyBorder="1" applyAlignment="1">
      <alignment horizontal="right" vertical="center"/>
    </xf>
    <xf numFmtId="42" fontId="30" fillId="0" borderId="0" xfId="10" applyNumberFormat="1" applyFont="1" applyFill="1" applyBorder="1" applyAlignment="1">
      <alignment horizontal="left" vertical="center"/>
    </xf>
    <xf numFmtId="178" fontId="30" fillId="0" borderId="0" xfId="10" applyNumberFormat="1" applyFont="1" applyFill="1" applyBorder="1" applyAlignment="1">
      <alignment vertical="center"/>
    </xf>
    <xf numFmtId="179" fontId="30" fillId="0" borderId="0" xfId="10" applyNumberFormat="1" applyFont="1" applyFill="1" applyBorder="1" applyAlignment="1">
      <alignment vertical="center"/>
    </xf>
    <xf numFmtId="0" fontId="30" fillId="0" borderId="0" xfId="10" applyFont="1" applyFill="1" applyBorder="1" applyAlignment="1">
      <alignment vertical="center"/>
    </xf>
    <xf numFmtId="178" fontId="20" fillId="0" borderId="28" xfId="10" applyNumberFormat="1" applyFont="1" applyFill="1" applyBorder="1" applyAlignment="1">
      <alignment vertical="center"/>
    </xf>
    <xf numFmtId="178" fontId="20" fillId="0" borderId="41" xfId="10" applyNumberFormat="1" applyFont="1" applyFill="1" applyBorder="1" applyAlignment="1">
      <alignment horizontal="right" vertical="center"/>
    </xf>
    <xf numFmtId="9" fontId="20" fillId="0" borderId="41" xfId="11" applyFont="1" applyFill="1" applyBorder="1" applyAlignment="1">
      <alignment vertical="center"/>
    </xf>
    <xf numFmtId="178" fontId="20" fillId="0" borderId="26" xfId="10" applyNumberFormat="1" applyFont="1" applyFill="1" applyBorder="1" applyAlignment="1">
      <alignment horizontal="center" vertical="center"/>
    </xf>
    <xf numFmtId="41" fontId="20" fillId="0" borderId="26" xfId="1" applyFont="1" applyFill="1" applyBorder="1" applyAlignment="1">
      <alignment vertical="center"/>
    </xf>
    <xf numFmtId="181" fontId="20" fillId="0" borderId="26" xfId="1" applyNumberFormat="1" applyFont="1" applyFill="1" applyBorder="1" applyAlignment="1">
      <alignment vertical="center"/>
    </xf>
    <xf numFmtId="178" fontId="20" fillId="0" borderId="26" xfId="10" applyNumberFormat="1" applyFont="1" applyFill="1" applyBorder="1" applyAlignment="1">
      <alignment horizontal="left" vertical="center"/>
    </xf>
    <xf numFmtId="42" fontId="20" fillId="0" borderId="26" xfId="10" applyNumberFormat="1" applyFont="1" applyFill="1" applyBorder="1" applyAlignment="1">
      <alignment horizontal="left" vertical="center"/>
    </xf>
    <xf numFmtId="179" fontId="20" fillId="0" borderId="26" xfId="10" applyNumberFormat="1" applyFont="1" applyFill="1" applyBorder="1" applyAlignment="1">
      <alignment vertical="center"/>
    </xf>
    <xf numFmtId="178" fontId="20" fillId="0" borderId="26" xfId="10" applyNumberFormat="1" applyFont="1" applyFill="1" applyBorder="1" applyAlignment="1">
      <alignment horizontal="right" vertical="center"/>
    </xf>
    <xf numFmtId="0" fontId="20" fillId="0" borderId="50" xfId="10" applyFont="1" applyFill="1" applyBorder="1" applyAlignment="1">
      <alignment vertical="center"/>
    </xf>
    <xf numFmtId="180" fontId="21" fillId="0" borderId="1" xfId="10" applyNumberFormat="1" applyFont="1" applyFill="1" applyBorder="1" applyAlignment="1">
      <alignment vertical="center"/>
    </xf>
    <xf numFmtId="178" fontId="21" fillId="0" borderId="49" xfId="10" applyNumberFormat="1" applyFont="1" applyFill="1" applyBorder="1" applyAlignment="1">
      <alignment vertical="center"/>
    </xf>
    <xf numFmtId="178" fontId="21" fillId="0" borderId="48" xfId="10" applyNumberFormat="1" applyFont="1" applyFill="1" applyBorder="1" applyAlignment="1">
      <alignment horizontal="right" vertical="center"/>
    </xf>
    <xf numFmtId="0" fontId="21" fillId="0" borderId="48" xfId="10" applyFont="1" applyFill="1" applyBorder="1" applyAlignment="1">
      <alignment vertical="center"/>
    </xf>
    <xf numFmtId="9" fontId="21" fillId="0" borderId="48" xfId="11" applyFont="1" applyFill="1" applyBorder="1" applyAlignment="1">
      <alignment horizontal="left" vertical="center"/>
    </xf>
    <xf numFmtId="178" fontId="21" fillId="0" borderId="48" xfId="10" applyNumberFormat="1" applyFont="1" applyFill="1" applyBorder="1" applyAlignment="1">
      <alignment horizontal="center" vertical="center"/>
    </xf>
    <xf numFmtId="41" fontId="21" fillId="0" borderId="48" xfId="1" applyFont="1" applyFill="1" applyBorder="1" applyAlignment="1">
      <alignment vertical="center"/>
    </xf>
    <xf numFmtId="181" fontId="21" fillId="0" borderId="48" xfId="1" applyNumberFormat="1" applyFont="1" applyFill="1" applyBorder="1" applyAlignment="1">
      <alignment vertical="center"/>
    </xf>
    <xf numFmtId="178" fontId="21" fillId="0" borderId="48" xfId="10" applyNumberFormat="1" applyFont="1" applyFill="1" applyBorder="1" applyAlignment="1">
      <alignment horizontal="left" vertical="center"/>
    </xf>
    <xf numFmtId="178" fontId="21" fillId="0" borderId="48" xfId="10" applyNumberFormat="1" applyFont="1" applyFill="1" applyBorder="1" applyAlignment="1">
      <alignment vertical="center"/>
    </xf>
    <xf numFmtId="42" fontId="21" fillId="0" borderId="48" xfId="10" applyNumberFormat="1" applyFont="1" applyFill="1" applyBorder="1" applyAlignment="1">
      <alignment horizontal="left" vertical="center"/>
    </xf>
    <xf numFmtId="179" fontId="21" fillId="0" borderId="48" xfId="10" applyNumberFormat="1" applyFont="1" applyFill="1" applyBorder="1" applyAlignment="1">
      <alignment vertical="center"/>
    </xf>
    <xf numFmtId="0" fontId="21" fillId="0" borderId="29" xfId="10" applyFont="1" applyFill="1" applyBorder="1" applyAlignment="1">
      <alignment vertical="center"/>
    </xf>
    <xf numFmtId="178" fontId="23" fillId="0" borderId="51" xfId="10" applyNumberFormat="1" applyFont="1" applyFill="1" applyBorder="1" applyAlignment="1">
      <alignment vertical="center"/>
    </xf>
    <xf numFmtId="178" fontId="23" fillId="0" borderId="26" xfId="10" applyNumberFormat="1" applyFont="1" applyFill="1" applyBorder="1" applyAlignment="1">
      <alignment horizontal="right" vertical="center"/>
    </xf>
    <xf numFmtId="178" fontId="23" fillId="0" borderId="26" xfId="10" applyNumberFormat="1" applyFont="1" applyFill="1" applyBorder="1" applyAlignment="1">
      <alignment vertical="center"/>
    </xf>
    <xf numFmtId="178" fontId="24" fillId="0" borderId="26" xfId="10" applyNumberFormat="1" applyFont="1" applyFill="1" applyBorder="1" applyAlignment="1">
      <alignment vertical="center"/>
    </xf>
    <xf numFmtId="178" fontId="25" fillId="0" borderId="26" xfId="10" applyNumberFormat="1" applyFont="1" applyFill="1" applyBorder="1" applyAlignment="1">
      <alignment vertical="center"/>
    </xf>
    <xf numFmtId="0" fontId="25" fillId="0" borderId="26" xfId="10" applyFont="1" applyFill="1" applyBorder="1" applyAlignment="1">
      <alignment vertical="center"/>
    </xf>
    <xf numFmtId="0" fontId="24" fillId="0" borderId="47" xfId="10" applyFont="1" applyFill="1" applyBorder="1" applyAlignment="1">
      <alignment vertical="center"/>
    </xf>
    <xf numFmtId="9" fontId="26" fillId="0" borderId="1" xfId="11" applyFont="1" applyFill="1" applyBorder="1" applyAlignment="1">
      <alignment horizontal="center" vertical="center"/>
    </xf>
    <xf numFmtId="179" fontId="26" fillId="0" borderId="1" xfId="10" applyNumberFormat="1" applyFont="1" applyFill="1" applyBorder="1" applyAlignment="1">
      <alignment vertical="center"/>
    </xf>
    <xf numFmtId="180" fontId="26" fillId="0" borderId="1" xfId="10" applyNumberFormat="1" applyFont="1" applyFill="1" applyBorder="1" applyAlignment="1">
      <alignment vertical="center"/>
    </xf>
    <xf numFmtId="178" fontId="35" fillId="0" borderId="49" xfId="10" applyNumberFormat="1" applyFont="1" applyFill="1" applyBorder="1" applyAlignment="1">
      <alignment vertical="center"/>
    </xf>
    <xf numFmtId="178" fontId="35" fillId="0" borderId="48" xfId="10" applyNumberFormat="1" applyFont="1" applyFill="1" applyBorder="1" applyAlignment="1">
      <alignment horizontal="right" vertical="center"/>
    </xf>
    <xf numFmtId="178" fontId="35" fillId="0" borderId="48" xfId="10" applyNumberFormat="1" applyFont="1" applyFill="1" applyBorder="1" applyAlignment="1">
      <alignment vertical="center"/>
    </xf>
    <xf numFmtId="178" fontId="36" fillId="0" borderId="48" xfId="10" applyNumberFormat="1" applyFont="1" applyFill="1" applyBorder="1" applyAlignment="1">
      <alignment vertical="center"/>
    </xf>
    <xf numFmtId="0" fontId="36" fillId="0" borderId="48" xfId="10" applyFont="1" applyFill="1" applyBorder="1" applyAlignment="1">
      <alignment vertical="center"/>
    </xf>
    <xf numFmtId="0" fontId="35" fillId="0" borderId="29" xfId="10" applyFont="1" applyFill="1" applyBorder="1" applyAlignment="1">
      <alignment vertical="center"/>
    </xf>
    <xf numFmtId="9" fontId="36" fillId="0" borderId="11" xfId="10" applyNumberFormat="1" applyFont="1" applyFill="1" applyBorder="1" applyAlignment="1">
      <alignment horizontal="center" vertical="center"/>
    </xf>
    <xf numFmtId="179" fontId="36" fillId="0" borderId="11" xfId="10" applyNumberFormat="1" applyFont="1" applyFill="1" applyBorder="1" applyAlignment="1">
      <alignment vertical="center"/>
    </xf>
    <xf numFmtId="180" fontId="21" fillId="0" borderId="11" xfId="10" applyNumberFormat="1" applyFont="1" applyFill="1" applyBorder="1" applyAlignment="1">
      <alignment vertical="center"/>
    </xf>
    <xf numFmtId="178" fontId="35" fillId="0" borderId="51" xfId="10" applyNumberFormat="1" applyFont="1" applyFill="1" applyBorder="1" applyAlignment="1">
      <alignment vertical="center"/>
    </xf>
    <xf numFmtId="178" fontId="35" fillId="0" borderId="26" xfId="10" applyNumberFormat="1" applyFont="1" applyFill="1" applyBorder="1" applyAlignment="1">
      <alignment horizontal="right" vertical="center"/>
    </xf>
    <xf numFmtId="178" fontId="35" fillId="0" borderId="26" xfId="10" applyNumberFormat="1" applyFont="1" applyFill="1" applyBorder="1" applyAlignment="1">
      <alignment vertical="center"/>
    </xf>
    <xf numFmtId="178" fontId="36" fillId="0" borderId="26" xfId="10" applyNumberFormat="1" applyFont="1" applyFill="1" applyBorder="1" applyAlignment="1">
      <alignment vertical="center"/>
    </xf>
    <xf numFmtId="0" fontId="36" fillId="0" borderId="26" xfId="10" applyFont="1" applyFill="1" applyBorder="1" applyAlignment="1">
      <alignment vertical="center"/>
    </xf>
    <xf numFmtId="0" fontId="35" fillId="0" borderId="50" xfId="10" applyFont="1" applyFill="1" applyBorder="1" applyAlignment="1">
      <alignment vertical="center"/>
    </xf>
    <xf numFmtId="9" fontId="36" fillId="0" borderId="1" xfId="10" applyNumberFormat="1" applyFont="1" applyFill="1" applyBorder="1" applyAlignment="1">
      <alignment horizontal="center" vertical="center"/>
    </xf>
    <xf numFmtId="179" fontId="36" fillId="0" borderId="1" xfId="10" applyNumberFormat="1" applyFont="1" applyFill="1" applyBorder="1" applyAlignment="1">
      <alignment vertical="center"/>
    </xf>
    <xf numFmtId="180" fontId="36" fillId="0" borderId="1" xfId="10" applyNumberFormat="1" applyFont="1" applyFill="1" applyBorder="1" applyAlignment="1">
      <alignment vertical="center"/>
    </xf>
    <xf numFmtId="41" fontId="20" fillId="0" borderId="0" xfId="1" applyFont="1" applyFill="1" applyBorder="1" applyAlignment="1">
      <alignment vertical="center"/>
    </xf>
    <xf numFmtId="0" fontId="20" fillId="0" borderId="0" xfId="10" applyFont="1" applyFill="1" applyBorder="1" applyAlignment="1">
      <alignment horizontal="center" vertical="center"/>
    </xf>
    <xf numFmtId="0" fontId="20" fillId="0" borderId="45" xfId="10" applyFont="1" applyFill="1" applyBorder="1" applyAlignment="1">
      <alignment horizontal="left" vertical="center"/>
    </xf>
    <xf numFmtId="0" fontId="30" fillId="0" borderId="45" xfId="10" applyFont="1" applyFill="1" applyBorder="1" applyAlignment="1">
      <alignment horizontal="left" vertical="center"/>
    </xf>
    <xf numFmtId="0" fontId="20" fillId="0" borderId="23" xfId="10" applyFont="1" applyFill="1" applyBorder="1" applyAlignment="1">
      <alignment horizontal="center" vertical="center" wrapText="1"/>
    </xf>
    <xf numFmtId="0" fontId="20" fillId="0" borderId="25" xfId="10" applyFont="1" applyFill="1" applyBorder="1" applyAlignment="1">
      <alignment horizontal="center" vertical="center" wrapText="1"/>
    </xf>
    <xf numFmtId="0" fontId="19" fillId="0" borderId="0" xfId="10" applyFont="1" applyFill="1" applyAlignment="1">
      <alignment horizontal="center" vertical="center"/>
    </xf>
    <xf numFmtId="41" fontId="19" fillId="0" borderId="0" xfId="1" applyFont="1" applyFill="1" applyAlignment="1">
      <alignment horizontal="center" vertical="center"/>
    </xf>
    <xf numFmtId="178" fontId="35" fillId="0" borderId="21" xfId="10" applyNumberFormat="1" applyFont="1" applyFill="1" applyBorder="1" applyAlignment="1">
      <alignment vertical="center"/>
    </xf>
    <xf numFmtId="180" fontId="35" fillId="0" borderId="32" xfId="10" applyNumberFormat="1" applyFont="1" applyFill="1" applyBorder="1" applyAlignment="1">
      <alignment vertical="center"/>
    </xf>
    <xf numFmtId="178" fontId="35" fillId="0" borderId="52" xfId="10" applyNumberFormat="1" applyFont="1" applyFill="1" applyBorder="1" applyAlignment="1">
      <alignment horizontal="center" vertical="center"/>
    </xf>
    <xf numFmtId="0" fontId="35" fillId="0" borderId="52" xfId="10" applyFont="1" applyFill="1" applyBorder="1" applyAlignment="1">
      <alignment vertical="center"/>
    </xf>
    <xf numFmtId="9" fontId="35" fillId="0" borderId="20" xfId="10" applyNumberFormat="1" applyFont="1" applyFill="1" applyBorder="1" applyAlignment="1">
      <alignment horizontal="center" vertical="center"/>
    </xf>
    <xf numFmtId="187" fontId="35" fillId="0" borderId="20" xfId="10" applyNumberFormat="1" applyFont="1" applyFill="1" applyBorder="1" applyAlignment="1">
      <alignment vertical="center"/>
    </xf>
    <xf numFmtId="180" fontId="35" fillId="0" borderId="20" xfId="10" applyNumberFormat="1" applyFont="1" applyFill="1" applyBorder="1" applyAlignment="1">
      <alignment vertical="center"/>
    </xf>
    <xf numFmtId="9" fontId="37" fillId="0" borderId="3" xfId="10" applyNumberFormat="1" applyFont="1" applyFill="1" applyBorder="1" applyAlignment="1">
      <alignment horizontal="center" vertical="center"/>
    </xf>
    <xf numFmtId="179" fontId="20" fillId="0" borderId="3" xfId="10" applyNumberFormat="1" applyFont="1" applyFill="1" applyBorder="1" applyAlignment="1">
      <alignment horizontal="center" vertical="center" wrapText="1"/>
    </xf>
    <xf numFmtId="0" fontId="20" fillId="0" borderId="3" xfId="10" applyFont="1" applyFill="1" applyBorder="1" applyAlignment="1">
      <alignment horizontal="center" vertical="center" wrapText="1"/>
    </xf>
    <xf numFmtId="0" fontId="20" fillId="0" borderId="15" xfId="10" applyFont="1" applyFill="1" applyBorder="1" applyAlignment="1">
      <alignment horizontal="center" vertical="center" wrapText="1"/>
    </xf>
    <xf numFmtId="178" fontId="19" fillId="0" borderId="0" xfId="10" applyNumberFormat="1" applyFont="1" applyFill="1" applyBorder="1" applyAlignment="1">
      <alignment vertical="center"/>
    </xf>
    <xf numFmtId="9" fontId="19" fillId="0" borderId="0" xfId="11" applyFont="1" applyFill="1" applyBorder="1" applyAlignment="1">
      <alignment horizontal="center" vertical="center"/>
    </xf>
    <xf numFmtId="38" fontId="19" fillId="0" borderId="0" xfId="10" applyNumberFormat="1" applyFont="1" applyFill="1" applyBorder="1" applyAlignment="1">
      <alignment vertical="center"/>
    </xf>
    <xf numFmtId="0" fontId="19" fillId="0" borderId="0" xfId="10" applyFont="1" applyFill="1" applyBorder="1" applyAlignment="1">
      <alignment horizontal="center" vertical="center" wrapText="1"/>
    </xf>
    <xf numFmtId="38" fontId="34" fillId="0" borderId="0" xfId="10" applyNumberFormat="1" applyFont="1" applyFill="1" applyBorder="1" applyAlignment="1">
      <alignment vertical="center"/>
    </xf>
    <xf numFmtId="178" fontId="30" fillId="0" borderId="43" xfId="10" applyNumberFormat="1" applyFont="1" applyFill="1" applyBorder="1" applyAlignment="1">
      <alignment vertical="center"/>
    </xf>
    <xf numFmtId="178" fontId="30" fillId="0" borderId="13" xfId="10" applyNumberFormat="1" applyFont="1" applyFill="1" applyBorder="1" applyAlignment="1">
      <alignment vertical="center"/>
    </xf>
    <xf numFmtId="0" fontId="30" fillId="0" borderId="13" xfId="10" applyFont="1" applyFill="1" applyBorder="1" applyAlignment="1">
      <alignment vertical="center"/>
    </xf>
    <xf numFmtId="9" fontId="20" fillId="0" borderId="7" xfId="11" applyFont="1" applyFill="1" applyBorder="1" applyAlignment="1">
      <alignment horizontal="center" vertical="center"/>
    </xf>
    <xf numFmtId="38" fontId="20" fillId="0" borderId="7" xfId="10" applyNumberFormat="1" applyFont="1" applyFill="1" applyBorder="1" applyAlignment="1">
      <alignment vertical="center"/>
    </xf>
    <xf numFmtId="38" fontId="20" fillId="0" borderId="44" xfId="10" applyNumberFormat="1" applyFont="1" applyFill="1" applyBorder="1" applyAlignment="1">
      <alignment vertical="center"/>
    </xf>
    <xf numFmtId="0" fontId="20" fillId="0" borderId="7" xfId="10" applyFont="1" applyFill="1" applyBorder="1" applyAlignment="1">
      <alignment horizontal="center" vertical="center" wrapText="1"/>
    </xf>
    <xf numFmtId="0" fontId="20" fillId="0" borderId="6" xfId="10" applyFont="1" applyFill="1" applyBorder="1" applyAlignment="1">
      <alignment horizontal="center" vertical="center" wrapText="1"/>
    </xf>
    <xf numFmtId="38" fontId="20" fillId="0" borderId="24" xfId="10" applyNumberFormat="1" applyFont="1" applyFill="1" applyBorder="1" applyAlignment="1">
      <alignment vertical="center"/>
    </xf>
    <xf numFmtId="38" fontId="20" fillId="0" borderId="45" xfId="10" applyNumberFormat="1" applyFont="1" applyFill="1" applyBorder="1" applyAlignment="1">
      <alignment vertical="center"/>
    </xf>
    <xf numFmtId="178" fontId="22" fillId="0" borderId="49" xfId="10" applyNumberFormat="1" applyFont="1" applyFill="1" applyBorder="1" applyAlignment="1">
      <alignment vertical="center"/>
    </xf>
    <xf numFmtId="178" fontId="22" fillId="0" borderId="48" xfId="10" applyNumberFormat="1" applyFont="1" applyFill="1" applyBorder="1" applyAlignment="1">
      <alignment horizontal="right" vertical="center"/>
    </xf>
    <xf numFmtId="178" fontId="22" fillId="0" borderId="48" xfId="10" applyNumberFormat="1" applyFont="1" applyFill="1" applyBorder="1" applyAlignment="1">
      <alignment vertical="center"/>
    </xf>
    <xf numFmtId="178" fontId="22" fillId="0" borderId="46" xfId="10" applyNumberFormat="1" applyFont="1" applyFill="1" applyBorder="1" applyAlignment="1">
      <alignment vertical="center"/>
    </xf>
    <xf numFmtId="0" fontId="22" fillId="0" borderId="48" xfId="10" applyFont="1" applyFill="1" applyBorder="1" applyAlignment="1">
      <alignment vertical="center"/>
    </xf>
    <xf numFmtId="178" fontId="20" fillId="0" borderId="1" xfId="0" applyNumberFormat="1" applyFont="1" applyFill="1" applyBorder="1" applyAlignment="1">
      <alignment vertical="center"/>
    </xf>
    <xf numFmtId="178" fontId="22" fillId="0" borderId="54" xfId="10" applyNumberFormat="1" applyFont="1" applyFill="1" applyBorder="1" applyAlignment="1">
      <alignment vertical="center"/>
    </xf>
    <xf numFmtId="178" fontId="22" fillId="0" borderId="32" xfId="10" applyNumberFormat="1" applyFont="1" applyFill="1" applyBorder="1" applyAlignment="1">
      <alignment vertical="center"/>
    </xf>
    <xf numFmtId="0" fontId="22" fillId="0" borderId="32" xfId="10" applyFont="1" applyFill="1" applyBorder="1" applyAlignment="1">
      <alignment vertical="center"/>
    </xf>
    <xf numFmtId="0" fontId="22" fillId="0" borderId="10" xfId="10" applyFont="1" applyFill="1" applyBorder="1" applyAlignment="1">
      <alignment vertical="center"/>
    </xf>
    <xf numFmtId="9" fontId="20" fillId="0" borderId="8" xfId="11" applyFont="1" applyFill="1" applyBorder="1" applyAlignment="1">
      <alignment horizontal="center" vertical="center"/>
    </xf>
    <xf numFmtId="38" fontId="20" fillId="0" borderId="8" xfId="10" applyNumberFormat="1" applyFont="1" applyFill="1" applyBorder="1" applyAlignment="1">
      <alignment vertical="center"/>
    </xf>
    <xf numFmtId="0" fontId="20" fillId="0" borderId="43" xfId="10" applyFont="1" applyFill="1" applyBorder="1" applyAlignment="1">
      <alignment vertical="center"/>
    </xf>
    <xf numFmtId="178" fontId="22" fillId="0" borderId="40" xfId="10" applyNumberFormat="1" applyFont="1" applyFill="1" applyBorder="1" applyAlignment="1">
      <alignment vertical="center"/>
    </xf>
    <xf numFmtId="9" fontId="20" fillId="0" borderId="19" xfId="11" applyFont="1" applyFill="1" applyBorder="1" applyAlignment="1">
      <alignment horizontal="center" vertical="center"/>
    </xf>
    <xf numFmtId="38" fontId="20" fillId="0" borderId="19" xfId="1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38" fillId="0" borderId="48" xfId="10" applyFont="1" applyFill="1" applyBorder="1" applyAlignment="1">
      <alignment vertical="center"/>
    </xf>
    <xf numFmtId="0" fontId="22" fillId="0" borderId="27" xfId="10" applyFont="1" applyFill="1" applyBorder="1" applyAlignment="1">
      <alignment horizontal="center" vertical="center" wrapText="1"/>
    </xf>
    <xf numFmtId="178" fontId="39" fillId="0" borderId="46" xfId="10" applyNumberFormat="1" applyFont="1" applyFill="1" applyBorder="1" applyAlignment="1">
      <alignment vertical="center"/>
    </xf>
    <xf numFmtId="0" fontId="22" fillId="0" borderId="2" xfId="10" applyFont="1" applyFill="1" applyBorder="1" applyAlignment="1">
      <alignment horizontal="center" vertical="center" wrapText="1"/>
    </xf>
    <xf numFmtId="0" fontId="19" fillId="0" borderId="0" xfId="0" applyFont="1" applyFill="1">
      <alignment vertical="center"/>
    </xf>
    <xf numFmtId="178" fontId="19" fillId="0" borderId="0" xfId="0" applyNumberFormat="1" applyFont="1" applyFill="1">
      <alignment vertical="center"/>
    </xf>
    <xf numFmtId="41" fontId="30" fillId="0" borderId="0" xfId="1" applyFont="1" applyFill="1" applyBorder="1" applyAlignment="1">
      <alignment vertical="center"/>
    </xf>
    <xf numFmtId="0" fontId="30" fillId="0" borderId="48" xfId="10" applyFont="1" applyFill="1" applyBorder="1" applyAlignment="1">
      <alignment vertical="center" wrapText="1"/>
    </xf>
    <xf numFmtId="38" fontId="20" fillId="0" borderId="11" xfId="10" applyNumberFormat="1" applyFont="1" applyFill="1" applyBorder="1" applyAlignment="1">
      <alignment vertical="center"/>
    </xf>
    <xf numFmtId="38" fontId="20" fillId="0" borderId="29" xfId="10" applyNumberFormat="1" applyFont="1" applyFill="1" applyBorder="1" applyAlignment="1">
      <alignment vertical="center"/>
    </xf>
    <xf numFmtId="0" fontId="30" fillId="0" borderId="0" xfId="10" applyFont="1" applyFill="1" applyBorder="1" applyAlignment="1">
      <alignment vertical="center" wrapText="1"/>
    </xf>
    <xf numFmtId="0" fontId="38" fillId="0" borderId="0" xfId="10" applyFont="1" applyFill="1" applyBorder="1" applyAlignment="1">
      <alignment vertical="center"/>
    </xf>
    <xf numFmtId="178" fontId="30" fillId="0" borderId="40" xfId="10" applyNumberFormat="1" applyFont="1" applyFill="1" applyBorder="1" applyAlignment="1">
      <alignment vertical="center"/>
    </xf>
    <xf numFmtId="178" fontId="30" fillId="0" borderId="46" xfId="10" applyNumberFormat="1" applyFont="1" applyFill="1" applyBorder="1" applyAlignment="1">
      <alignment horizontal="right" vertical="center"/>
    </xf>
    <xf numFmtId="178" fontId="30" fillId="0" borderId="46" xfId="10" applyNumberFormat="1" applyFont="1" applyFill="1" applyBorder="1" applyAlignment="1">
      <alignment vertical="center"/>
    </xf>
    <xf numFmtId="0" fontId="30" fillId="0" borderId="26" xfId="10" applyFont="1" applyFill="1" applyBorder="1" applyAlignment="1">
      <alignment vertical="center" wrapText="1"/>
    </xf>
    <xf numFmtId="0" fontId="21" fillId="0" borderId="26" xfId="10" applyFont="1" applyFill="1" applyBorder="1" applyAlignment="1">
      <alignment vertical="center" wrapText="1"/>
    </xf>
    <xf numFmtId="0" fontId="38" fillId="0" borderId="26" xfId="10" applyFont="1" applyFill="1" applyBorder="1" applyAlignment="1">
      <alignment vertical="center"/>
    </xf>
    <xf numFmtId="0" fontId="30" fillId="0" borderId="47" xfId="10" applyFont="1" applyFill="1" applyBorder="1" applyAlignment="1">
      <alignment vertical="center"/>
    </xf>
    <xf numFmtId="38" fontId="20" fillId="0" borderId="1" xfId="10" applyNumberFormat="1" applyFont="1" applyFill="1" applyBorder="1" applyAlignment="1">
      <alignment vertical="center"/>
    </xf>
    <xf numFmtId="38" fontId="20" fillId="0" borderId="47" xfId="10" applyNumberFormat="1" applyFont="1" applyFill="1" applyBorder="1" applyAlignment="1">
      <alignment vertical="center"/>
    </xf>
    <xf numFmtId="0" fontId="30" fillId="0" borderId="49" xfId="0" applyFont="1" applyFill="1" applyBorder="1">
      <alignment vertical="center"/>
    </xf>
    <xf numFmtId="180" fontId="30" fillId="0" borderId="48" xfId="0" applyNumberFormat="1" applyFont="1" applyFill="1" applyBorder="1" applyAlignment="1">
      <alignment horizontal="right" vertical="center"/>
    </xf>
    <xf numFmtId="0" fontId="30" fillId="0" borderId="48" xfId="0" applyFont="1" applyFill="1" applyBorder="1">
      <alignment vertical="center"/>
    </xf>
    <xf numFmtId="0" fontId="21" fillId="0" borderId="4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178" fontId="30" fillId="0" borderId="26" xfId="10" applyNumberFormat="1" applyFont="1" applyFill="1" applyBorder="1" applyAlignment="1">
      <alignment vertical="center"/>
    </xf>
    <xf numFmtId="0" fontId="21" fillId="0" borderId="26" xfId="10" applyFont="1" applyFill="1" applyBorder="1" applyAlignment="1">
      <alignment vertical="center"/>
    </xf>
    <xf numFmtId="0" fontId="30" fillId="0" borderId="26" xfId="10" applyFont="1" applyFill="1" applyBorder="1" applyAlignment="1">
      <alignment vertical="center"/>
    </xf>
    <xf numFmtId="178" fontId="30" fillId="0" borderId="49" xfId="10" applyNumberFormat="1" applyFont="1" applyFill="1" applyBorder="1" applyAlignment="1">
      <alignment vertical="center"/>
    </xf>
    <xf numFmtId="180" fontId="30" fillId="0" borderId="48" xfId="10" applyNumberFormat="1" applyFont="1" applyFill="1" applyBorder="1" applyAlignment="1">
      <alignment horizontal="right" vertical="center"/>
    </xf>
    <xf numFmtId="178" fontId="30" fillId="0" borderId="48" xfId="10" applyNumberFormat="1" applyFont="1" applyFill="1" applyBorder="1" applyAlignment="1">
      <alignment horizontal="right" vertical="center"/>
    </xf>
    <xf numFmtId="178" fontId="30" fillId="0" borderId="48" xfId="10" applyNumberFormat="1" applyFont="1" applyFill="1" applyBorder="1" applyAlignment="1">
      <alignment vertical="center"/>
    </xf>
    <xf numFmtId="0" fontId="30" fillId="0" borderId="48" xfId="10" applyFont="1" applyFill="1" applyBorder="1" applyAlignment="1">
      <alignment vertical="center"/>
    </xf>
    <xf numFmtId="0" fontId="30" fillId="0" borderId="5" xfId="0" applyFont="1" applyFill="1" applyBorder="1">
      <alignment vertical="center"/>
    </xf>
    <xf numFmtId="180" fontId="30" fillId="0" borderId="0" xfId="0" applyNumberFormat="1" applyFont="1" applyFill="1" applyAlignment="1">
      <alignment horizontal="right" vertical="center"/>
    </xf>
    <xf numFmtId="0" fontId="30" fillId="0" borderId="0" xfId="0" applyFont="1" applyFill="1">
      <alignment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right" vertical="center"/>
    </xf>
    <xf numFmtId="0" fontId="30" fillId="0" borderId="0" xfId="10" applyFont="1" applyFill="1" applyBorder="1" applyAlignment="1">
      <alignment horizontal="center" vertical="center"/>
    </xf>
    <xf numFmtId="0" fontId="29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41" fontId="30" fillId="0" borderId="0" xfId="1" applyFont="1" applyFill="1" applyBorder="1" applyAlignment="1">
      <alignment horizontal="center" vertical="center"/>
    </xf>
    <xf numFmtId="0" fontId="30" fillId="0" borderId="48" xfId="10" applyFont="1" applyFill="1" applyBorder="1" applyAlignment="1">
      <alignment horizontal="center" vertical="center"/>
    </xf>
    <xf numFmtId="3" fontId="40" fillId="0" borderId="45" xfId="0" applyNumberFormat="1" applyFont="1" applyFill="1" applyBorder="1" applyAlignment="1">
      <alignment vertical="center"/>
    </xf>
    <xf numFmtId="3" fontId="20" fillId="0" borderId="47" xfId="0" applyNumberFormat="1" applyFont="1" applyFill="1" applyBorder="1" applyAlignment="1">
      <alignment vertical="center"/>
    </xf>
    <xf numFmtId="3" fontId="40" fillId="0" borderId="29" xfId="0" applyNumberFormat="1" applyFont="1" applyFill="1" applyBorder="1" applyAlignment="1">
      <alignment vertical="center"/>
    </xf>
    <xf numFmtId="178" fontId="30" fillId="0" borderId="0" xfId="12" applyNumberFormat="1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178" fontId="30" fillId="0" borderId="0" xfId="12" applyNumberFormat="1" applyFont="1" applyFill="1" applyBorder="1" applyAlignment="1">
      <alignment vertical="center"/>
    </xf>
    <xf numFmtId="178" fontId="20" fillId="0" borderId="46" xfId="10" applyNumberFormat="1" applyFont="1" applyFill="1" applyBorder="1" applyAlignment="1">
      <alignment vertical="center"/>
    </xf>
    <xf numFmtId="178" fontId="22" fillId="0" borderId="46" xfId="10" applyNumberFormat="1" applyFont="1" applyFill="1" applyBorder="1" applyAlignment="1">
      <alignment horizontal="right" vertical="center"/>
    </xf>
    <xf numFmtId="0" fontId="39" fillId="0" borderId="46" xfId="10" applyFont="1" applyFill="1" applyBorder="1" applyAlignment="1">
      <alignment vertical="center"/>
    </xf>
    <xf numFmtId="0" fontId="20" fillId="0" borderId="19" xfId="10" applyFont="1" applyFill="1" applyBorder="1" applyAlignment="1">
      <alignment horizontal="center" vertical="center" wrapText="1"/>
    </xf>
    <xf numFmtId="178" fontId="38" fillId="0" borderId="40" xfId="10" applyNumberFormat="1" applyFont="1" applyFill="1" applyBorder="1" applyAlignment="1">
      <alignment vertical="center"/>
    </xf>
    <xf numFmtId="178" fontId="38" fillId="0" borderId="46" xfId="10" applyNumberFormat="1" applyFont="1" applyFill="1" applyBorder="1" applyAlignment="1">
      <alignment horizontal="right" vertical="center"/>
    </xf>
    <xf numFmtId="178" fontId="38" fillId="0" borderId="46" xfId="10" applyNumberFormat="1" applyFont="1" applyFill="1" applyBorder="1" applyAlignment="1">
      <alignment vertical="center"/>
    </xf>
    <xf numFmtId="178" fontId="38" fillId="0" borderId="26" xfId="10" applyNumberFormat="1" applyFont="1" applyFill="1" applyBorder="1" applyAlignment="1">
      <alignment vertical="center"/>
    </xf>
    <xf numFmtId="0" fontId="39" fillId="0" borderId="26" xfId="10" applyFont="1" applyFill="1" applyBorder="1" applyAlignment="1">
      <alignment vertical="center"/>
    </xf>
    <xf numFmtId="0" fontId="38" fillId="0" borderId="30" xfId="10" applyFont="1" applyFill="1" applyBorder="1" applyAlignment="1">
      <alignment vertical="center"/>
    </xf>
    <xf numFmtId="38" fontId="20" fillId="0" borderId="0" xfId="10" applyNumberFormat="1" applyFont="1" applyFill="1" applyBorder="1" applyAlignment="1">
      <alignment vertical="center"/>
    </xf>
    <xf numFmtId="0" fontId="30" fillId="0" borderId="0" xfId="12" applyFont="1" applyFill="1" applyBorder="1" applyAlignment="1">
      <alignment horizontal="center" vertical="center"/>
    </xf>
    <xf numFmtId="38" fontId="30" fillId="0" borderId="11" xfId="12" applyNumberFormat="1" applyFont="1" applyFill="1" applyBorder="1" applyAlignment="1">
      <alignment vertical="center"/>
    </xf>
    <xf numFmtId="38" fontId="30" fillId="0" borderId="11" xfId="12" applyNumberFormat="1" applyFont="1" applyFill="1" applyBorder="1" applyAlignment="1">
      <alignment horizontal="center" vertical="center" wrapText="1"/>
    </xf>
    <xf numFmtId="9" fontId="20" fillId="0" borderId="45" xfId="11" applyFont="1" applyFill="1" applyBorder="1" applyAlignment="1">
      <alignment horizontal="center" vertical="center"/>
    </xf>
    <xf numFmtId="0" fontId="38" fillId="0" borderId="46" xfId="10" applyFont="1" applyFill="1" applyBorder="1" applyAlignment="1">
      <alignment vertical="center"/>
    </xf>
    <xf numFmtId="3" fontId="40" fillId="0" borderId="0" xfId="0" applyNumberFormat="1" applyFont="1" applyFill="1" applyAlignment="1">
      <alignment vertical="center"/>
    </xf>
    <xf numFmtId="178" fontId="20" fillId="0" borderId="24" xfId="0" applyNumberFormat="1" applyFont="1" applyFill="1" applyBorder="1" applyAlignment="1">
      <alignment vertical="center"/>
    </xf>
    <xf numFmtId="38" fontId="30" fillId="0" borderId="24" xfId="10" applyNumberFormat="1" applyFont="1" applyFill="1" applyBorder="1" applyAlignment="1">
      <alignment vertical="center"/>
    </xf>
    <xf numFmtId="0" fontId="34" fillId="0" borderId="0" xfId="0" applyFont="1" applyFill="1" applyAlignment="1">
      <alignment vertical="center"/>
    </xf>
    <xf numFmtId="178" fontId="41" fillId="0" borderId="0" xfId="10" applyNumberFormat="1" applyFont="1" applyFill="1" applyBorder="1" applyAlignment="1">
      <alignment vertical="center"/>
    </xf>
    <xf numFmtId="0" fontId="41" fillId="0" borderId="0" xfId="10" applyFont="1" applyFill="1" applyBorder="1" applyAlignment="1">
      <alignment vertical="center"/>
    </xf>
    <xf numFmtId="178" fontId="30" fillId="0" borderId="1" xfId="0" applyNumberFormat="1" applyFont="1" applyFill="1" applyBorder="1" applyAlignment="1">
      <alignment vertical="center"/>
    </xf>
    <xf numFmtId="0" fontId="30" fillId="0" borderId="49" xfId="0" applyFont="1" applyFill="1" applyBorder="1" applyAlignment="1">
      <alignment vertical="center"/>
    </xf>
    <xf numFmtId="3" fontId="30" fillId="0" borderId="0" xfId="0" applyNumberFormat="1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38" fontId="30" fillId="0" borderId="11" xfId="10" applyNumberFormat="1" applyFont="1" applyFill="1" applyBorder="1" applyAlignment="1">
      <alignment vertical="center"/>
    </xf>
    <xf numFmtId="178" fontId="22" fillId="0" borderId="51" xfId="10" applyNumberFormat="1" applyFont="1" applyFill="1" applyBorder="1" applyAlignment="1">
      <alignment vertical="center"/>
    </xf>
    <xf numFmtId="178" fontId="22" fillId="0" borderId="26" xfId="10" applyNumberFormat="1" applyFont="1" applyFill="1" applyBorder="1" applyAlignment="1">
      <alignment horizontal="right" vertical="center"/>
    </xf>
    <xf numFmtId="0" fontId="22" fillId="0" borderId="26" xfId="10" applyFont="1" applyFill="1" applyBorder="1" applyAlignment="1">
      <alignment vertical="center"/>
    </xf>
    <xf numFmtId="178" fontId="19" fillId="0" borderId="0" xfId="0" applyNumberFormat="1" applyFont="1" applyFill="1" applyAlignment="1">
      <alignment vertical="center"/>
    </xf>
    <xf numFmtId="9" fontId="22" fillId="0" borderId="1" xfId="11" applyFont="1" applyFill="1" applyBorder="1" applyAlignment="1">
      <alignment horizontal="center" vertical="center"/>
    </xf>
    <xf numFmtId="38" fontId="22" fillId="0" borderId="1" xfId="10" applyNumberFormat="1" applyFont="1" applyFill="1" applyBorder="1" applyAlignment="1">
      <alignment vertical="center"/>
    </xf>
    <xf numFmtId="0" fontId="22" fillId="0" borderId="1" xfId="10" applyFont="1" applyFill="1" applyBorder="1" applyAlignment="1">
      <alignment horizontal="center" vertical="center" wrapText="1"/>
    </xf>
    <xf numFmtId="0" fontId="41" fillId="0" borderId="0" xfId="10" applyFont="1" applyFill="1" applyBorder="1" applyAlignment="1">
      <alignment horizontal="center" vertical="center"/>
    </xf>
    <xf numFmtId="178" fontId="42" fillId="0" borderId="0" xfId="1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0" xfId="1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78" fontId="22" fillId="0" borderId="0" xfId="10" applyNumberFormat="1" applyFont="1" applyFill="1" applyBorder="1" applyAlignment="1">
      <alignment horizontal="right" vertical="center"/>
    </xf>
    <xf numFmtId="0" fontId="39" fillId="0" borderId="0" xfId="10" applyFont="1" applyFill="1" applyBorder="1" applyAlignment="1">
      <alignment vertical="center"/>
    </xf>
    <xf numFmtId="0" fontId="20" fillId="0" borderId="0" xfId="10" applyFont="1" applyFill="1" applyBorder="1" applyAlignment="1">
      <alignment horizontal="left" vertical="center"/>
    </xf>
    <xf numFmtId="38" fontId="21" fillId="0" borderId="1" xfId="10" applyNumberFormat="1" applyFont="1" applyFill="1" applyBorder="1" applyAlignment="1">
      <alignment vertical="center"/>
    </xf>
    <xf numFmtId="178" fontId="22" fillId="0" borderId="5" xfId="10" applyNumberFormat="1" applyFont="1" applyFill="1" applyBorder="1" applyAlignment="1">
      <alignment vertical="center"/>
    </xf>
    <xf numFmtId="178" fontId="39" fillId="0" borderId="0" xfId="10" applyNumberFormat="1" applyFont="1" applyFill="1" applyBorder="1" applyAlignment="1">
      <alignment vertical="center"/>
    </xf>
    <xf numFmtId="9" fontId="22" fillId="0" borderId="19" xfId="11" applyFont="1" applyFill="1" applyBorder="1" applyAlignment="1">
      <alignment horizontal="center" vertical="center"/>
    </xf>
    <xf numFmtId="38" fontId="22" fillId="0" borderId="19" xfId="10" applyNumberFormat="1" applyFont="1" applyFill="1" applyBorder="1" applyAlignment="1">
      <alignment vertical="center"/>
    </xf>
    <xf numFmtId="178" fontId="30" fillId="0" borderId="48" xfId="10" applyNumberFormat="1" applyFont="1" applyFill="1" applyBorder="1" applyAlignment="1">
      <alignment horizontal="left" vertical="center"/>
    </xf>
    <xf numFmtId="38" fontId="20" fillId="0" borderId="26" xfId="10" applyNumberFormat="1" applyFont="1" applyFill="1" applyBorder="1" applyAlignment="1">
      <alignment vertical="center"/>
    </xf>
    <xf numFmtId="38" fontId="20" fillId="0" borderId="48" xfId="1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10" applyFont="1" applyFill="1" applyBorder="1" applyAlignment="1">
      <alignment horizontal="left" vertical="center" wrapText="1"/>
    </xf>
    <xf numFmtId="0" fontId="32" fillId="0" borderId="0" xfId="10" applyFont="1" applyFill="1" applyAlignment="1">
      <alignment vertical="center"/>
    </xf>
    <xf numFmtId="0" fontId="32" fillId="0" borderId="0" xfId="0" applyFont="1" applyFill="1" applyAlignment="1">
      <alignment vertical="center"/>
    </xf>
    <xf numFmtId="178" fontId="43" fillId="0" borderId="0" xfId="10" applyNumberFormat="1" applyFont="1" applyFill="1" applyBorder="1" applyAlignment="1">
      <alignment vertical="center"/>
    </xf>
    <xf numFmtId="41" fontId="30" fillId="0" borderId="0" xfId="1" applyNumberFormat="1" applyFont="1" applyFill="1" applyBorder="1" applyAlignment="1">
      <alignment horizontal="center" vertical="center"/>
    </xf>
    <xf numFmtId="0" fontId="42" fillId="0" borderId="0" xfId="10" applyFont="1" applyFill="1" applyBorder="1" applyAlignment="1">
      <alignment vertical="center"/>
    </xf>
    <xf numFmtId="0" fontId="42" fillId="0" borderId="0" xfId="10" applyFont="1" applyFill="1" applyBorder="1" applyAlignment="1">
      <alignment horizontal="center" vertical="center"/>
    </xf>
    <xf numFmtId="178" fontId="39" fillId="0" borderId="40" xfId="10" applyNumberFormat="1" applyFont="1" applyFill="1" applyBorder="1" applyAlignment="1">
      <alignment vertical="center"/>
    </xf>
    <xf numFmtId="178" fontId="39" fillId="0" borderId="46" xfId="10" applyNumberFormat="1" applyFont="1" applyFill="1" applyBorder="1" applyAlignment="1">
      <alignment horizontal="right" vertical="center"/>
    </xf>
    <xf numFmtId="178" fontId="39" fillId="0" borderId="26" xfId="10" applyNumberFormat="1" applyFont="1" applyFill="1" applyBorder="1" applyAlignment="1">
      <alignment vertical="center"/>
    </xf>
    <xf numFmtId="0" fontId="39" fillId="0" borderId="30" xfId="10" applyFont="1" applyFill="1" applyBorder="1" applyAlignment="1">
      <alignment vertical="center"/>
    </xf>
    <xf numFmtId="178" fontId="38" fillId="0" borderId="0" xfId="10" applyNumberFormat="1" applyFont="1" applyFill="1" applyBorder="1" applyAlignment="1">
      <alignment vertical="center"/>
    </xf>
    <xf numFmtId="38" fontId="21" fillId="0" borderId="24" xfId="10" applyNumberFormat="1" applyFont="1" applyFill="1" applyBorder="1" applyAlignment="1">
      <alignment vertical="center"/>
    </xf>
    <xf numFmtId="178" fontId="41" fillId="0" borderId="49" xfId="10" applyNumberFormat="1" applyFont="1" applyFill="1" applyBorder="1" applyAlignment="1">
      <alignment vertical="center"/>
    </xf>
    <xf numFmtId="3" fontId="30" fillId="0" borderId="48" xfId="0" applyNumberFormat="1" applyFont="1" applyFill="1" applyBorder="1" applyAlignment="1">
      <alignment vertical="center"/>
    </xf>
    <xf numFmtId="0" fontId="41" fillId="0" borderId="48" xfId="0" applyFont="1" applyFill="1" applyBorder="1" applyAlignment="1">
      <alignment vertical="center"/>
    </xf>
    <xf numFmtId="0" fontId="44" fillId="0" borderId="0" xfId="10" applyFont="1" applyFill="1" applyAlignment="1">
      <alignment vertical="center"/>
    </xf>
    <xf numFmtId="178" fontId="21" fillId="0" borderId="51" xfId="10" applyNumberFormat="1" applyFont="1" applyFill="1" applyBorder="1" applyAlignment="1">
      <alignment vertical="center"/>
    </xf>
    <xf numFmtId="178" fontId="21" fillId="0" borderId="26" xfId="10" applyNumberFormat="1" applyFont="1" applyFill="1" applyBorder="1" applyAlignment="1">
      <alignment vertical="center"/>
    </xf>
    <xf numFmtId="38" fontId="30" fillId="0" borderId="1" xfId="10" applyNumberFormat="1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0" fontId="38" fillId="0" borderId="46" xfId="10" applyFont="1" applyFill="1" applyBorder="1" applyAlignment="1">
      <alignment horizontal="center" vertical="center"/>
    </xf>
    <xf numFmtId="188" fontId="30" fillId="0" borderId="0" xfId="10" applyNumberFormat="1" applyFont="1" applyFill="1" applyBorder="1" applyAlignment="1">
      <alignment vertical="center"/>
    </xf>
    <xf numFmtId="189" fontId="30" fillId="0" borderId="0" xfId="10" applyNumberFormat="1" applyFont="1" applyFill="1" applyBorder="1" applyAlignment="1">
      <alignment vertical="center"/>
    </xf>
    <xf numFmtId="178" fontId="38" fillId="0" borderId="49" xfId="10" applyNumberFormat="1" applyFont="1" applyFill="1" applyBorder="1" applyAlignment="1">
      <alignment vertical="center"/>
    </xf>
    <xf numFmtId="178" fontId="38" fillId="0" borderId="48" xfId="10" applyNumberFormat="1" applyFont="1" applyFill="1" applyBorder="1" applyAlignment="1">
      <alignment horizontal="right" vertical="center"/>
    </xf>
    <xf numFmtId="178" fontId="38" fillId="0" borderId="48" xfId="10" applyNumberFormat="1" applyFont="1" applyFill="1" applyBorder="1" applyAlignment="1">
      <alignment vertical="center"/>
    </xf>
    <xf numFmtId="0" fontId="38" fillId="0" borderId="29" xfId="10" applyFont="1" applyFill="1" applyBorder="1" applyAlignment="1">
      <alignment vertical="center"/>
    </xf>
    <xf numFmtId="0" fontId="30" fillId="0" borderId="46" xfId="10" applyFont="1" applyFill="1" applyBorder="1" applyAlignment="1">
      <alignment vertical="center"/>
    </xf>
    <xf numFmtId="178" fontId="38" fillId="0" borderId="51" xfId="10" applyNumberFormat="1" applyFont="1" applyFill="1" applyBorder="1" applyAlignment="1">
      <alignment vertical="center"/>
    </xf>
    <xf numFmtId="178" fontId="38" fillId="0" borderId="26" xfId="10" applyNumberFormat="1" applyFont="1" applyFill="1" applyBorder="1" applyAlignment="1">
      <alignment horizontal="right" vertical="center"/>
    </xf>
    <xf numFmtId="0" fontId="30" fillId="0" borderId="48" xfId="0" applyFont="1" applyFill="1" applyBorder="1" applyAlignment="1">
      <alignment vertical="center"/>
    </xf>
    <xf numFmtId="178" fontId="32" fillId="0" borderId="0" xfId="10" applyNumberFormat="1" applyFont="1" applyFill="1" applyAlignment="1">
      <alignment vertical="center"/>
    </xf>
    <xf numFmtId="180" fontId="33" fillId="0" borderId="0" xfId="0" applyNumberFormat="1" applyFont="1" applyBorder="1" applyAlignment="1">
      <alignment horizontal="center" vertical="center"/>
    </xf>
    <xf numFmtId="181" fontId="21" fillId="0" borderId="0" xfId="1" applyNumberFormat="1" applyFont="1" applyFill="1" applyBorder="1" applyAlignment="1">
      <alignment horizontal="center" vertical="center"/>
    </xf>
    <xf numFmtId="181" fontId="30" fillId="0" borderId="0" xfId="1" applyNumberFormat="1" applyFont="1" applyFill="1" applyBorder="1" applyAlignment="1">
      <alignment horizontal="center" vertical="center"/>
    </xf>
    <xf numFmtId="180" fontId="30" fillId="0" borderId="0" xfId="10" applyNumberFormat="1" applyFont="1" applyFill="1" applyBorder="1" applyAlignment="1">
      <alignment horizontal="center" vertical="center"/>
    </xf>
    <xf numFmtId="0" fontId="21" fillId="0" borderId="0" xfId="11" applyNumberFormat="1" applyFont="1" applyFill="1" applyBorder="1" applyAlignment="1">
      <alignment horizontal="center" vertical="center"/>
    </xf>
    <xf numFmtId="10" fontId="30" fillId="0" borderId="0" xfId="11" applyNumberFormat="1" applyFont="1" applyFill="1" applyBorder="1" applyAlignment="1">
      <alignment horizontal="center" vertical="center"/>
    </xf>
    <xf numFmtId="0" fontId="30" fillId="0" borderId="0" xfId="10" applyNumberFormat="1" applyFont="1" applyFill="1" applyBorder="1" applyAlignment="1">
      <alignment vertical="center"/>
    </xf>
    <xf numFmtId="10" fontId="21" fillId="0" borderId="0" xfId="11" applyNumberFormat="1" applyFont="1" applyFill="1" applyBorder="1" applyAlignment="1">
      <alignment horizontal="center" vertical="center"/>
    </xf>
    <xf numFmtId="0" fontId="21" fillId="0" borderId="0" xfId="10" applyNumberFormat="1" applyFont="1" applyFill="1" applyBorder="1" applyAlignment="1">
      <alignment vertical="center"/>
    </xf>
    <xf numFmtId="41" fontId="21" fillId="0" borderId="0" xfId="1" applyFont="1" applyFill="1" applyAlignment="1">
      <alignment vertical="center"/>
    </xf>
    <xf numFmtId="41" fontId="21" fillId="0" borderId="0" xfId="1" applyNumberFormat="1" applyFont="1" applyFill="1" applyBorder="1" applyAlignment="1">
      <alignment horizontal="center" vertical="center"/>
    </xf>
    <xf numFmtId="41" fontId="21" fillId="0" borderId="0" xfId="1" applyNumberFormat="1" applyFont="1" applyFill="1" applyBorder="1" applyAlignment="1">
      <alignment horizontal="left" vertical="center"/>
    </xf>
    <xf numFmtId="0" fontId="30" fillId="0" borderId="1" xfId="10" applyFont="1" applyFill="1" applyBorder="1" applyAlignment="1">
      <alignment horizontal="center" vertical="center" wrapText="1"/>
    </xf>
    <xf numFmtId="190" fontId="21" fillId="0" borderId="0" xfId="11" applyNumberFormat="1" applyFont="1" applyFill="1" applyBorder="1" applyAlignment="1">
      <alignment vertical="center"/>
    </xf>
    <xf numFmtId="38" fontId="45" fillId="0" borderId="24" xfId="10" applyNumberFormat="1" applyFont="1" applyFill="1" applyBorder="1" applyAlignment="1">
      <alignment vertical="center"/>
    </xf>
    <xf numFmtId="191" fontId="21" fillId="0" borderId="0" xfId="10" applyNumberFormat="1" applyFont="1" applyFill="1" applyBorder="1" applyAlignment="1">
      <alignment vertical="center"/>
    </xf>
    <xf numFmtId="192" fontId="21" fillId="0" borderId="0" xfId="10" applyNumberFormat="1" applyFont="1" applyFill="1" applyBorder="1" applyAlignment="1">
      <alignment horizontal="left" vertical="center"/>
    </xf>
    <xf numFmtId="193" fontId="21" fillId="0" borderId="0" xfId="10" applyNumberFormat="1" applyFont="1" applyFill="1" applyBorder="1" applyAlignment="1">
      <alignment vertical="center"/>
    </xf>
    <xf numFmtId="194" fontId="21" fillId="0" borderId="0" xfId="10" applyNumberFormat="1" applyFont="1" applyFill="1" applyBorder="1" applyAlignment="1">
      <alignment horizontal="left" vertical="center"/>
    </xf>
    <xf numFmtId="41" fontId="20" fillId="0" borderId="0" xfId="1" applyFont="1" applyFill="1" applyAlignment="1">
      <alignment vertical="center"/>
    </xf>
    <xf numFmtId="178" fontId="44" fillId="0" borderId="0" xfId="10" applyNumberFormat="1" applyFont="1" applyFill="1" applyAlignment="1">
      <alignment vertical="center"/>
    </xf>
    <xf numFmtId="9" fontId="21" fillId="0" borderId="0" xfId="11" applyNumberFormat="1" applyFont="1" applyFill="1" applyBorder="1" applyAlignment="1">
      <alignment horizontal="center" vertical="center"/>
    </xf>
    <xf numFmtId="186" fontId="20" fillId="0" borderId="0" xfId="11" applyNumberFormat="1" applyFont="1" applyFill="1" applyBorder="1" applyAlignment="1">
      <alignment vertical="center"/>
    </xf>
    <xf numFmtId="0" fontId="21" fillId="0" borderId="48" xfId="10" applyFont="1" applyFill="1" applyBorder="1" applyAlignment="1">
      <alignment horizontal="left" vertical="center"/>
    </xf>
    <xf numFmtId="0" fontId="21" fillId="0" borderId="29" xfId="10" applyFont="1" applyFill="1" applyBorder="1" applyAlignment="1">
      <alignment horizontal="left" vertical="center"/>
    </xf>
    <xf numFmtId="0" fontId="21" fillId="0" borderId="0" xfId="10" applyFont="1" applyFill="1" applyBorder="1" applyAlignment="1">
      <alignment horizontal="left" vertical="center"/>
    </xf>
    <xf numFmtId="0" fontId="21" fillId="0" borderId="45" xfId="10" applyFont="1" applyFill="1" applyBorder="1" applyAlignment="1">
      <alignment horizontal="left" vertical="center"/>
    </xf>
    <xf numFmtId="9" fontId="20" fillId="0" borderId="1" xfId="11" applyNumberFormat="1" applyFont="1" applyFill="1" applyBorder="1" applyAlignment="1">
      <alignment horizontal="center" vertical="center"/>
    </xf>
    <xf numFmtId="178" fontId="46" fillId="0" borderId="40" xfId="10" applyNumberFormat="1" applyFont="1" applyFill="1" applyBorder="1" applyAlignment="1">
      <alignment vertical="center"/>
    </xf>
    <xf numFmtId="178" fontId="46" fillId="0" borderId="46" xfId="10" applyNumberFormat="1" applyFont="1" applyFill="1" applyBorder="1" applyAlignment="1">
      <alignment vertical="center"/>
    </xf>
    <xf numFmtId="0" fontId="46" fillId="0" borderId="46" xfId="10" applyFont="1" applyFill="1" applyBorder="1" applyAlignment="1">
      <alignment vertical="center"/>
    </xf>
    <xf numFmtId="9" fontId="47" fillId="0" borderId="19" xfId="11" applyFont="1" applyFill="1" applyBorder="1" applyAlignment="1">
      <alignment horizontal="center" vertical="center"/>
    </xf>
    <xf numFmtId="38" fontId="47" fillId="0" borderId="19" xfId="10" applyNumberFormat="1" applyFont="1" applyFill="1" applyBorder="1" applyAlignment="1">
      <alignment vertical="center"/>
    </xf>
    <xf numFmtId="178" fontId="47" fillId="0" borderId="19" xfId="0" applyNumberFormat="1" applyFont="1" applyFill="1" applyBorder="1" applyAlignment="1">
      <alignment vertical="center"/>
    </xf>
    <xf numFmtId="0" fontId="47" fillId="0" borderId="19" xfId="10" applyFont="1" applyFill="1" applyBorder="1" applyAlignment="1">
      <alignment horizontal="center" vertical="center" wrapText="1"/>
    </xf>
    <xf numFmtId="178" fontId="23" fillId="0" borderId="5" xfId="10" applyNumberFormat="1" applyFont="1" applyFill="1" applyBorder="1" applyAlignment="1">
      <alignment vertical="center"/>
    </xf>
    <xf numFmtId="178" fontId="23" fillId="0" borderId="0" xfId="10" applyNumberFormat="1" applyFont="1" applyFill="1" applyBorder="1" applyAlignment="1">
      <alignment vertical="center"/>
    </xf>
    <xf numFmtId="0" fontId="23" fillId="0" borderId="0" xfId="10" applyFont="1" applyFill="1" applyBorder="1" applyAlignment="1">
      <alignment vertical="center"/>
    </xf>
    <xf numFmtId="9" fontId="23" fillId="0" borderId="19" xfId="11" applyFont="1" applyFill="1" applyBorder="1" applyAlignment="1">
      <alignment horizontal="center" vertical="center"/>
    </xf>
    <xf numFmtId="38" fontId="23" fillId="0" borderId="24" xfId="10" applyNumberFormat="1" applyFont="1" applyFill="1" applyBorder="1" applyAlignment="1">
      <alignment vertical="center"/>
    </xf>
    <xf numFmtId="41" fontId="23" fillId="0" borderId="24" xfId="0" applyNumberFormat="1" applyFont="1" applyFill="1" applyBorder="1" applyAlignment="1">
      <alignment vertical="center"/>
    </xf>
    <xf numFmtId="178" fontId="28" fillId="0" borderId="54" xfId="10" applyNumberFormat="1" applyFont="1" applyFill="1" applyBorder="1" applyAlignment="1">
      <alignment vertical="center"/>
    </xf>
    <xf numFmtId="178" fontId="28" fillId="0" borderId="32" xfId="10" applyNumberFormat="1" applyFont="1" applyFill="1" applyBorder="1" applyAlignment="1">
      <alignment vertical="center"/>
    </xf>
    <xf numFmtId="0" fontId="28" fillId="0" borderId="32" xfId="10" applyFont="1" applyFill="1" applyBorder="1" applyAlignment="1">
      <alignment vertical="center"/>
    </xf>
    <xf numFmtId="0" fontId="28" fillId="0" borderId="10" xfId="10" applyFont="1" applyFill="1" applyBorder="1" applyAlignment="1">
      <alignment vertical="center"/>
    </xf>
    <xf numFmtId="9" fontId="28" fillId="0" borderId="8" xfId="10" applyNumberFormat="1" applyFont="1" applyFill="1" applyBorder="1" applyAlignment="1">
      <alignment horizontal="center" vertical="center"/>
    </xf>
    <xf numFmtId="38" fontId="28" fillId="0" borderId="8" xfId="10" applyNumberFormat="1" applyFont="1" applyFill="1" applyBorder="1" applyAlignment="1">
      <alignment vertical="center"/>
    </xf>
    <xf numFmtId="41" fontId="28" fillId="2" borderId="8" xfId="0" applyNumberFormat="1" applyFont="1" applyFill="1" applyBorder="1" applyAlignment="1">
      <alignment vertical="center"/>
    </xf>
    <xf numFmtId="41" fontId="28" fillId="0" borderId="8" xfId="0" applyNumberFormat="1" applyFont="1" applyFill="1" applyBorder="1" applyAlignment="1">
      <alignment vertical="center"/>
    </xf>
    <xf numFmtId="9" fontId="20" fillId="0" borderId="3" xfId="11" applyFont="1" applyFill="1" applyBorder="1" applyAlignment="1">
      <alignment horizontal="center" vertical="center"/>
    </xf>
    <xf numFmtId="180" fontId="37" fillId="2" borderId="3" xfId="10" applyNumberFormat="1" applyFont="1" applyFill="1" applyBorder="1" applyAlignment="1">
      <alignment horizontal="center" vertical="center" wrapText="1"/>
    </xf>
    <xf numFmtId="180" fontId="37" fillId="0" borderId="3" xfId="10" applyNumberFormat="1" applyFont="1" applyFill="1" applyBorder="1" applyAlignment="1">
      <alignment horizontal="center" vertical="center" wrapText="1"/>
    </xf>
    <xf numFmtId="9" fontId="20" fillId="0" borderId="13" xfId="11" applyFont="1" applyFill="1" applyBorder="1" applyAlignment="1">
      <alignment horizontal="center" vertical="center"/>
    </xf>
    <xf numFmtId="38" fontId="20" fillId="0" borderId="13" xfId="10" applyNumberFormat="1" applyFont="1" applyFill="1" applyBorder="1" applyAlignment="1">
      <alignment vertical="center"/>
    </xf>
    <xf numFmtId="0" fontId="13" fillId="0" borderId="31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3" fillId="0" borderId="10" xfId="4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/>
    </xf>
    <xf numFmtId="0" fontId="13" fillId="0" borderId="14" xfId="4" applyFont="1" applyBorder="1" applyAlignment="1">
      <alignment horizontal="center" vertical="center"/>
    </xf>
    <xf numFmtId="0" fontId="13" fillId="0" borderId="19" xfId="4" applyFont="1" applyBorder="1" applyAlignment="1">
      <alignment horizontal="center" vertical="center"/>
    </xf>
    <xf numFmtId="0" fontId="13" fillId="0" borderId="34" xfId="4" applyFont="1" applyBorder="1" applyAlignment="1">
      <alignment horizontal="center" vertical="center"/>
    </xf>
    <xf numFmtId="0" fontId="13" fillId="0" borderId="35" xfId="4" applyFont="1" applyBorder="1" applyAlignment="1">
      <alignment horizontal="center" vertical="center"/>
    </xf>
    <xf numFmtId="0" fontId="13" fillId="0" borderId="19" xfId="4" applyFont="1" applyBorder="1" applyAlignment="1">
      <alignment horizontal="center" vertical="center" wrapText="1"/>
    </xf>
    <xf numFmtId="0" fontId="13" fillId="0" borderId="35" xfId="4" applyFont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0" fontId="13" fillId="2" borderId="42" xfId="4" applyFont="1" applyFill="1" applyBorder="1" applyAlignment="1">
      <alignment horizontal="center" vertical="center" wrapText="1"/>
    </xf>
    <xf numFmtId="0" fontId="13" fillId="0" borderId="30" xfId="4" applyFont="1" applyBorder="1" applyAlignment="1">
      <alignment horizontal="center" vertical="center"/>
    </xf>
    <xf numFmtId="0" fontId="13" fillId="0" borderId="36" xfId="4" applyFont="1" applyBorder="1" applyAlignment="1">
      <alignment horizontal="center" vertical="center"/>
    </xf>
    <xf numFmtId="0" fontId="13" fillId="0" borderId="17" xfId="4" applyFont="1" applyBorder="1" applyAlignment="1">
      <alignment horizontal="center" vertical="center"/>
    </xf>
    <xf numFmtId="0" fontId="13" fillId="0" borderId="37" xfId="4" applyFont="1" applyBorder="1" applyAlignment="1">
      <alignment horizontal="center" vertical="center"/>
    </xf>
    <xf numFmtId="0" fontId="14" fillId="0" borderId="16" xfId="4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5" fillId="0" borderId="2" xfId="4" applyBorder="1" applyAlignment="1">
      <alignment horizontal="center" vertical="center"/>
    </xf>
    <xf numFmtId="0" fontId="5" fillId="0" borderId="16" xfId="4" applyBorder="1" applyAlignment="1">
      <alignment horizontal="center" vertical="center"/>
    </xf>
    <xf numFmtId="0" fontId="5" fillId="0" borderId="27" xfId="4" applyBorder="1" applyAlignment="1">
      <alignment horizontal="center" vertical="center"/>
    </xf>
    <xf numFmtId="0" fontId="5" fillId="0" borderId="6" xfId="4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178" fontId="20" fillId="0" borderId="0" xfId="10" applyNumberFormat="1" applyFont="1" applyFill="1" applyBorder="1" applyAlignment="1">
      <alignment horizontal="center" vertical="center"/>
    </xf>
    <xf numFmtId="178" fontId="20" fillId="0" borderId="46" xfId="10" applyNumberFormat="1" applyFont="1" applyFill="1" applyBorder="1" applyAlignment="1">
      <alignment horizontal="center" vertical="center"/>
    </xf>
    <xf numFmtId="178" fontId="30" fillId="0" borderId="0" xfId="10" applyNumberFormat="1" applyFont="1" applyFill="1" applyBorder="1" applyAlignment="1">
      <alignment horizontal="center" vertical="center"/>
    </xf>
    <xf numFmtId="0" fontId="20" fillId="0" borderId="31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180" fontId="37" fillId="2" borderId="20" xfId="10" applyNumberFormat="1" applyFont="1" applyFill="1" applyBorder="1" applyAlignment="1">
      <alignment horizontal="center" vertical="center" wrapText="1"/>
    </xf>
    <xf numFmtId="180" fontId="37" fillId="2" borderId="7" xfId="10" applyNumberFormat="1" applyFont="1" applyFill="1" applyBorder="1" applyAlignment="1">
      <alignment horizontal="center" vertical="center" wrapText="1"/>
    </xf>
    <xf numFmtId="0" fontId="35" fillId="0" borderId="53" xfId="10" applyFont="1" applyFill="1" applyBorder="1" applyAlignment="1">
      <alignment horizontal="center" vertical="center" wrapText="1"/>
    </xf>
    <xf numFmtId="0" fontId="35" fillId="0" borderId="52" xfId="10" applyFont="1" applyFill="1" applyBorder="1" applyAlignment="1">
      <alignment horizontal="center" vertical="center" wrapText="1"/>
    </xf>
    <xf numFmtId="180" fontId="37" fillId="0" borderId="20" xfId="10" applyNumberFormat="1" applyFont="1" applyFill="1" applyBorder="1" applyAlignment="1">
      <alignment horizontal="center" vertical="center" wrapText="1"/>
    </xf>
    <xf numFmtId="180" fontId="37" fillId="0" borderId="7" xfId="10" applyNumberFormat="1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/>
    </xf>
    <xf numFmtId="0" fontId="20" fillId="0" borderId="9" xfId="10" applyFont="1" applyFill="1" applyBorder="1" applyAlignment="1">
      <alignment horizontal="center" vertical="center"/>
    </xf>
    <xf numFmtId="0" fontId="20" fillId="0" borderId="3" xfId="10" applyFont="1" applyFill="1" applyBorder="1" applyAlignment="1">
      <alignment horizontal="center" vertical="center"/>
    </xf>
    <xf numFmtId="0" fontId="20" fillId="0" borderId="4" xfId="10" applyFont="1" applyFill="1" applyBorder="1" applyAlignment="1">
      <alignment horizontal="center" vertical="center"/>
    </xf>
    <xf numFmtId="0" fontId="20" fillId="0" borderId="13" xfId="10" applyFont="1" applyFill="1" applyBorder="1" applyAlignment="1">
      <alignment horizontal="left" vertical="center" wrapText="1"/>
    </xf>
    <xf numFmtId="0" fontId="20" fillId="0" borderId="10" xfId="10" applyFont="1" applyFill="1" applyBorder="1" applyAlignment="1">
      <alignment horizontal="center" vertical="center" wrapText="1"/>
    </xf>
    <xf numFmtId="0" fontId="20" fillId="0" borderId="39" xfId="10" applyFont="1" applyFill="1" applyBorder="1" applyAlignment="1">
      <alignment horizontal="center" vertical="center" wrapText="1"/>
    </xf>
    <xf numFmtId="0" fontId="20" fillId="0" borderId="30" xfId="10" applyFont="1" applyFill="1" applyBorder="1" applyAlignment="1">
      <alignment horizontal="center" vertical="center" wrapText="1"/>
    </xf>
    <xf numFmtId="0" fontId="20" fillId="0" borderId="18" xfId="10" applyFont="1" applyFill="1" applyBorder="1" applyAlignment="1">
      <alignment horizontal="center" vertical="center" wrapText="1"/>
    </xf>
    <xf numFmtId="0" fontId="22" fillId="0" borderId="47" xfId="10" applyFont="1" applyFill="1" applyBorder="1" applyAlignment="1">
      <alignment horizontal="center" vertical="center" wrapText="1"/>
    </xf>
    <xf numFmtId="0" fontId="22" fillId="0" borderId="25" xfId="10" applyFont="1" applyFill="1" applyBorder="1" applyAlignment="1">
      <alignment horizontal="center" vertical="center" wrapText="1"/>
    </xf>
    <xf numFmtId="0" fontId="22" fillId="0" borderId="19" xfId="10" applyFont="1" applyFill="1" applyBorder="1" applyAlignment="1">
      <alignment horizontal="center" vertical="center" wrapText="1"/>
    </xf>
    <xf numFmtId="0" fontId="20" fillId="0" borderId="55" xfId="10" applyFont="1" applyFill="1" applyBorder="1" applyAlignment="1">
      <alignment horizontal="center" vertical="center"/>
    </xf>
    <xf numFmtId="0" fontId="20" fillId="0" borderId="52" xfId="10" applyFont="1" applyFill="1" applyBorder="1" applyAlignment="1">
      <alignment horizontal="center" vertical="center"/>
    </xf>
    <xf numFmtId="0" fontId="20" fillId="0" borderId="21" xfId="10" applyFont="1" applyFill="1" applyBorder="1" applyAlignment="1">
      <alignment horizontal="center" vertical="center"/>
    </xf>
    <xf numFmtId="0" fontId="20" fillId="0" borderId="44" xfId="10" applyFont="1" applyFill="1" applyBorder="1" applyAlignment="1">
      <alignment horizontal="center" vertical="center"/>
    </xf>
    <xf numFmtId="0" fontId="20" fillId="0" borderId="13" xfId="10" applyFont="1" applyFill="1" applyBorder="1" applyAlignment="1">
      <alignment horizontal="center" vertical="center"/>
    </xf>
    <xf numFmtId="0" fontId="20" fillId="0" borderId="43" xfId="10" applyFont="1" applyFill="1" applyBorder="1" applyAlignment="1">
      <alignment horizontal="center" vertical="center"/>
    </xf>
    <xf numFmtId="178" fontId="30" fillId="0" borderId="48" xfId="10" applyNumberFormat="1" applyFont="1" applyFill="1" applyBorder="1" applyAlignment="1">
      <alignment vertical="center"/>
    </xf>
    <xf numFmtId="0" fontId="30" fillId="0" borderId="48" xfId="10" applyFont="1" applyFill="1" applyBorder="1" applyAlignment="1">
      <alignment vertical="center"/>
    </xf>
    <xf numFmtId="178" fontId="38" fillId="0" borderId="46" xfId="10" applyNumberFormat="1" applyFont="1" applyFill="1" applyBorder="1" applyAlignment="1">
      <alignment vertical="center"/>
    </xf>
    <xf numFmtId="0" fontId="38" fillId="0" borderId="46" xfId="10" applyFont="1" applyFill="1" applyBorder="1" applyAlignment="1">
      <alignment vertical="center"/>
    </xf>
    <xf numFmtId="0" fontId="23" fillId="0" borderId="45" xfId="10" applyFont="1" applyFill="1" applyBorder="1" applyAlignment="1">
      <alignment horizontal="center" vertical="center" wrapText="1"/>
    </xf>
    <xf numFmtId="0" fontId="23" fillId="0" borderId="23" xfId="10" applyFont="1" applyFill="1" applyBorder="1" applyAlignment="1">
      <alignment horizontal="center" vertical="center" wrapText="1"/>
    </xf>
    <xf numFmtId="0" fontId="28" fillId="0" borderId="31" xfId="10" applyFont="1" applyFill="1" applyBorder="1" applyAlignment="1">
      <alignment horizontal="center" vertical="center" wrapText="1"/>
    </xf>
    <xf numFmtId="0" fontId="28" fillId="0" borderId="8" xfId="10" applyFont="1" applyFill="1" applyBorder="1" applyAlignment="1">
      <alignment horizontal="center" vertical="center" wrapText="1"/>
    </xf>
    <xf numFmtId="180" fontId="37" fillId="0" borderId="10" xfId="10" applyNumberFormat="1" applyFont="1" applyFill="1" applyBorder="1" applyAlignment="1">
      <alignment horizontal="center" vertical="center" wrapText="1"/>
    </xf>
    <xf numFmtId="180" fontId="37" fillId="0" borderId="32" xfId="10" applyNumberFormat="1" applyFont="1" applyFill="1" applyBorder="1" applyAlignment="1">
      <alignment horizontal="center" vertical="center" wrapText="1"/>
    </xf>
    <xf numFmtId="180" fontId="37" fillId="0" borderId="39" xfId="10" applyNumberFormat="1" applyFont="1" applyFill="1" applyBorder="1" applyAlignment="1">
      <alignment horizontal="center" vertical="center" wrapText="1"/>
    </xf>
  </cellXfs>
  <cellStyles count="13">
    <cellStyle name="백분율 2" xfId="11"/>
    <cellStyle name="쉼표 [0]" xfId="1" builtinId="6"/>
    <cellStyle name="쉼표 [0] 2" xfId="3"/>
    <cellStyle name="쉼표 [0] 2 2" xfId="5"/>
    <cellStyle name="쉼표 [0] 2 3" xfId="7"/>
    <cellStyle name="쉼표 [0] 3" xfId="9"/>
    <cellStyle name="통화 [0] 2" xfId="10"/>
    <cellStyle name="표준" xfId="0" builtinId="0"/>
    <cellStyle name="표준 2" xfId="2"/>
    <cellStyle name="표준 2 2" xfId="4"/>
    <cellStyle name="표준 2 3" xfId="6"/>
    <cellStyle name="표준 3" xfId="8"/>
    <cellStyle name="표준_2003경기장복예산안" xfId="12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&#52264;%20&#52628;&#44221;\1&#52264;%20&#52628;&#44221;\2020&#45380;&#46020;%201&#52264;&#52628;&#44221;&#50696;&#49328;(&#47788;&#46944;&#51032;&#5166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입명세서"/>
      <sheetName val="세출명세서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zoomScale="90" zoomScaleNormal="90" workbookViewId="0">
      <selection activeCell="O17" sqref="O17"/>
    </sheetView>
  </sheetViews>
  <sheetFormatPr defaultRowHeight="16.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/>
    <row r="2" spans="2:11" ht="26.25">
      <c r="B2" s="2" t="s">
        <v>64</v>
      </c>
      <c r="K2" s="3" t="s">
        <v>44</v>
      </c>
    </row>
    <row r="3" spans="2:11" ht="9.9499999999999993" customHeight="1" thickBot="1"/>
    <row r="4" spans="2:11" ht="30" customHeight="1">
      <c r="B4" s="481" t="s">
        <v>28</v>
      </c>
      <c r="C4" s="482"/>
      <c r="D4" s="482"/>
      <c r="E4" s="482"/>
      <c r="F4" s="483"/>
      <c r="G4" s="481" t="s">
        <v>29</v>
      </c>
      <c r="H4" s="482"/>
      <c r="I4" s="482"/>
      <c r="J4" s="482"/>
      <c r="K4" s="484"/>
    </row>
    <row r="5" spans="2:11" ht="16.5" customHeight="1">
      <c r="B5" s="485" t="s">
        <v>30</v>
      </c>
      <c r="C5" s="486"/>
      <c r="D5" s="489" t="s">
        <v>62</v>
      </c>
      <c r="E5" s="491" t="s">
        <v>65</v>
      </c>
      <c r="F5" s="493" t="s">
        <v>31</v>
      </c>
      <c r="G5" s="485" t="s">
        <v>30</v>
      </c>
      <c r="H5" s="486"/>
      <c r="I5" s="489" t="s">
        <v>62</v>
      </c>
      <c r="J5" s="491" t="s">
        <v>65</v>
      </c>
      <c r="K5" s="495" t="s">
        <v>31</v>
      </c>
    </row>
    <row r="6" spans="2:11" ht="22.5" customHeight="1" thickBot="1">
      <c r="B6" s="487"/>
      <c r="C6" s="488"/>
      <c r="D6" s="490"/>
      <c r="E6" s="492"/>
      <c r="F6" s="494"/>
      <c r="G6" s="487"/>
      <c r="H6" s="488"/>
      <c r="I6" s="490"/>
      <c r="J6" s="492"/>
      <c r="K6" s="496"/>
    </row>
    <row r="7" spans="2:11" ht="24.95" customHeight="1" thickTop="1">
      <c r="B7" s="497" t="s">
        <v>32</v>
      </c>
      <c r="C7" s="498"/>
      <c r="D7" s="12">
        <f>SUM(D8:D23)/2</f>
        <v>63674000</v>
      </c>
      <c r="E7" s="12">
        <f>SUM(E8:E23)/2</f>
        <v>69378000</v>
      </c>
      <c r="F7" s="13">
        <f>SUM(F8:F23)/2</f>
        <v>5704000</v>
      </c>
      <c r="G7" s="497" t="s">
        <v>32</v>
      </c>
      <c r="H7" s="498"/>
      <c r="I7" s="12">
        <f>SUM(I8:I28)/2</f>
        <v>63674000</v>
      </c>
      <c r="J7" s="12">
        <f>SUM(J8:J28)/2</f>
        <v>69378000</v>
      </c>
      <c r="K7" s="14">
        <f>SUM(K8:K28)/2</f>
        <v>5704000</v>
      </c>
    </row>
    <row r="8" spans="2:11" ht="24.95" customHeight="1">
      <c r="B8" s="499" t="s">
        <v>33</v>
      </c>
      <c r="C8" s="15" t="s">
        <v>43</v>
      </c>
      <c r="D8" s="16">
        <f>D9</f>
        <v>12000000</v>
      </c>
      <c r="E8" s="16">
        <f>E9</f>
        <v>9000000</v>
      </c>
      <c r="F8" s="17">
        <f>F9</f>
        <v>-3000000</v>
      </c>
      <c r="G8" s="499" t="s">
        <v>35</v>
      </c>
      <c r="H8" s="15" t="s">
        <v>43</v>
      </c>
      <c r="I8" s="16">
        <f>SUM(I9:I11)</f>
        <v>46397000</v>
      </c>
      <c r="J8" s="16">
        <f>SUM(J9:J11)</f>
        <v>55952000</v>
      </c>
      <c r="K8" s="21">
        <f>SUM(K9:K11)</f>
        <v>9555000</v>
      </c>
    </row>
    <row r="9" spans="2:11" ht="24.95" customHeight="1">
      <c r="B9" s="500"/>
      <c r="C9" s="4" t="s">
        <v>34</v>
      </c>
      <c r="D9" s="32">
        <v>12000000</v>
      </c>
      <c r="E9" s="32">
        <v>9000000</v>
      </c>
      <c r="F9" s="6">
        <f>E9-D9</f>
        <v>-3000000</v>
      </c>
      <c r="G9" s="501"/>
      <c r="H9" s="4" t="s">
        <v>36</v>
      </c>
      <c r="I9" s="5">
        <v>38721000</v>
      </c>
      <c r="J9" s="5">
        <v>48130000</v>
      </c>
      <c r="K9" s="7">
        <f>J9-I9</f>
        <v>9409000</v>
      </c>
    </row>
    <row r="10" spans="2:11" ht="24.95" customHeight="1">
      <c r="B10" s="499" t="s">
        <v>37</v>
      </c>
      <c r="C10" s="18" t="s">
        <v>43</v>
      </c>
      <c r="D10" s="30">
        <f>SUM(D11:D14)</f>
        <v>47492000</v>
      </c>
      <c r="E10" s="30">
        <f>SUM(E11:E14)</f>
        <v>57179000</v>
      </c>
      <c r="F10" s="20">
        <f>SUM(F11:F14)</f>
        <v>9687000</v>
      </c>
      <c r="G10" s="501"/>
      <c r="H10" s="4" t="s">
        <v>38</v>
      </c>
      <c r="I10" s="5">
        <v>240000</v>
      </c>
      <c r="J10" s="5">
        <v>120000</v>
      </c>
      <c r="K10" s="7">
        <f t="shared" ref="K10:K11" si="0">J10-I10</f>
        <v>-120000</v>
      </c>
    </row>
    <row r="11" spans="2:11" ht="24.95" customHeight="1">
      <c r="B11" s="501"/>
      <c r="C11" s="11" t="s">
        <v>40</v>
      </c>
      <c r="D11" s="5">
        <v>0</v>
      </c>
      <c r="E11" s="5">
        <v>0</v>
      </c>
      <c r="F11" s="6">
        <f t="shared" ref="F11:F23" si="1">E11-D11</f>
        <v>0</v>
      </c>
      <c r="G11" s="500"/>
      <c r="H11" s="4" t="s">
        <v>1</v>
      </c>
      <c r="I11" s="5">
        <v>7436000</v>
      </c>
      <c r="J11" s="5">
        <v>7702000</v>
      </c>
      <c r="K11" s="7">
        <f t="shared" si="0"/>
        <v>266000</v>
      </c>
    </row>
    <row r="12" spans="2:11" ht="24.95" customHeight="1">
      <c r="B12" s="501"/>
      <c r="C12" s="11" t="s">
        <v>41</v>
      </c>
      <c r="D12" s="32">
        <v>47192000</v>
      </c>
      <c r="E12" s="32">
        <v>56879000</v>
      </c>
      <c r="F12" s="6">
        <f t="shared" si="1"/>
        <v>9687000</v>
      </c>
      <c r="G12" s="499" t="s">
        <v>2</v>
      </c>
      <c r="H12" s="18" t="s">
        <v>43</v>
      </c>
      <c r="I12" s="19">
        <f>SUM(I13:I15)</f>
        <v>100000</v>
      </c>
      <c r="J12" s="19">
        <f>SUM(J13:J15)</f>
        <v>100000</v>
      </c>
      <c r="K12" s="22">
        <f>SUM(K13:K15)</f>
        <v>0</v>
      </c>
    </row>
    <row r="13" spans="2:11" ht="24.95" customHeight="1">
      <c r="B13" s="501"/>
      <c r="C13" s="11" t="s">
        <v>42</v>
      </c>
      <c r="D13" s="5">
        <v>300000</v>
      </c>
      <c r="E13" s="5">
        <v>300000</v>
      </c>
      <c r="F13" s="6">
        <f t="shared" ref="F13" si="2">E13-D13</f>
        <v>0</v>
      </c>
      <c r="G13" s="501"/>
      <c r="H13" s="4" t="s">
        <v>3</v>
      </c>
      <c r="I13" s="5">
        <v>0</v>
      </c>
      <c r="J13" s="5">
        <v>0</v>
      </c>
      <c r="K13" s="7">
        <f t="shared" ref="K13" si="3">J13-I13</f>
        <v>0</v>
      </c>
    </row>
    <row r="14" spans="2:11" ht="24.95" customHeight="1">
      <c r="B14" s="500"/>
      <c r="C14" s="23" t="s">
        <v>45</v>
      </c>
      <c r="D14" s="5">
        <v>0</v>
      </c>
      <c r="E14" s="5">
        <v>0</v>
      </c>
      <c r="F14" s="6">
        <f t="shared" si="1"/>
        <v>0</v>
      </c>
      <c r="G14" s="501"/>
      <c r="H14" s="4" t="s">
        <v>6</v>
      </c>
      <c r="I14" s="5">
        <v>0</v>
      </c>
      <c r="J14" s="5">
        <v>0</v>
      </c>
      <c r="K14" s="7">
        <f t="shared" ref="K14:K15" si="4">J14-I14</f>
        <v>0</v>
      </c>
    </row>
    <row r="15" spans="2:11" ht="24.95" customHeight="1">
      <c r="B15" s="499" t="s">
        <v>4</v>
      </c>
      <c r="C15" s="18" t="s">
        <v>43</v>
      </c>
      <c r="D15" s="19">
        <f>SUM(D16:D17)</f>
        <v>400000</v>
      </c>
      <c r="E15" s="19">
        <f>SUM(E16:E17)</f>
        <v>400000</v>
      </c>
      <c r="F15" s="20">
        <f>SUM(F16:F17)</f>
        <v>0</v>
      </c>
      <c r="G15" s="500"/>
      <c r="H15" s="4" t="s">
        <v>8</v>
      </c>
      <c r="I15" s="5">
        <v>100000</v>
      </c>
      <c r="J15" s="5">
        <v>100000</v>
      </c>
      <c r="K15" s="7">
        <f t="shared" si="4"/>
        <v>0</v>
      </c>
    </row>
    <row r="16" spans="2:11" ht="24.95" customHeight="1">
      <c r="B16" s="501"/>
      <c r="C16" s="4" t="s">
        <v>5</v>
      </c>
      <c r="D16" s="5">
        <v>0</v>
      </c>
      <c r="E16" s="5">
        <v>0</v>
      </c>
      <c r="F16" s="6">
        <f t="shared" si="1"/>
        <v>0</v>
      </c>
      <c r="G16" s="499" t="s">
        <v>11</v>
      </c>
      <c r="H16" s="18" t="s">
        <v>43</v>
      </c>
      <c r="I16" s="19">
        <f>SUM(I17:I22)</f>
        <v>17135000</v>
      </c>
      <c r="J16" s="19">
        <f>SUM(J17:J22)</f>
        <v>13291000</v>
      </c>
      <c r="K16" s="22">
        <f>SUM(K17:K22)</f>
        <v>-3844000</v>
      </c>
    </row>
    <row r="17" spans="2:11" ht="24.95" customHeight="1">
      <c r="B17" s="500"/>
      <c r="C17" s="4" t="s">
        <v>7</v>
      </c>
      <c r="D17" s="5">
        <v>400000</v>
      </c>
      <c r="E17" s="5">
        <v>400000</v>
      </c>
      <c r="F17" s="6">
        <f t="shared" si="1"/>
        <v>0</v>
      </c>
      <c r="G17" s="501"/>
      <c r="H17" s="4" t="s">
        <v>12</v>
      </c>
      <c r="I17" s="31">
        <v>12200000</v>
      </c>
      <c r="J17" s="31">
        <v>10662000</v>
      </c>
      <c r="K17" s="7">
        <f t="shared" ref="K17:K22" si="5">J17-I17</f>
        <v>-1538000</v>
      </c>
    </row>
    <row r="18" spans="2:11" ht="24.95" customHeight="1">
      <c r="B18" s="499" t="s">
        <v>9</v>
      </c>
      <c r="C18" s="18" t="s">
        <v>43</v>
      </c>
      <c r="D18" s="19">
        <f>D19</f>
        <v>0</v>
      </c>
      <c r="E18" s="19">
        <f>E19</f>
        <v>0</v>
      </c>
      <c r="F18" s="20">
        <f>F19</f>
        <v>0</v>
      </c>
      <c r="G18" s="501"/>
      <c r="H18" s="4" t="s">
        <v>15</v>
      </c>
      <c r="I18" s="31">
        <v>660000</v>
      </c>
      <c r="J18" s="31">
        <v>466000</v>
      </c>
      <c r="K18" s="7">
        <f t="shared" si="5"/>
        <v>-194000</v>
      </c>
    </row>
    <row r="19" spans="2:11" ht="24.95" customHeight="1">
      <c r="B19" s="500"/>
      <c r="C19" s="4" t="s">
        <v>10</v>
      </c>
      <c r="D19" s="5">
        <v>0</v>
      </c>
      <c r="E19" s="5">
        <v>0</v>
      </c>
      <c r="F19" s="6">
        <f t="shared" si="1"/>
        <v>0</v>
      </c>
      <c r="G19" s="501"/>
      <c r="H19" s="4" t="s">
        <v>18</v>
      </c>
      <c r="I19" s="5">
        <v>800000</v>
      </c>
      <c r="J19" s="5">
        <v>400000</v>
      </c>
      <c r="K19" s="7">
        <f t="shared" si="5"/>
        <v>-400000</v>
      </c>
    </row>
    <row r="20" spans="2:11" ht="24.95" customHeight="1">
      <c r="B20" s="499" t="s">
        <v>13</v>
      </c>
      <c r="C20" s="18" t="s">
        <v>43</v>
      </c>
      <c r="D20" s="19">
        <f>D21</f>
        <v>3020000</v>
      </c>
      <c r="E20" s="19">
        <f>E21</f>
        <v>2044000</v>
      </c>
      <c r="F20" s="20">
        <f>F21</f>
        <v>-976000</v>
      </c>
      <c r="G20" s="501"/>
      <c r="H20" s="4" t="s">
        <v>19</v>
      </c>
      <c r="I20" s="5">
        <v>210000</v>
      </c>
      <c r="J20" s="5">
        <v>280000</v>
      </c>
      <c r="K20" s="7">
        <f t="shared" si="5"/>
        <v>70000</v>
      </c>
    </row>
    <row r="21" spans="2:11" ht="24.95" customHeight="1">
      <c r="B21" s="500"/>
      <c r="C21" s="4" t="s">
        <v>14</v>
      </c>
      <c r="D21" s="5">
        <v>3020000</v>
      </c>
      <c r="E21" s="5">
        <v>2044000</v>
      </c>
      <c r="F21" s="6">
        <f t="shared" si="1"/>
        <v>-976000</v>
      </c>
      <c r="G21" s="501"/>
      <c r="H21" s="4" t="s">
        <v>20</v>
      </c>
      <c r="I21" s="5">
        <v>150000</v>
      </c>
      <c r="J21" s="5">
        <v>168000</v>
      </c>
      <c r="K21" s="7">
        <f t="shared" si="5"/>
        <v>18000</v>
      </c>
    </row>
    <row r="22" spans="2:11" ht="24.95" customHeight="1">
      <c r="B22" s="499" t="s">
        <v>16</v>
      </c>
      <c r="C22" s="18" t="s">
        <v>43</v>
      </c>
      <c r="D22" s="19">
        <f>D23</f>
        <v>762000</v>
      </c>
      <c r="E22" s="19">
        <f>E23</f>
        <v>755000</v>
      </c>
      <c r="F22" s="20">
        <f>F23</f>
        <v>-7000</v>
      </c>
      <c r="G22" s="500"/>
      <c r="H22" s="4" t="s">
        <v>21</v>
      </c>
      <c r="I22" s="5">
        <v>3115000</v>
      </c>
      <c r="J22" s="5">
        <v>1315000</v>
      </c>
      <c r="K22" s="7">
        <f t="shared" si="5"/>
        <v>-1800000</v>
      </c>
    </row>
    <row r="23" spans="2:11" ht="24.95" customHeight="1">
      <c r="B23" s="500"/>
      <c r="C23" s="4" t="s">
        <v>17</v>
      </c>
      <c r="D23" s="5">
        <v>762000</v>
      </c>
      <c r="E23" s="5">
        <v>755000</v>
      </c>
      <c r="F23" s="6">
        <f t="shared" si="1"/>
        <v>-7000</v>
      </c>
      <c r="G23" s="503" t="s">
        <v>27</v>
      </c>
      <c r="H23" s="18" t="s">
        <v>43</v>
      </c>
      <c r="I23" s="19">
        <f>I24</f>
        <v>8000</v>
      </c>
      <c r="J23" s="19">
        <f>J24</f>
        <v>10000</v>
      </c>
      <c r="K23" s="22">
        <f>K24</f>
        <v>2000</v>
      </c>
    </row>
    <row r="24" spans="2:11" ht="24.95" customHeight="1">
      <c r="B24" s="24"/>
      <c r="C24" s="25"/>
      <c r="D24" s="25"/>
      <c r="E24" s="25"/>
      <c r="F24" s="25"/>
      <c r="G24" s="504"/>
      <c r="H24" s="4" t="s">
        <v>22</v>
      </c>
      <c r="I24" s="5">
        <v>8000</v>
      </c>
      <c r="J24" s="5">
        <v>10000</v>
      </c>
      <c r="K24" s="7">
        <f t="shared" ref="K24" si="6">J24-I24</f>
        <v>2000</v>
      </c>
    </row>
    <row r="25" spans="2:11" ht="24.95" customHeight="1">
      <c r="B25" s="26"/>
      <c r="C25" s="27"/>
      <c r="D25" s="27"/>
      <c r="E25" s="27"/>
      <c r="F25" s="27"/>
      <c r="G25" s="499" t="s">
        <v>23</v>
      </c>
      <c r="H25" s="18" t="s">
        <v>43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>
      <c r="B26" s="26"/>
      <c r="C26" s="27"/>
      <c r="D26" s="27"/>
      <c r="E26" s="27"/>
      <c r="F26" s="27"/>
      <c r="G26" s="500"/>
      <c r="H26" s="4" t="s">
        <v>24</v>
      </c>
      <c r="I26" s="5">
        <v>0</v>
      </c>
      <c r="J26" s="5">
        <v>0</v>
      </c>
      <c r="K26" s="7">
        <f t="shared" ref="K26" si="7">J26-I26</f>
        <v>0</v>
      </c>
    </row>
    <row r="27" spans="2:11" ht="24.95" customHeight="1">
      <c r="B27" s="26"/>
      <c r="C27" s="27"/>
      <c r="D27" s="27"/>
      <c r="E27" s="27"/>
      <c r="F27" s="27"/>
      <c r="G27" s="499" t="s">
        <v>25</v>
      </c>
      <c r="H27" s="18" t="s">
        <v>43</v>
      </c>
      <c r="I27" s="19">
        <f>I28</f>
        <v>34000</v>
      </c>
      <c r="J27" s="19">
        <f>J28</f>
        <v>25000</v>
      </c>
      <c r="K27" s="22">
        <f>K28</f>
        <v>-9000</v>
      </c>
    </row>
    <row r="28" spans="2:11" ht="24.95" customHeight="1" thickBot="1">
      <c r="B28" s="28"/>
      <c r="C28" s="29"/>
      <c r="D28" s="29"/>
      <c r="E28" s="29"/>
      <c r="F28" s="29"/>
      <c r="G28" s="502"/>
      <c r="H28" s="8" t="s">
        <v>26</v>
      </c>
      <c r="I28" s="9">
        <v>34000</v>
      </c>
      <c r="J28" s="9">
        <v>25000</v>
      </c>
      <c r="K28" s="10">
        <f>J28-I28</f>
        <v>-9000</v>
      </c>
    </row>
  </sheetData>
  <mergeCells count="24"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25" right="0.25" top="0.75" bottom="0.75" header="0.3" footer="0.3"/>
  <pageSetup paperSize="9" scale="73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zoomScaleNormal="10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G25" sqref="G25"/>
    </sheetView>
  </sheetViews>
  <sheetFormatPr defaultColWidth="13.77734375" defaultRowHeight="19.5" customHeight="1"/>
  <cols>
    <col min="1" max="2" width="5.6640625" style="39" bestFit="1" customWidth="1"/>
    <col min="3" max="3" width="5.6640625" style="39" customWidth="1"/>
    <col min="4" max="4" width="8.77734375" style="38" customWidth="1"/>
    <col min="5" max="5" width="9.44140625" style="38" bestFit="1" customWidth="1"/>
    <col min="6" max="6" width="9.44140625" style="37" bestFit="1" customWidth="1"/>
    <col min="7" max="7" width="7.88671875" style="36" customWidth="1"/>
    <col min="8" max="8" width="16.109375" style="33" customWidth="1"/>
    <col min="9" max="9" width="4.77734375" style="35" customWidth="1"/>
    <col min="10" max="10" width="2.21875" style="35" customWidth="1"/>
    <col min="11" max="11" width="2.5546875" style="35" customWidth="1"/>
    <col min="12" max="12" width="10.44140625" style="35" bestFit="1" customWidth="1"/>
    <col min="13" max="13" width="3.109375" style="35" customWidth="1"/>
    <col min="14" max="14" width="3.44140625" style="35" bestFit="1" customWidth="1"/>
    <col min="15" max="15" width="7.6640625" style="35" bestFit="1" customWidth="1"/>
    <col min="16" max="16" width="4.88671875" style="35" customWidth="1"/>
    <col min="17" max="17" width="3.44140625" style="35" bestFit="1" customWidth="1"/>
    <col min="18" max="18" width="6.77734375" style="35" bestFit="1" customWidth="1"/>
    <col min="19" max="19" width="2.77734375" style="35" bestFit="1" customWidth="1"/>
    <col min="20" max="20" width="2.109375" style="35" bestFit="1" customWidth="1"/>
    <col min="21" max="21" width="5.77734375" style="35" bestFit="1" customWidth="1"/>
    <col min="22" max="22" width="2.5546875" style="35" customWidth="1"/>
    <col min="23" max="23" width="12.44140625" style="35" bestFit="1" customWidth="1"/>
    <col min="24" max="24" width="2.77734375" style="35" customWidth="1"/>
    <col min="25" max="25" width="4.44140625" style="34" customWidth="1"/>
    <col min="26" max="16384" width="13.77734375" style="33"/>
  </cols>
  <sheetData>
    <row r="1" spans="1:25" s="40" customFormat="1" ht="33" customHeight="1" thickBot="1">
      <c r="A1" s="520" t="s">
        <v>180</v>
      </c>
      <c r="B1" s="520"/>
      <c r="C1" s="520"/>
      <c r="D1" s="520"/>
      <c r="E1" s="520"/>
      <c r="F1" s="520"/>
      <c r="G1" s="36"/>
      <c r="H1" s="33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4"/>
    </row>
    <row r="2" spans="1:25" s="247" customFormat="1" ht="27" customHeight="1">
      <c r="A2" s="508" t="s">
        <v>179</v>
      </c>
      <c r="B2" s="509"/>
      <c r="C2" s="509"/>
      <c r="D2" s="510" t="s">
        <v>178</v>
      </c>
      <c r="E2" s="514" t="s">
        <v>177</v>
      </c>
      <c r="F2" s="516" t="s">
        <v>176</v>
      </c>
      <c r="G2" s="516"/>
      <c r="H2" s="516" t="s">
        <v>175</v>
      </c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7"/>
      <c r="Y2" s="248"/>
    </row>
    <row r="3" spans="1:25" s="247" customFormat="1" ht="32.25" customHeight="1" thickBot="1">
      <c r="A3" s="259" t="s">
        <v>174</v>
      </c>
      <c r="B3" s="258" t="s">
        <v>173</v>
      </c>
      <c r="C3" s="258" t="s">
        <v>39</v>
      </c>
      <c r="D3" s="511"/>
      <c r="E3" s="515"/>
      <c r="F3" s="257" t="s">
        <v>172</v>
      </c>
      <c r="G3" s="256" t="s">
        <v>171</v>
      </c>
      <c r="H3" s="518"/>
      <c r="I3" s="518"/>
      <c r="J3" s="518"/>
      <c r="K3" s="51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9"/>
      <c r="Y3" s="248"/>
    </row>
    <row r="4" spans="1:25" s="247" customFormat="1" ht="19.5" customHeight="1">
      <c r="A4" s="512" t="s">
        <v>170</v>
      </c>
      <c r="B4" s="513"/>
      <c r="C4" s="513"/>
      <c r="D4" s="255">
        <v>63674</v>
      </c>
      <c r="E4" s="255">
        <f>SUM(E5,E11,E27,E37,E44,E51,E72)</f>
        <v>69378</v>
      </c>
      <c r="F4" s="254">
        <f>SUM(F5,F7,F9,F11,F27,F37,F44,F51,F72)</f>
        <v>5704</v>
      </c>
      <c r="G4" s="253">
        <f>IF(D4=0,0,F4/D4)</f>
        <v>8.9581304771178191E-2</v>
      </c>
      <c r="H4" s="252" t="s">
        <v>169</v>
      </c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0">
        <f>SUM(W5,W7,W9,W11,W27,W37,W44,W51,W72)</f>
        <v>69378000</v>
      </c>
      <c r="X4" s="249" t="s">
        <v>66</v>
      </c>
      <c r="Y4" s="248"/>
    </row>
    <row r="5" spans="1:25" ht="21" customHeight="1" thickBot="1">
      <c r="A5" s="139" t="s">
        <v>168</v>
      </c>
      <c r="B5" s="82" t="s">
        <v>168</v>
      </c>
      <c r="C5" s="246" t="s">
        <v>167</v>
      </c>
      <c r="D5" s="240">
        <v>12000</v>
      </c>
      <c r="E5" s="240">
        <f>W5/1000</f>
        <v>9000</v>
      </c>
      <c r="F5" s="239">
        <f>E5-D5</f>
        <v>-3000</v>
      </c>
      <c r="G5" s="238">
        <f>IF(D5=0,0,F5/D5)</f>
        <v>-0.25</v>
      </c>
      <c r="H5" s="237" t="s">
        <v>166</v>
      </c>
      <c r="I5" s="236"/>
      <c r="J5" s="235"/>
      <c r="K5" s="235"/>
      <c r="L5" s="235"/>
      <c r="M5" s="235"/>
      <c r="N5" s="235"/>
      <c r="O5" s="234"/>
      <c r="P5" s="234" t="s">
        <v>158</v>
      </c>
      <c r="Q5" s="234"/>
      <c r="R5" s="234"/>
      <c r="S5" s="234"/>
      <c r="T5" s="234"/>
      <c r="U5" s="234"/>
      <c r="V5" s="233"/>
      <c r="W5" s="233">
        <f>W6</f>
        <v>9000000</v>
      </c>
      <c r="X5" s="232" t="s">
        <v>71</v>
      </c>
    </row>
    <row r="6" spans="1:25" ht="21" customHeight="1">
      <c r="A6" s="108" t="s">
        <v>165</v>
      </c>
      <c r="B6" s="60" t="s">
        <v>164</v>
      </c>
      <c r="C6" s="245" t="s">
        <v>164</v>
      </c>
      <c r="D6" s="59"/>
      <c r="E6" s="59"/>
      <c r="F6" s="58"/>
      <c r="G6" s="57"/>
      <c r="H6" s="244" t="s">
        <v>163</v>
      </c>
      <c r="I6" s="83"/>
      <c r="J6" s="242"/>
      <c r="K6" s="242"/>
      <c r="L6" s="55">
        <v>250000</v>
      </c>
      <c r="M6" s="55" t="s">
        <v>66</v>
      </c>
      <c r="N6" s="53" t="s">
        <v>131</v>
      </c>
      <c r="O6" s="186">
        <v>4</v>
      </c>
      <c r="P6" s="55" t="s">
        <v>147</v>
      </c>
      <c r="Q6" s="53" t="s">
        <v>131</v>
      </c>
      <c r="R6" s="241">
        <v>9</v>
      </c>
      <c r="S6" s="54" t="s">
        <v>130</v>
      </c>
      <c r="T6" s="54" t="s">
        <v>129</v>
      </c>
      <c r="U6" s="54"/>
      <c r="V6" s="55"/>
      <c r="W6" s="55">
        <f>L6*O6*R6</f>
        <v>9000000</v>
      </c>
      <c r="X6" s="51" t="s">
        <v>66</v>
      </c>
    </row>
    <row r="7" spans="1:25" s="40" customFormat="1" ht="19.5" customHeight="1" thickBot="1">
      <c r="A7" s="139" t="s">
        <v>162</v>
      </c>
      <c r="B7" s="82" t="s">
        <v>162</v>
      </c>
      <c r="C7" s="82" t="s">
        <v>162</v>
      </c>
      <c r="D7" s="240">
        <v>0</v>
      </c>
      <c r="E7" s="240">
        <f>W7/1000</f>
        <v>0</v>
      </c>
      <c r="F7" s="239">
        <f>E7-D7</f>
        <v>0</v>
      </c>
      <c r="G7" s="238">
        <f>IF(D7=0,0,F7/D7)</f>
        <v>0</v>
      </c>
      <c r="H7" s="237" t="s">
        <v>161</v>
      </c>
      <c r="I7" s="236"/>
      <c r="J7" s="235"/>
      <c r="K7" s="235"/>
      <c r="L7" s="235"/>
      <c r="M7" s="235"/>
      <c r="N7" s="235"/>
      <c r="O7" s="234"/>
      <c r="P7" s="234" t="s">
        <v>158</v>
      </c>
      <c r="Q7" s="234"/>
      <c r="R7" s="234"/>
      <c r="S7" s="234"/>
      <c r="T7" s="234"/>
      <c r="U7" s="234"/>
      <c r="V7" s="233"/>
      <c r="W7" s="233">
        <f>W8</f>
        <v>0</v>
      </c>
      <c r="X7" s="232" t="s">
        <v>71</v>
      </c>
      <c r="Y7" s="34"/>
    </row>
    <row r="8" spans="1:25" ht="21" customHeight="1">
      <c r="A8" s="130" t="s">
        <v>85</v>
      </c>
      <c r="B8" s="129" t="s">
        <v>85</v>
      </c>
      <c r="C8" s="129" t="s">
        <v>85</v>
      </c>
      <c r="D8" s="59"/>
      <c r="E8" s="59"/>
      <c r="F8" s="58"/>
      <c r="G8" s="57"/>
      <c r="H8" s="243"/>
      <c r="I8" s="83"/>
      <c r="J8" s="242"/>
      <c r="K8" s="242"/>
      <c r="L8" s="55"/>
      <c r="M8" s="55"/>
      <c r="N8" s="53"/>
      <c r="O8" s="55"/>
      <c r="P8" s="55"/>
      <c r="Q8" s="53"/>
      <c r="R8" s="241"/>
      <c r="S8" s="54"/>
      <c r="T8" s="54"/>
      <c r="U8" s="54"/>
      <c r="V8" s="55"/>
      <c r="W8" s="55">
        <v>0</v>
      </c>
      <c r="X8" s="51" t="s">
        <v>66</v>
      </c>
    </row>
    <row r="9" spans="1:25" ht="21" customHeight="1" thickBot="1">
      <c r="A9" s="139" t="s">
        <v>160</v>
      </c>
      <c r="B9" s="82" t="s">
        <v>160</v>
      </c>
      <c r="C9" s="82" t="s">
        <v>160</v>
      </c>
      <c r="D9" s="240">
        <v>0</v>
      </c>
      <c r="E9" s="240">
        <f>W9/1000</f>
        <v>0</v>
      </c>
      <c r="F9" s="239">
        <f>E9-D9</f>
        <v>0</v>
      </c>
      <c r="G9" s="238">
        <f>IF(D9=0,0,F9/D9)</f>
        <v>0</v>
      </c>
      <c r="H9" s="237" t="s">
        <v>159</v>
      </c>
      <c r="I9" s="236"/>
      <c r="J9" s="235"/>
      <c r="K9" s="235"/>
      <c r="L9" s="235"/>
      <c r="M9" s="235"/>
      <c r="N9" s="235"/>
      <c r="O9" s="234"/>
      <c r="P9" s="234" t="s">
        <v>158</v>
      </c>
      <c r="Q9" s="234"/>
      <c r="R9" s="234"/>
      <c r="S9" s="234"/>
      <c r="T9" s="234"/>
      <c r="U9" s="234"/>
      <c r="V9" s="233"/>
      <c r="W9" s="233">
        <f>W10</f>
        <v>0</v>
      </c>
      <c r="X9" s="232" t="s">
        <v>71</v>
      </c>
    </row>
    <row r="10" spans="1:25" ht="21" customHeight="1">
      <c r="A10" s="130" t="s">
        <v>85</v>
      </c>
      <c r="B10" s="129" t="s">
        <v>85</v>
      </c>
      <c r="C10" s="129" t="s">
        <v>85</v>
      </c>
      <c r="D10" s="231"/>
      <c r="E10" s="231"/>
      <c r="F10" s="230"/>
      <c r="G10" s="229"/>
      <c r="H10" s="228"/>
      <c r="I10" s="227"/>
      <c r="J10" s="226"/>
      <c r="K10" s="226"/>
      <c r="L10" s="226"/>
      <c r="M10" s="226"/>
      <c r="N10" s="226"/>
      <c r="O10" s="225"/>
      <c r="P10" s="225"/>
      <c r="Q10" s="225"/>
      <c r="R10" s="225"/>
      <c r="S10" s="225"/>
      <c r="T10" s="225"/>
      <c r="U10" s="225"/>
      <c r="V10" s="224"/>
      <c r="W10" s="224">
        <v>0</v>
      </c>
      <c r="X10" s="223" t="s">
        <v>66</v>
      </c>
    </row>
    <row r="11" spans="1:25" s="40" customFormat="1" ht="19.5" customHeight="1">
      <c r="A11" s="139" t="s">
        <v>141</v>
      </c>
      <c r="B11" s="82" t="s">
        <v>141</v>
      </c>
      <c r="C11" s="118" t="s">
        <v>95</v>
      </c>
      <c r="D11" s="117">
        <v>47492</v>
      </c>
      <c r="E11" s="117">
        <f>SUM(E12,E15,E21,E24)</f>
        <v>57179</v>
      </c>
      <c r="F11" s="116">
        <f>E11-D11</f>
        <v>9687</v>
      </c>
      <c r="G11" s="115">
        <f>IF(D11=0,0,F11/D11)</f>
        <v>0.20397119514865661</v>
      </c>
      <c r="H11" s="114" t="s">
        <v>157</v>
      </c>
      <c r="I11" s="112"/>
      <c r="J11" s="113"/>
      <c r="K11" s="113"/>
      <c r="L11" s="112"/>
      <c r="M11" s="112"/>
      <c r="N11" s="112"/>
      <c r="O11" s="112"/>
      <c r="P11" s="112"/>
      <c r="Q11" s="111"/>
      <c r="R11" s="111"/>
      <c r="S11" s="111"/>
      <c r="T11" s="111"/>
      <c r="U11" s="111"/>
      <c r="V11" s="111"/>
      <c r="W11" s="138">
        <f>SUM(W12,W15,W21,W24)</f>
        <v>57179000</v>
      </c>
      <c r="X11" s="137" t="s">
        <v>71</v>
      </c>
      <c r="Y11" s="34"/>
    </row>
    <row r="12" spans="1:25" s="40" customFormat="1" ht="19.5" customHeight="1">
      <c r="A12" s="108" t="s">
        <v>156</v>
      </c>
      <c r="B12" s="60" t="s">
        <v>85</v>
      </c>
      <c r="C12" s="82" t="s">
        <v>155</v>
      </c>
      <c r="D12" s="81">
        <v>0</v>
      </c>
      <c r="E12" s="81">
        <f>W12/1000</f>
        <v>0</v>
      </c>
      <c r="F12" s="80">
        <f>E12-D12</f>
        <v>0</v>
      </c>
      <c r="G12" s="79">
        <f>IF(D12=0,0,F12/D12)</f>
        <v>0</v>
      </c>
      <c r="H12" s="78" t="s">
        <v>154</v>
      </c>
      <c r="I12" s="77"/>
      <c r="J12" s="76"/>
      <c r="K12" s="76"/>
      <c r="L12" s="76"/>
      <c r="M12" s="76"/>
      <c r="N12" s="76"/>
      <c r="O12" s="75"/>
      <c r="P12" s="75"/>
      <c r="Q12" s="75"/>
      <c r="R12" s="75"/>
      <c r="S12" s="75"/>
      <c r="T12" s="75"/>
      <c r="U12" s="74" t="s">
        <v>76</v>
      </c>
      <c r="V12" s="73"/>
      <c r="W12" s="106">
        <v>0</v>
      </c>
      <c r="X12" s="72" t="s">
        <v>66</v>
      </c>
      <c r="Y12" s="34"/>
    </row>
    <row r="13" spans="1:25" s="40" customFormat="1" ht="19.5" customHeight="1">
      <c r="A13" s="108"/>
      <c r="B13" s="60"/>
      <c r="C13" s="60" t="s">
        <v>141</v>
      </c>
      <c r="D13" s="222"/>
      <c r="E13" s="222"/>
      <c r="F13" s="221"/>
      <c r="G13" s="220"/>
      <c r="H13" s="219"/>
      <c r="I13" s="218"/>
      <c r="J13" s="217"/>
      <c r="K13" s="217"/>
      <c r="L13" s="217"/>
      <c r="M13" s="217"/>
      <c r="N13" s="217"/>
      <c r="O13" s="216"/>
      <c r="P13" s="216"/>
      <c r="Q13" s="216"/>
      <c r="R13" s="216"/>
      <c r="S13" s="216"/>
      <c r="T13" s="216"/>
      <c r="U13" s="215"/>
      <c r="V13" s="214"/>
      <c r="W13" s="214"/>
      <c r="X13" s="213"/>
      <c r="Y13" s="34"/>
    </row>
    <row r="14" spans="1:25" s="40" customFormat="1" ht="19.5" customHeight="1">
      <c r="A14" s="62"/>
      <c r="B14" s="60"/>
      <c r="C14" s="60"/>
      <c r="D14" s="128"/>
      <c r="E14" s="128"/>
      <c r="F14" s="127"/>
      <c r="G14" s="126"/>
      <c r="H14" s="212"/>
      <c r="I14" s="202"/>
      <c r="J14" s="211"/>
      <c r="K14" s="211"/>
      <c r="L14" s="209"/>
      <c r="M14" s="209"/>
      <c r="N14" s="210"/>
      <c r="O14" s="209"/>
      <c r="P14" s="208"/>
      <c r="Q14" s="207"/>
      <c r="R14" s="206"/>
      <c r="S14" s="205"/>
      <c r="T14" s="205"/>
      <c r="U14" s="204"/>
      <c r="V14" s="203"/>
      <c r="W14" s="202"/>
      <c r="X14" s="201"/>
      <c r="Y14" s="34"/>
    </row>
    <row r="15" spans="1:25" s="40" customFormat="1" ht="19.5" customHeight="1">
      <c r="A15" s="62"/>
      <c r="B15" s="60"/>
      <c r="C15" s="82" t="s">
        <v>153</v>
      </c>
      <c r="D15" s="81">
        <v>47192</v>
      </c>
      <c r="E15" s="81">
        <f>SUM(E16)</f>
        <v>56879</v>
      </c>
      <c r="F15" s="80">
        <f>E15-D15</f>
        <v>9687</v>
      </c>
      <c r="G15" s="79">
        <f>IF(D15=0,0,F15/D15)</f>
        <v>0.20526784200711984</v>
      </c>
      <c r="H15" s="78" t="s">
        <v>152</v>
      </c>
      <c r="I15" s="77"/>
      <c r="J15" s="76"/>
      <c r="K15" s="76"/>
      <c r="L15" s="76"/>
      <c r="M15" s="76"/>
      <c r="N15" s="76"/>
      <c r="O15" s="75"/>
      <c r="P15" s="75"/>
      <c r="Q15" s="75"/>
      <c r="R15" s="75"/>
      <c r="S15" s="75"/>
      <c r="T15" s="75"/>
      <c r="U15" s="74" t="s">
        <v>76</v>
      </c>
      <c r="V15" s="73"/>
      <c r="W15" s="73">
        <f>W16</f>
        <v>56879000</v>
      </c>
      <c r="X15" s="72" t="s">
        <v>66</v>
      </c>
      <c r="Y15" s="34"/>
    </row>
    <row r="16" spans="1:25" s="40" customFormat="1" ht="19.5" customHeight="1" thickBot="1">
      <c r="A16" s="62"/>
      <c r="B16" s="60"/>
      <c r="C16" s="60" t="s">
        <v>141</v>
      </c>
      <c r="D16" s="200">
        <v>47192</v>
      </c>
      <c r="E16" s="200">
        <f>W16/1000</f>
        <v>56879</v>
      </c>
      <c r="F16" s="71">
        <f>E16-D16</f>
        <v>9687</v>
      </c>
      <c r="G16" s="167">
        <f>IF(D16=0,0,F16/D16)</f>
        <v>0.20526784200711984</v>
      </c>
      <c r="H16" s="199" t="s">
        <v>151</v>
      </c>
      <c r="I16" s="198"/>
      <c r="J16" s="197"/>
      <c r="K16" s="197"/>
      <c r="L16" s="93"/>
      <c r="M16" s="93"/>
      <c r="N16" s="196"/>
      <c r="O16" s="93"/>
      <c r="P16" s="195"/>
      <c r="Q16" s="194"/>
      <c r="R16" s="193"/>
      <c r="S16" s="192"/>
      <c r="T16" s="192"/>
      <c r="U16" s="191" t="s">
        <v>150</v>
      </c>
      <c r="V16" s="190"/>
      <c r="W16" s="190">
        <f>ROUNDUP(SUM(V17:W19),-3)</f>
        <v>56879000</v>
      </c>
      <c r="X16" s="189" t="s">
        <v>66</v>
      </c>
      <c r="Y16" s="34"/>
    </row>
    <row r="17" spans="1:25" s="40" customFormat="1" ht="19.5" customHeight="1">
      <c r="A17" s="62"/>
      <c r="B17" s="60"/>
      <c r="C17" s="60"/>
      <c r="D17" s="59"/>
      <c r="E17" s="59"/>
      <c r="F17" s="58"/>
      <c r="G17" s="84"/>
      <c r="H17" s="188" t="s">
        <v>149</v>
      </c>
      <c r="I17" s="155"/>
      <c r="J17" s="187"/>
      <c r="K17" s="187"/>
      <c r="L17" s="186"/>
      <c r="M17" s="186"/>
      <c r="N17" s="185"/>
      <c r="O17" s="184"/>
      <c r="P17" s="183"/>
      <c r="Q17" s="182"/>
      <c r="R17" s="181"/>
      <c r="S17" s="89"/>
      <c r="T17" s="180"/>
      <c r="U17" s="507"/>
      <c r="V17" s="507"/>
      <c r="W17" s="155">
        <v>47735000</v>
      </c>
      <c r="X17" s="179" t="s">
        <v>66</v>
      </c>
      <c r="Y17" s="178"/>
    </row>
    <row r="18" spans="1:25" s="40" customFormat="1" ht="19.5" customHeight="1">
      <c r="A18" s="62"/>
      <c r="B18" s="60"/>
      <c r="C18" s="60"/>
      <c r="D18" s="59"/>
      <c r="E18" s="59"/>
      <c r="F18" s="58"/>
      <c r="G18" s="84"/>
      <c r="H18" s="53" t="s">
        <v>148</v>
      </c>
      <c r="I18" s="64"/>
      <c r="J18" s="176"/>
      <c r="K18" s="176"/>
      <c r="L18" s="52">
        <v>2286000</v>
      </c>
      <c r="M18" s="52" t="s">
        <v>71</v>
      </c>
      <c r="N18" s="175" t="s">
        <v>69</v>
      </c>
      <c r="O18" s="174">
        <v>4</v>
      </c>
      <c r="P18" s="173" t="s">
        <v>147</v>
      </c>
      <c r="Q18" s="172"/>
      <c r="R18" s="171"/>
      <c r="S18" s="170"/>
      <c r="T18" s="169" t="s">
        <v>129</v>
      </c>
      <c r="U18" s="177"/>
      <c r="V18" s="165"/>
      <c r="W18" s="63">
        <f>L18*O18</f>
        <v>9144000</v>
      </c>
      <c r="X18" s="147" t="s">
        <v>66</v>
      </c>
      <c r="Y18" s="34"/>
    </row>
    <row r="19" spans="1:25" s="40" customFormat="1" ht="19.5" customHeight="1">
      <c r="A19" s="62"/>
      <c r="B19" s="60"/>
      <c r="C19" s="60"/>
      <c r="D19" s="59"/>
      <c r="E19" s="59"/>
      <c r="F19" s="58"/>
      <c r="G19" s="84"/>
      <c r="H19" s="166" t="s">
        <v>146</v>
      </c>
      <c r="I19" s="64"/>
      <c r="J19" s="176"/>
      <c r="K19" s="176"/>
      <c r="L19" s="52"/>
      <c r="M19" s="52"/>
      <c r="N19" s="175"/>
      <c r="O19" s="174"/>
      <c r="P19" s="173"/>
      <c r="Q19" s="172"/>
      <c r="R19" s="171"/>
      <c r="S19" s="170"/>
      <c r="T19" s="169"/>
      <c r="U19" s="505"/>
      <c r="V19" s="505"/>
      <c r="W19" s="63"/>
      <c r="X19" s="51" t="s">
        <v>66</v>
      </c>
      <c r="Y19" s="34"/>
    </row>
    <row r="20" spans="1:25" s="40" customFormat="1" ht="19.5" customHeight="1">
      <c r="A20" s="62"/>
      <c r="B20" s="168"/>
      <c r="C20" s="158"/>
      <c r="D20" s="128"/>
      <c r="E20" s="128"/>
      <c r="F20" s="127"/>
      <c r="G20" s="126"/>
      <c r="H20" s="124"/>
      <c r="I20" s="122"/>
      <c r="J20" s="156"/>
      <c r="K20" s="156"/>
      <c r="L20" s="122"/>
      <c r="M20" s="122"/>
      <c r="N20" s="124"/>
      <c r="O20" s="122"/>
      <c r="P20" s="122"/>
      <c r="Q20" s="124"/>
      <c r="R20" s="124"/>
      <c r="S20" s="124"/>
      <c r="T20" s="124"/>
      <c r="U20" s="124"/>
      <c r="V20" s="124"/>
      <c r="W20" s="122"/>
      <c r="X20" s="120"/>
      <c r="Y20" s="34"/>
    </row>
    <row r="21" spans="1:25" s="40" customFormat="1" ht="19.5" customHeight="1">
      <c r="A21" s="108"/>
      <c r="B21" s="60"/>
      <c r="C21" s="60" t="s">
        <v>145</v>
      </c>
      <c r="D21" s="81">
        <v>300</v>
      </c>
      <c r="E21" s="81">
        <f>E22</f>
        <v>300</v>
      </c>
      <c r="F21" s="80">
        <f>E21-D21</f>
        <v>0</v>
      </c>
      <c r="G21" s="79">
        <f>IF(D21=0,0,F21/D21)</f>
        <v>0</v>
      </c>
      <c r="H21" s="78" t="s">
        <v>144</v>
      </c>
      <c r="I21" s="77"/>
      <c r="J21" s="76"/>
      <c r="K21" s="76"/>
      <c r="L21" s="76"/>
      <c r="M21" s="76"/>
      <c r="N21" s="76"/>
      <c r="O21" s="75"/>
      <c r="P21" s="75"/>
      <c r="Q21" s="75"/>
      <c r="R21" s="75"/>
      <c r="S21" s="75"/>
      <c r="T21" s="75"/>
      <c r="U21" s="74" t="s">
        <v>76</v>
      </c>
      <c r="V21" s="73"/>
      <c r="W21" s="106">
        <f>W22</f>
        <v>300000</v>
      </c>
      <c r="X21" s="72" t="s">
        <v>66</v>
      </c>
      <c r="Y21" s="34"/>
    </row>
    <row r="22" spans="1:25" ht="21" customHeight="1">
      <c r="A22" s="108"/>
      <c r="B22" s="60"/>
      <c r="C22" s="60"/>
      <c r="D22" s="59">
        <v>300</v>
      </c>
      <c r="E22" s="59">
        <f>W22/1000</f>
        <v>300</v>
      </c>
      <c r="F22" s="71">
        <f>E22-D22</f>
        <v>0</v>
      </c>
      <c r="G22" s="167">
        <f>IF(D22=0,0,F22/D22)</f>
        <v>0</v>
      </c>
      <c r="H22" s="166" t="s">
        <v>143</v>
      </c>
      <c r="I22" s="165"/>
      <c r="J22" s="52"/>
      <c r="K22" s="52"/>
      <c r="L22" s="150"/>
      <c r="M22" s="148"/>
      <c r="N22" s="148"/>
      <c r="O22" s="164"/>
      <c r="P22" s="163"/>
      <c r="Q22" s="148"/>
      <c r="R22" s="149"/>
      <c r="S22" s="148"/>
      <c r="T22" s="148"/>
      <c r="U22" s="52"/>
      <c r="V22" s="63"/>
      <c r="W22" s="52">
        <v>300000</v>
      </c>
      <c r="X22" s="147" t="s">
        <v>66</v>
      </c>
      <c r="Y22" s="162"/>
    </row>
    <row r="23" spans="1:25" ht="21" customHeight="1">
      <c r="A23" s="108"/>
      <c r="B23" s="60"/>
      <c r="C23" s="60"/>
      <c r="D23" s="59"/>
      <c r="E23" s="59"/>
      <c r="F23" s="58"/>
      <c r="G23" s="84"/>
      <c r="H23" s="56"/>
      <c r="I23" s="53"/>
      <c r="J23" s="55"/>
      <c r="K23" s="55"/>
      <c r="L23" s="55"/>
      <c r="M23" s="83"/>
      <c r="N23" s="91"/>
      <c r="O23" s="161"/>
      <c r="P23" s="91"/>
      <c r="Q23" s="91"/>
      <c r="R23" s="160"/>
      <c r="S23" s="89"/>
      <c r="T23" s="54"/>
      <c r="U23" s="55"/>
      <c r="V23" s="64"/>
      <c r="W23" s="64"/>
      <c r="X23" s="51"/>
    </row>
    <row r="24" spans="1:25" ht="21" customHeight="1">
      <c r="A24" s="108"/>
      <c r="B24" s="60"/>
      <c r="C24" s="82" t="s">
        <v>80</v>
      </c>
      <c r="D24" s="81">
        <v>0</v>
      </c>
      <c r="E24" s="81">
        <f>E25</f>
        <v>0</v>
      </c>
      <c r="F24" s="80">
        <f>E24-D24</f>
        <v>0</v>
      </c>
      <c r="G24" s="79">
        <f>IF(D24=0,0,F24/D24)</f>
        <v>0</v>
      </c>
      <c r="H24" s="78" t="s">
        <v>142</v>
      </c>
      <c r="I24" s="77"/>
      <c r="J24" s="76"/>
      <c r="K24" s="76"/>
      <c r="L24" s="76"/>
      <c r="M24" s="76"/>
      <c r="N24" s="76"/>
      <c r="O24" s="75"/>
      <c r="P24" s="75"/>
      <c r="Q24" s="75"/>
      <c r="R24" s="75"/>
      <c r="S24" s="75"/>
      <c r="T24" s="75"/>
      <c r="U24" s="74" t="s">
        <v>76</v>
      </c>
      <c r="V24" s="73"/>
      <c r="W24" s="73">
        <f>SUM(W25:W25)</f>
        <v>0</v>
      </c>
      <c r="X24" s="72" t="s">
        <v>66</v>
      </c>
    </row>
    <row r="25" spans="1:25" ht="21" customHeight="1">
      <c r="A25" s="108"/>
      <c r="B25" s="60"/>
      <c r="C25" s="60" t="s">
        <v>141</v>
      </c>
      <c r="D25" s="59">
        <v>0</v>
      </c>
      <c r="E25" s="59">
        <f>W25/1000</f>
        <v>0</v>
      </c>
      <c r="F25" s="154">
        <f>E25-D25</f>
        <v>0</v>
      </c>
      <c r="G25" s="153">
        <f>IF(D25=0,0,F25/D25)</f>
        <v>0</v>
      </c>
      <c r="H25" s="56"/>
      <c r="I25" s="53"/>
      <c r="J25" s="55"/>
      <c r="K25" s="55"/>
      <c r="L25" s="55"/>
      <c r="M25" s="55"/>
      <c r="N25" s="53"/>
      <c r="O25" s="55"/>
      <c r="P25" s="55"/>
      <c r="Q25" s="53"/>
      <c r="R25" s="55"/>
      <c r="S25" s="55"/>
      <c r="T25" s="55"/>
      <c r="U25" s="55"/>
      <c r="V25" s="64"/>
      <c r="W25" s="64"/>
      <c r="X25" s="51"/>
    </row>
    <row r="26" spans="1:25" ht="21" customHeight="1">
      <c r="A26" s="159"/>
      <c r="B26" s="158"/>
      <c r="C26" s="158"/>
      <c r="D26" s="128"/>
      <c r="E26" s="128"/>
      <c r="F26" s="127"/>
      <c r="G26" s="126"/>
      <c r="H26" s="125"/>
      <c r="I26" s="122"/>
      <c r="J26" s="156"/>
      <c r="K26" s="156"/>
      <c r="L26" s="157"/>
      <c r="M26" s="122"/>
      <c r="N26" s="156"/>
      <c r="O26" s="122"/>
      <c r="P26" s="122"/>
      <c r="Q26" s="122"/>
      <c r="R26" s="122"/>
      <c r="S26" s="122"/>
      <c r="T26" s="122"/>
      <c r="U26" s="122"/>
      <c r="V26" s="122"/>
      <c r="W26" s="122"/>
      <c r="X26" s="120"/>
    </row>
    <row r="27" spans="1:25" s="40" customFormat="1" ht="19.5" customHeight="1">
      <c r="A27" s="139" t="s">
        <v>48</v>
      </c>
      <c r="B27" s="82" t="s">
        <v>140</v>
      </c>
      <c r="C27" s="118" t="s">
        <v>95</v>
      </c>
      <c r="D27" s="117">
        <v>400</v>
      </c>
      <c r="E27" s="117">
        <f>SUM(E28,E33)</f>
        <v>400</v>
      </c>
      <c r="F27" s="116">
        <f>E27-D27</f>
        <v>0</v>
      </c>
      <c r="G27" s="115">
        <f>IF(D27=0,0,F27/D27)</f>
        <v>0</v>
      </c>
      <c r="H27" s="114" t="s">
        <v>139</v>
      </c>
      <c r="I27" s="112"/>
      <c r="J27" s="113"/>
      <c r="K27" s="113"/>
      <c r="L27" s="112"/>
      <c r="M27" s="112"/>
      <c r="N27" s="112"/>
      <c r="O27" s="112"/>
      <c r="P27" s="112" t="s">
        <v>93</v>
      </c>
      <c r="Q27" s="111"/>
      <c r="R27" s="111"/>
      <c r="S27" s="111"/>
      <c r="T27" s="111"/>
      <c r="U27" s="111"/>
      <c r="V27" s="111"/>
      <c r="W27" s="138">
        <f>W28+W33</f>
        <v>400000</v>
      </c>
      <c r="X27" s="137" t="s">
        <v>71</v>
      </c>
      <c r="Y27" s="34"/>
    </row>
    <row r="28" spans="1:25" ht="21" customHeight="1">
      <c r="A28" s="108" t="s">
        <v>85</v>
      </c>
      <c r="B28" s="60" t="s">
        <v>85</v>
      </c>
      <c r="C28" s="82" t="s">
        <v>138</v>
      </c>
      <c r="D28" s="81">
        <v>0</v>
      </c>
      <c r="E28" s="81">
        <f>E29</f>
        <v>0</v>
      </c>
      <c r="F28" s="80">
        <f>E28-D28</f>
        <v>0</v>
      </c>
      <c r="G28" s="79">
        <v>1</v>
      </c>
      <c r="H28" s="78" t="s">
        <v>137</v>
      </c>
      <c r="I28" s="77"/>
      <c r="J28" s="76"/>
      <c r="K28" s="76"/>
      <c r="L28" s="76"/>
      <c r="M28" s="76"/>
      <c r="N28" s="76"/>
      <c r="O28" s="75"/>
      <c r="P28" s="75"/>
      <c r="Q28" s="75"/>
      <c r="R28" s="75"/>
      <c r="S28" s="75"/>
      <c r="T28" s="75"/>
      <c r="U28" s="74" t="s">
        <v>76</v>
      </c>
      <c r="V28" s="73"/>
      <c r="W28" s="106">
        <f>SUM(W29,W31)</f>
        <v>0</v>
      </c>
      <c r="X28" s="72" t="s">
        <v>66</v>
      </c>
    </row>
    <row r="29" spans="1:25" ht="21" customHeight="1">
      <c r="A29" s="108"/>
      <c r="B29" s="60"/>
      <c r="C29" s="60" t="s">
        <v>48</v>
      </c>
      <c r="D29" s="59">
        <v>0</v>
      </c>
      <c r="E29" s="59">
        <f>W29/1000</f>
        <v>0</v>
      </c>
      <c r="F29" s="154">
        <f>E29-D29</f>
        <v>0</v>
      </c>
      <c r="G29" s="153">
        <v>1</v>
      </c>
      <c r="H29" s="95" t="s">
        <v>136</v>
      </c>
      <c r="I29" s="94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506" t="s">
        <v>76</v>
      </c>
      <c r="V29" s="506"/>
      <c r="W29" s="66">
        <f>SUM(W30:W30)</f>
        <v>0</v>
      </c>
      <c r="X29" s="65" t="s">
        <v>66</v>
      </c>
    </row>
    <row r="30" spans="1:25" ht="21.75" customHeight="1">
      <c r="A30" s="108"/>
      <c r="B30" s="60"/>
      <c r="C30" s="60"/>
      <c r="D30" s="128"/>
      <c r="E30" s="128"/>
      <c r="F30" s="58"/>
      <c r="G30" s="57"/>
      <c r="H30" s="56"/>
      <c r="I30" s="53"/>
      <c r="J30" s="55"/>
      <c r="K30" s="55"/>
      <c r="L30" s="55"/>
      <c r="M30" s="54"/>
      <c r="N30" s="91"/>
      <c r="O30" s="92"/>
      <c r="P30" s="91"/>
      <c r="Q30" s="90"/>
      <c r="R30" s="89"/>
      <c r="S30" s="89"/>
      <c r="T30" s="54"/>
      <c r="U30" s="55"/>
      <c r="V30" s="64"/>
      <c r="W30" s="155"/>
      <c r="X30" s="51"/>
    </row>
    <row r="31" spans="1:25" ht="18" customHeight="1">
      <c r="A31" s="108"/>
      <c r="B31" s="60"/>
      <c r="C31" s="60"/>
      <c r="D31" s="59">
        <v>0</v>
      </c>
      <c r="E31" s="59">
        <f>W31/1000</f>
        <v>0</v>
      </c>
      <c r="F31" s="71">
        <f>E31-D31</f>
        <v>0</v>
      </c>
      <c r="G31" s="70">
        <f>IF(D31=0,0,F31/D31)</f>
        <v>0</v>
      </c>
      <c r="H31" s="95" t="s">
        <v>136</v>
      </c>
      <c r="I31" s="94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506" t="s">
        <v>76</v>
      </c>
      <c r="V31" s="506"/>
      <c r="W31" s="66">
        <f>W32</f>
        <v>0</v>
      </c>
      <c r="X31" s="65" t="s">
        <v>66</v>
      </c>
    </row>
    <row r="32" spans="1:25" ht="18" customHeight="1">
      <c r="A32" s="108"/>
      <c r="B32" s="60"/>
      <c r="C32" s="129"/>
      <c r="D32" s="128"/>
      <c r="E32" s="128"/>
      <c r="F32" s="127"/>
      <c r="G32" s="135"/>
      <c r="H32" s="56"/>
      <c r="I32" s="53"/>
      <c r="J32" s="55"/>
      <c r="K32" s="55"/>
      <c r="L32" s="55"/>
      <c r="M32" s="54"/>
      <c r="N32" s="91"/>
      <c r="O32" s="92"/>
      <c r="P32" s="91"/>
      <c r="Q32" s="90"/>
      <c r="R32" s="89"/>
      <c r="S32" s="89"/>
      <c r="T32" s="54"/>
      <c r="U32" s="55"/>
      <c r="V32" s="64"/>
      <c r="W32" s="64"/>
      <c r="X32" s="51"/>
    </row>
    <row r="33" spans="1:26" ht="18" customHeight="1">
      <c r="A33" s="108"/>
      <c r="B33" s="60"/>
      <c r="C33" s="60" t="s">
        <v>135</v>
      </c>
      <c r="D33" s="81">
        <v>400</v>
      </c>
      <c r="E33" s="81">
        <f>E34</f>
        <v>400</v>
      </c>
      <c r="F33" s="80">
        <f>E33-D33</f>
        <v>0</v>
      </c>
      <c r="G33" s="79">
        <f>IF(D33=0,0,F33/D33)</f>
        <v>0</v>
      </c>
      <c r="H33" s="78" t="s">
        <v>134</v>
      </c>
      <c r="I33" s="77"/>
      <c r="J33" s="76"/>
      <c r="K33" s="76"/>
      <c r="L33" s="76"/>
      <c r="M33" s="76"/>
      <c r="N33" s="76"/>
      <c r="O33" s="75"/>
      <c r="P33" s="75"/>
      <c r="Q33" s="75"/>
      <c r="R33" s="75"/>
      <c r="S33" s="75"/>
      <c r="T33" s="75"/>
      <c r="U33" s="74" t="s">
        <v>76</v>
      </c>
      <c r="V33" s="73"/>
      <c r="W33" s="73">
        <f>W34</f>
        <v>400000</v>
      </c>
      <c r="X33" s="72" t="s">
        <v>66</v>
      </c>
    </row>
    <row r="34" spans="1:26" ht="25.5" customHeight="1">
      <c r="A34" s="108"/>
      <c r="B34" s="60"/>
      <c r="C34" s="60" t="s">
        <v>48</v>
      </c>
      <c r="D34" s="59">
        <v>400</v>
      </c>
      <c r="E34" s="59">
        <f>W34/1000</f>
        <v>400</v>
      </c>
      <c r="F34" s="154">
        <f>E34-D34</f>
        <v>0</v>
      </c>
      <c r="G34" s="153">
        <f>IF(D34=0,0,F34/D34)</f>
        <v>0</v>
      </c>
      <c r="H34" s="95" t="s">
        <v>133</v>
      </c>
      <c r="I34" s="94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506" t="s">
        <v>76</v>
      </c>
      <c r="V34" s="506"/>
      <c r="W34" s="66">
        <f>SUM(W35:W35)</f>
        <v>400000</v>
      </c>
      <c r="X34" s="65" t="s">
        <v>66</v>
      </c>
    </row>
    <row r="35" spans="1:26" ht="21" customHeight="1">
      <c r="A35" s="108"/>
      <c r="B35" s="60"/>
      <c r="C35" s="60"/>
      <c r="D35" s="59"/>
      <c r="E35" s="59"/>
      <c r="F35" s="152"/>
      <c r="G35" s="151"/>
      <c r="H35" s="56" t="s">
        <v>132</v>
      </c>
      <c r="I35" s="53"/>
      <c r="J35" s="55"/>
      <c r="K35" s="55"/>
      <c r="L35" s="150">
        <v>100000</v>
      </c>
      <c r="M35" s="148" t="s">
        <v>66</v>
      </c>
      <c r="N35" s="148" t="s">
        <v>131</v>
      </c>
      <c r="O35" s="55">
        <v>4</v>
      </c>
      <c r="P35" s="55" t="s">
        <v>130</v>
      </c>
      <c r="Q35" s="148"/>
      <c r="R35" s="149"/>
      <c r="S35" s="148"/>
      <c r="T35" s="148" t="s">
        <v>129</v>
      </c>
      <c r="U35" s="52"/>
      <c r="V35" s="63"/>
      <c r="W35" s="52">
        <f>L35*O35</f>
        <v>400000</v>
      </c>
      <c r="X35" s="147" t="s">
        <v>66</v>
      </c>
    </row>
    <row r="36" spans="1:26" ht="21" customHeight="1">
      <c r="A36" s="130"/>
      <c r="B36" s="129"/>
      <c r="C36" s="129"/>
      <c r="D36" s="128"/>
      <c r="E36" s="128"/>
      <c r="F36" s="127"/>
      <c r="G36" s="135"/>
      <c r="H36" s="125"/>
      <c r="I36" s="124"/>
      <c r="J36" s="122"/>
      <c r="K36" s="122"/>
      <c r="L36" s="122"/>
      <c r="M36" s="134"/>
      <c r="N36" s="145"/>
      <c r="O36" s="146"/>
      <c r="P36" s="145"/>
      <c r="Q36" s="144"/>
      <c r="R36" s="143"/>
      <c r="S36" s="143"/>
      <c r="T36" s="134"/>
      <c r="U36" s="122"/>
      <c r="V36" s="121"/>
      <c r="W36" s="121"/>
      <c r="X36" s="120"/>
    </row>
    <row r="37" spans="1:26" ht="21" customHeight="1">
      <c r="A37" s="139" t="s">
        <v>123</v>
      </c>
      <c r="B37" s="82" t="s">
        <v>123</v>
      </c>
      <c r="C37" s="118" t="s">
        <v>95</v>
      </c>
      <c r="D37" s="117">
        <v>0</v>
      </c>
      <c r="E37" s="117">
        <f>SUM(E38,E41)</f>
        <v>0</v>
      </c>
      <c r="F37" s="116">
        <f>E37-D37</f>
        <v>0</v>
      </c>
      <c r="G37" s="115">
        <f>IF(D37=0,0,F37/D37)</f>
        <v>0</v>
      </c>
      <c r="H37" s="114" t="s">
        <v>128</v>
      </c>
      <c r="I37" s="112"/>
      <c r="J37" s="113"/>
      <c r="K37" s="113"/>
      <c r="L37" s="112"/>
      <c r="M37" s="112"/>
      <c r="N37" s="112"/>
      <c r="O37" s="112"/>
      <c r="P37" s="112" t="s">
        <v>93</v>
      </c>
      <c r="Q37" s="111"/>
      <c r="R37" s="111"/>
      <c r="S37" s="111"/>
      <c r="T37" s="111"/>
      <c r="U37" s="111"/>
      <c r="V37" s="111"/>
      <c r="W37" s="138">
        <f>W38+W41</f>
        <v>0</v>
      </c>
      <c r="X37" s="137" t="s">
        <v>71</v>
      </c>
    </row>
    <row r="38" spans="1:26" ht="21" customHeight="1">
      <c r="A38" s="108"/>
      <c r="B38" s="60"/>
      <c r="C38" s="82" t="s">
        <v>127</v>
      </c>
      <c r="D38" s="81">
        <v>0</v>
      </c>
      <c r="E38" s="81">
        <f>E39</f>
        <v>0</v>
      </c>
      <c r="F38" s="80">
        <f>E38-D38</f>
        <v>0</v>
      </c>
      <c r="G38" s="79">
        <f>IF(D38=0,0,F38/D38)</f>
        <v>0</v>
      </c>
      <c r="H38" s="78" t="s">
        <v>125</v>
      </c>
      <c r="I38" s="77"/>
      <c r="J38" s="76"/>
      <c r="K38" s="76"/>
      <c r="L38" s="76"/>
      <c r="M38" s="76"/>
      <c r="N38" s="76"/>
      <c r="O38" s="75"/>
      <c r="P38" s="75"/>
      <c r="Q38" s="75"/>
      <c r="R38" s="75"/>
      <c r="S38" s="75"/>
      <c r="T38" s="75"/>
      <c r="U38" s="74" t="s">
        <v>76</v>
      </c>
      <c r="V38" s="73"/>
      <c r="W38" s="106">
        <f>W39</f>
        <v>0</v>
      </c>
      <c r="X38" s="72" t="s">
        <v>66</v>
      </c>
    </row>
    <row r="39" spans="1:26" ht="21" customHeight="1">
      <c r="A39" s="108"/>
      <c r="B39" s="60"/>
      <c r="C39" s="60" t="s">
        <v>126</v>
      </c>
      <c r="D39" s="59">
        <v>0</v>
      </c>
      <c r="E39" s="59">
        <f>W39/1000</f>
        <v>0</v>
      </c>
      <c r="F39" s="71">
        <f>E39-D39</f>
        <v>0</v>
      </c>
      <c r="G39" s="70">
        <f>IF(D39=0,0,F39/D39)</f>
        <v>0</v>
      </c>
      <c r="H39" s="95" t="s">
        <v>125</v>
      </c>
      <c r="I39" s="94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506" t="s">
        <v>76</v>
      </c>
      <c r="V39" s="506"/>
      <c r="W39" s="66">
        <f>W40</f>
        <v>0</v>
      </c>
      <c r="X39" s="65" t="s">
        <v>66</v>
      </c>
    </row>
    <row r="40" spans="1:26" ht="21" customHeight="1">
      <c r="A40" s="108"/>
      <c r="B40" s="60"/>
      <c r="C40" s="60" t="s">
        <v>123</v>
      </c>
      <c r="D40" s="59"/>
      <c r="E40" s="59"/>
      <c r="F40" s="58"/>
      <c r="G40" s="57"/>
      <c r="H40" s="56"/>
      <c r="I40" s="53"/>
      <c r="J40" s="55"/>
      <c r="K40" s="55"/>
      <c r="L40" s="55"/>
      <c r="M40" s="54"/>
      <c r="N40" s="91"/>
      <c r="O40" s="92"/>
      <c r="P40" s="91"/>
      <c r="Q40" s="90"/>
      <c r="R40" s="89"/>
      <c r="S40" s="89"/>
      <c r="T40" s="54"/>
      <c r="U40" s="55"/>
      <c r="V40" s="64"/>
      <c r="W40" s="64"/>
      <c r="X40" s="51"/>
    </row>
    <row r="41" spans="1:26" ht="21" customHeight="1">
      <c r="A41" s="108"/>
      <c r="B41" s="60"/>
      <c r="C41" s="82" t="s">
        <v>80</v>
      </c>
      <c r="D41" s="81">
        <v>0</v>
      </c>
      <c r="E41" s="81">
        <f>E42</f>
        <v>0</v>
      </c>
      <c r="F41" s="80">
        <f>E41-D41</f>
        <v>0</v>
      </c>
      <c r="G41" s="79">
        <f>IF(D41=0,0,F41/D41)</f>
        <v>0</v>
      </c>
      <c r="H41" s="78" t="s">
        <v>124</v>
      </c>
      <c r="I41" s="77"/>
      <c r="J41" s="76"/>
      <c r="K41" s="76"/>
      <c r="L41" s="76"/>
      <c r="M41" s="76"/>
      <c r="N41" s="76"/>
      <c r="O41" s="75"/>
      <c r="P41" s="75"/>
      <c r="Q41" s="75"/>
      <c r="R41" s="75"/>
      <c r="S41" s="75"/>
      <c r="T41" s="75"/>
      <c r="U41" s="74" t="s">
        <v>76</v>
      </c>
      <c r="V41" s="73"/>
      <c r="W41" s="73">
        <f>W42</f>
        <v>0</v>
      </c>
      <c r="X41" s="72" t="s">
        <v>66</v>
      </c>
    </row>
    <row r="42" spans="1:26" ht="21" customHeight="1">
      <c r="A42" s="108"/>
      <c r="B42" s="60"/>
      <c r="C42" s="60" t="s">
        <v>123</v>
      </c>
      <c r="D42" s="59">
        <v>0</v>
      </c>
      <c r="E42" s="59">
        <f>W42/1000</f>
        <v>0</v>
      </c>
      <c r="F42" s="71">
        <f>E42-D42</f>
        <v>0</v>
      </c>
      <c r="G42" s="70">
        <f>IF(D42=0,0,F42/D42)</f>
        <v>0</v>
      </c>
      <c r="H42" s="56"/>
      <c r="I42" s="53"/>
      <c r="J42" s="55"/>
      <c r="K42" s="55"/>
      <c r="L42" s="55"/>
      <c r="M42" s="54"/>
      <c r="N42" s="91"/>
      <c r="O42" s="92"/>
      <c r="P42" s="91"/>
      <c r="Q42" s="90"/>
      <c r="R42" s="89"/>
      <c r="S42" s="89"/>
      <c r="T42" s="54"/>
      <c r="U42" s="55"/>
      <c r="V42" s="64"/>
      <c r="W42" s="64"/>
      <c r="X42" s="51"/>
    </row>
    <row r="43" spans="1:26" ht="21" customHeight="1">
      <c r="A43" s="130"/>
      <c r="B43" s="129"/>
      <c r="C43" s="129"/>
      <c r="D43" s="128"/>
      <c r="E43" s="128"/>
      <c r="F43" s="127"/>
      <c r="G43" s="135"/>
      <c r="H43" s="125"/>
      <c r="I43" s="124"/>
      <c r="J43" s="122"/>
      <c r="K43" s="122"/>
      <c r="L43" s="122"/>
      <c r="M43" s="134"/>
      <c r="N43" s="145"/>
      <c r="O43" s="146"/>
      <c r="P43" s="145"/>
      <c r="Q43" s="144"/>
      <c r="R43" s="143"/>
      <c r="S43" s="143"/>
      <c r="T43" s="134"/>
      <c r="U43" s="122"/>
      <c r="V43" s="121"/>
      <c r="W43" s="121"/>
      <c r="X43" s="120"/>
    </row>
    <row r="44" spans="1:26" ht="21" customHeight="1">
      <c r="A44" s="139" t="s">
        <v>49</v>
      </c>
      <c r="B44" s="82" t="s">
        <v>122</v>
      </c>
      <c r="C44" s="118" t="s">
        <v>95</v>
      </c>
      <c r="D44" s="117">
        <v>0</v>
      </c>
      <c r="E44" s="117">
        <f>SUM(E45,E48)</f>
        <v>0</v>
      </c>
      <c r="F44" s="116">
        <f>E44-D44</f>
        <v>0</v>
      </c>
      <c r="G44" s="115">
        <f>IF(D44=0,0,F44/D44)</f>
        <v>0</v>
      </c>
      <c r="H44" s="114" t="s">
        <v>121</v>
      </c>
      <c r="I44" s="112"/>
      <c r="J44" s="113"/>
      <c r="K44" s="113"/>
      <c r="L44" s="112"/>
      <c r="M44" s="112"/>
      <c r="N44" s="112"/>
      <c r="O44" s="112"/>
      <c r="P44" s="112" t="s">
        <v>93</v>
      </c>
      <c r="Q44" s="111"/>
      <c r="R44" s="111"/>
      <c r="S44" s="111"/>
      <c r="T44" s="111"/>
      <c r="U44" s="111"/>
      <c r="V44" s="111"/>
      <c r="W44" s="138">
        <f>W46+W48</f>
        <v>0</v>
      </c>
      <c r="X44" s="137" t="s">
        <v>71</v>
      </c>
    </row>
    <row r="45" spans="1:26" ht="21" customHeight="1">
      <c r="A45" s="108"/>
      <c r="B45" s="60"/>
      <c r="C45" s="82" t="s">
        <v>120</v>
      </c>
      <c r="D45" s="81">
        <v>0</v>
      </c>
      <c r="E45" s="81">
        <f>E46</f>
        <v>0</v>
      </c>
      <c r="F45" s="80">
        <f>E45-D45</f>
        <v>0</v>
      </c>
      <c r="G45" s="79">
        <f>IF(D45=0,0,F45/D45)</f>
        <v>0</v>
      </c>
      <c r="H45" s="78" t="s">
        <v>119</v>
      </c>
      <c r="I45" s="77"/>
      <c r="J45" s="76"/>
      <c r="K45" s="76"/>
      <c r="L45" s="76"/>
      <c r="M45" s="76"/>
      <c r="N45" s="76"/>
      <c r="O45" s="75"/>
      <c r="P45" s="75"/>
      <c r="Q45" s="75"/>
      <c r="R45" s="75"/>
      <c r="S45" s="75"/>
      <c r="T45" s="75"/>
      <c r="U45" s="74" t="s">
        <v>76</v>
      </c>
      <c r="V45" s="73"/>
      <c r="W45" s="106">
        <f>SUM(W46:W46)</f>
        <v>0</v>
      </c>
      <c r="X45" s="72" t="s">
        <v>66</v>
      </c>
      <c r="Y45" s="141"/>
      <c r="Z45" s="140"/>
    </row>
    <row r="46" spans="1:26" ht="21" customHeight="1">
      <c r="A46" s="108"/>
      <c r="B46" s="60"/>
      <c r="C46" s="60" t="s">
        <v>49</v>
      </c>
      <c r="D46" s="59">
        <v>0</v>
      </c>
      <c r="E46" s="59">
        <f>W46/1000</f>
        <v>0</v>
      </c>
      <c r="F46" s="71">
        <f>E46-D46</f>
        <v>0</v>
      </c>
      <c r="G46" s="70">
        <f>IF(D46=0,0,F46/D46)</f>
        <v>0</v>
      </c>
      <c r="H46" s="95" t="s">
        <v>119</v>
      </c>
      <c r="I46" s="94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506" t="s">
        <v>76</v>
      </c>
      <c r="V46" s="506"/>
      <c r="W46" s="66"/>
      <c r="X46" s="65" t="s">
        <v>66</v>
      </c>
      <c r="Y46" s="141"/>
      <c r="Z46" s="140"/>
    </row>
    <row r="47" spans="1:26" ht="21" customHeight="1">
      <c r="A47" s="108"/>
      <c r="B47" s="60"/>
      <c r="C47" s="60"/>
      <c r="D47" s="59"/>
      <c r="E47" s="59"/>
      <c r="F47" s="58"/>
      <c r="G47" s="57"/>
      <c r="H47" s="56" t="s">
        <v>118</v>
      </c>
      <c r="I47" s="53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4"/>
      <c r="V47" s="54"/>
      <c r="W47" s="64"/>
      <c r="X47" s="51" t="s">
        <v>66</v>
      </c>
      <c r="Y47" s="141"/>
      <c r="Z47" s="140"/>
    </row>
    <row r="48" spans="1:26" ht="21" customHeight="1">
      <c r="A48" s="108"/>
      <c r="B48" s="60"/>
      <c r="C48" s="82" t="s">
        <v>117</v>
      </c>
      <c r="D48" s="81">
        <v>0</v>
      </c>
      <c r="E48" s="81">
        <f>E49</f>
        <v>0</v>
      </c>
      <c r="F48" s="80">
        <f>E48-D48</f>
        <v>0</v>
      </c>
      <c r="G48" s="79">
        <f>IF(D48=0,0,F48/D48)</f>
        <v>0</v>
      </c>
      <c r="H48" s="78" t="s">
        <v>116</v>
      </c>
      <c r="I48" s="77"/>
      <c r="J48" s="76"/>
      <c r="K48" s="76"/>
      <c r="L48" s="76"/>
      <c r="M48" s="76"/>
      <c r="N48" s="76"/>
      <c r="O48" s="75"/>
      <c r="P48" s="75"/>
      <c r="Q48" s="75"/>
      <c r="R48" s="75"/>
      <c r="S48" s="75"/>
      <c r="T48" s="75"/>
      <c r="U48" s="74" t="s">
        <v>76</v>
      </c>
      <c r="V48" s="73"/>
      <c r="W48" s="73">
        <f>SUM(W49:W49)</f>
        <v>0</v>
      </c>
      <c r="X48" s="72" t="s">
        <v>66</v>
      </c>
      <c r="Y48" s="141"/>
      <c r="Z48" s="140"/>
    </row>
    <row r="49" spans="1:26" ht="21" customHeight="1">
      <c r="A49" s="108"/>
      <c r="B49" s="60"/>
      <c r="C49" s="60" t="s">
        <v>49</v>
      </c>
      <c r="D49" s="59">
        <v>0</v>
      </c>
      <c r="E49" s="59">
        <f>W49/1000</f>
        <v>0</v>
      </c>
      <c r="F49" s="71">
        <f>E49-D49</f>
        <v>0</v>
      </c>
      <c r="G49" s="70">
        <f>IF(D49=0,0,F49/D49)</f>
        <v>0</v>
      </c>
      <c r="H49" s="95" t="s">
        <v>115</v>
      </c>
      <c r="I49" s="142"/>
      <c r="J49" s="55"/>
      <c r="K49" s="55"/>
      <c r="L49" s="55"/>
      <c r="M49" s="54"/>
      <c r="N49" s="91"/>
      <c r="O49" s="92"/>
      <c r="P49" s="91"/>
      <c r="Q49" s="90"/>
      <c r="R49" s="89"/>
      <c r="S49" s="89"/>
      <c r="T49" s="54"/>
      <c r="U49" s="506" t="s">
        <v>76</v>
      </c>
      <c r="V49" s="506"/>
      <c r="W49" s="66"/>
      <c r="X49" s="65" t="s">
        <v>66</v>
      </c>
      <c r="Y49" s="141"/>
      <c r="Z49" s="140"/>
    </row>
    <row r="50" spans="1:26" ht="21" customHeight="1">
      <c r="A50" s="108"/>
      <c r="B50" s="60"/>
      <c r="C50" s="60" t="s">
        <v>100</v>
      </c>
      <c r="D50" s="59"/>
      <c r="E50" s="59"/>
      <c r="F50" s="58"/>
      <c r="G50" s="57"/>
      <c r="H50" s="125"/>
      <c r="I50" s="124"/>
      <c r="J50" s="55"/>
      <c r="K50" s="55"/>
      <c r="L50" s="55"/>
      <c r="M50" s="54"/>
      <c r="N50" s="91"/>
      <c r="O50" s="92"/>
      <c r="P50" s="91"/>
      <c r="Q50" s="90"/>
      <c r="R50" s="89"/>
      <c r="S50" s="89"/>
      <c r="T50" s="54"/>
      <c r="U50" s="134"/>
      <c r="V50" s="134"/>
      <c r="W50" s="121"/>
      <c r="X50" s="120"/>
      <c r="Y50" s="141"/>
      <c r="Z50" s="140"/>
    </row>
    <row r="51" spans="1:26" ht="21" customHeight="1">
      <c r="A51" s="139" t="s">
        <v>114</v>
      </c>
      <c r="B51" s="82" t="s">
        <v>114</v>
      </c>
      <c r="C51" s="118" t="s">
        <v>95</v>
      </c>
      <c r="D51" s="117">
        <v>3020</v>
      </c>
      <c r="E51" s="117">
        <f>SUM(E52,E65,E69)</f>
        <v>2044</v>
      </c>
      <c r="F51" s="116">
        <f>E51-D51</f>
        <v>-976</v>
      </c>
      <c r="G51" s="115">
        <f>IF(D51=0,0,F51/D51)</f>
        <v>-0.32317880794701986</v>
      </c>
      <c r="H51" s="114" t="s">
        <v>113</v>
      </c>
      <c r="I51" s="112"/>
      <c r="J51" s="113"/>
      <c r="K51" s="113"/>
      <c r="L51" s="112"/>
      <c r="M51" s="112"/>
      <c r="N51" s="112"/>
      <c r="O51" s="112"/>
      <c r="P51" s="112" t="s">
        <v>93</v>
      </c>
      <c r="Q51" s="111"/>
      <c r="R51" s="111"/>
      <c r="S51" s="111"/>
      <c r="T51" s="111"/>
      <c r="U51" s="111"/>
      <c r="V51" s="111"/>
      <c r="W51" s="138">
        <f>SUM(W52,W65)</f>
        <v>2044000</v>
      </c>
      <c r="X51" s="137" t="s">
        <v>71</v>
      </c>
    </row>
    <row r="52" spans="1:26" ht="21" customHeight="1">
      <c r="A52" s="108"/>
      <c r="B52" s="60"/>
      <c r="C52" s="82" t="s">
        <v>103</v>
      </c>
      <c r="D52" s="81">
        <v>1920</v>
      </c>
      <c r="E52" s="81">
        <f>SUM(E53,E56,E59,E62)</f>
        <v>1286</v>
      </c>
      <c r="F52" s="80">
        <f>E52-D52</f>
        <v>-634</v>
      </c>
      <c r="G52" s="79">
        <f>IF(D52=0,0,F52/D52)</f>
        <v>-0.33020833333333333</v>
      </c>
      <c r="H52" s="78" t="s">
        <v>112</v>
      </c>
      <c r="I52" s="77"/>
      <c r="J52" s="76"/>
      <c r="K52" s="76"/>
      <c r="L52" s="76"/>
      <c r="M52" s="76"/>
      <c r="N52" s="76"/>
      <c r="O52" s="75"/>
      <c r="P52" s="75"/>
      <c r="Q52" s="75"/>
      <c r="R52" s="75"/>
      <c r="S52" s="75"/>
      <c r="T52" s="75"/>
      <c r="U52" s="74" t="s">
        <v>76</v>
      </c>
      <c r="V52" s="73"/>
      <c r="W52" s="106">
        <f>SUM(W53,W56,W59,W62)</f>
        <v>1286000</v>
      </c>
      <c r="X52" s="72" t="s">
        <v>66</v>
      </c>
    </row>
    <row r="53" spans="1:26" ht="21" customHeight="1">
      <c r="A53" s="108"/>
      <c r="B53" s="60"/>
      <c r="C53" s="60" t="s">
        <v>50</v>
      </c>
      <c r="D53" s="59">
        <v>1800</v>
      </c>
      <c r="E53" s="59">
        <f>W53/1000</f>
        <v>1076</v>
      </c>
      <c r="F53" s="71">
        <f>E53-D53</f>
        <v>-724</v>
      </c>
      <c r="G53" s="70">
        <f>IF(D53=0,0,F53/D53)</f>
        <v>-0.4022222222222222</v>
      </c>
      <c r="H53" s="95" t="s">
        <v>111</v>
      </c>
      <c r="I53" s="94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506" t="s">
        <v>76</v>
      </c>
      <c r="V53" s="506"/>
      <c r="W53" s="66">
        <f>ROUNDUP(SUM(V54:W55),-3)</f>
        <v>1076000</v>
      </c>
      <c r="X53" s="65" t="s">
        <v>66</v>
      </c>
    </row>
    <row r="54" spans="1:26" ht="21" customHeight="1">
      <c r="A54" s="108"/>
      <c r="B54" s="60"/>
      <c r="C54" s="60"/>
      <c r="D54" s="59"/>
      <c r="E54" s="59"/>
      <c r="F54" s="58"/>
      <c r="G54" s="57"/>
      <c r="H54" s="131" t="s">
        <v>110</v>
      </c>
      <c r="I54" s="53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4"/>
      <c r="V54" s="54"/>
      <c r="W54" s="64">
        <v>1075769</v>
      </c>
      <c r="X54" s="51" t="s">
        <v>66</v>
      </c>
    </row>
    <row r="55" spans="1:26" ht="21" customHeight="1">
      <c r="A55" s="108"/>
      <c r="B55" s="60"/>
      <c r="C55" s="60"/>
      <c r="D55" s="128"/>
      <c r="E55" s="128"/>
      <c r="F55" s="127"/>
      <c r="G55" s="135"/>
      <c r="H55" s="136"/>
      <c r="I55" s="124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34"/>
      <c r="V55" s="134"/>
      <c r="W55" s="121"/>
      <c r="X55" s="120"/>
    </row>
    <row r="56" spans="1:26" ht="21" customHeight="1">
      <c r="A56" s="108"/>
      <c r="B56" s="60"/>
      <c r="C56" s="60"/>
      <c r="D56" s="59">
        <v>0</v>
      </c>
      <c r="E56" s="59">
        <f>W56/1000</f>
        <v>0</v>
      </c>
      <c r="F56" s="71">
        <f>E56-D56</f>
        <v>0</v>
      </c>
      <c r="G56" s="70">
        <f>IF(D56=0,0,F56/D56)</f>
        <v>0</v>
      </c>
      <c r="H56" s="95" t="s">
        <v>109</v>
      </c>
      <c r="I56" s="94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506" t="s">
        <v>76</v>
      </c>
      <c r="V56" s="506"/>
      <c r="W56" s="66">
        <f>ROUNDUP(SUM(V57:W57),-3)</f>
        <v>0</v>
      </c>
      <c r="X56" s="65" t="s">
        <v>66</v>
      </c>
    </row>
    <row r="57" spans="1:26" ht="21" customHeight="1">
      <c r="A57" s="108"/>
      <c r="B57" s="60"/>
      <c r="C57" s="60"/>
      <c r="D57" s="59"/>
      <c r="E57" s="59"/>
      <c r="F57" s="58"/>
      <c r="G57" s="57"/>
      <c r="H57" s="131" t="s">
        <v>108</v>
      </c>
      <c r="I57" s="53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4"/>
      <c r="V57" s="54"/>
      <c r="W57" s="64">
        <v>0</v>
      </c>
      <c r="X57" s="51" t="s">
        <v>66</v>
      </c>
    </row>
    <row r="58" spans="1:26" ht="21" customHeight="1">
      <c r="A58" s="108"/>
      <c r="B58" s="60"/>
      <c r="C58" s="60"/>
      <c r="D58" s="128"/>
      <c r="E58" s="128"/>
      <c r="F58" s="127"/>
      <c r="G58" s="135"/>
      <c r="H58" s="125"/>
      <c r="I58" s="124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34"/>
      <c r="V58" s="134"/>
      <c r="W58" s="121"/>
      <c r="X58" s="120"/>
    </row>
    <row r="59" spans="1:26" ht="21" customHeight="1">
      <c r="A59" s="108"/>
      <c r="B59" s="60"/>
      <c r="C59" s="60"/>
      <c r="D59" s="59">
        <v>0</v>
      </c>
      <c r="E59" s="59">
        <f>W59/1000</f>
        <v>0</v>
      </c>
      <c r="F59" s="71">
        <f>E59-D59</f>
        <v>0</v>
      </c>
      <c r="G59" s="70">
        <f>IF(D59=0,0,F59/D59)</f>
        <v>0</v>
      </c>
      <c r="H59" s="95" t="s">
        <v>107</v>
      </c>
      <c r="I59" s="94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506" t="s">
        <v>76</v>
      </c>
      <c r="V59" s="506"/>
      <c r="W59" s="66">
        <f>ROUND(SUM(V60:W60),-2)</f>
        <v>0</v>
      </c>
      <c r="X59" s="65" t="s">
        <v>66</v>
      </c>
    </row>
    <row r="60" spans="1:26" ht="21" customHeight="1">
      <c r="A60" s="108"/>
      <c r="B60" s="60"/>
      <c r="C60" s="60"/>
      <c r="D60" s="59"/>
      <c r="E60" s="59"/>
      <c r="F60" s="58"/>
      <c r="G60" s="57"/>
      <c r="H60" s="131" t="s">
        <v>106</v>
      </c>
      <c r="I60" s="53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4"/>
      <c r="V60" s="54"/>
      <c r="W60" s="64">
        <v>0</v>
      </c>
      <c r="X60" s="51" t="s">
        <v>66</v>
      </c>
    </row>
    <row r="61" spans="1:26" ht="21" customHeight="1">
      <c r="A61" s="108"/>
      <c r="B61" s="60"/>
      <c r="C61" s="60"/>
      <c r="D61" s="128"/>
      <c r="E61" s="128"/>
      <c r="F61" s="127"/>
      <c r="G61" s="135"/>
      <c r="H61" s="125"/>
      <c r="I61" s="124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34"/>
      <c r="V61" s="134"/>
      <c r="W61" s="121"/>
      <c r="X61" s="120"/>
    </row>
    <row r="62" spans="1:26" ht="21" customHeight="1">
      <c r="A62" s="108"/>
      <c r="B62" s="60"/>
      <c r="C62" s="60"/>
      <c r="D62" s="133">
        <v>120</v>
      </c>
      <c r="E62" s="133">
        <f>W62/1000</f>
        <v>210</v>
      </c>
      <c r="F62" s="71">
        <f>E62-D62</f>
        <v>90</v>
      </c>
      <c r="G62" s="70">
        <f>IF(D62=0,0,F62/D62)</f>
        <v>0.75</v>
      </c>
      <c r="H62" s="95" t="s">
        <v>105</v>
      </c>
      <c r="I62" s="94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506" t="s">
        <v>76</v>
      </c>
      <c r="V62" s="506"/>
      <c r="W62" s="66">
        <f>ROUNDUP(SUM(V63:W63),-3)</f>
        <v>210000</v>
      </c>
      <c r="X62" s="65" t="s">
        <v>66</v>
      </c>
    </row>
    <row r="63" spans="1:26" ht="21" customHeight="1">
      <c r="A63" s="108"/>
      <c r="B63" s="60"/>
      <c r="C63" s="60"/>
      <c r="D63" s="59"/>
      <c r="E63" s="59"/>
      <c r="F63" s="58"/>
      <c r="G63" s="57"/>
      <c r="H63" s="131" t="s">
        <v>104</v>
      </c>
      <c r="I63" s="53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4"/>
      <c r="V63" s="54"/>
      <c r="W63" s="64">
        <v>209078</v>
      </c>
      <c r="X63" s="51" t="s">
        <v>66</v>
      </c>
    </row>
    <row r="64" spans="1:26" ht="21" customHeight="1">
      <c r="A64" s="108"/>
      <c r="B64" s="60"/>
      <c r="C64" s="60"/>
      <c r="D64" s="59"/>
      <c r="E64" s="59"/>
      <c r="F64" s="58"/>
      <c r="G64" s="57"/>
      <c r="H64" s="56"/>
      <c r="I64" s="53"/>
      <c r="J64" s="55"/>
      <c r="K64" s="55"/>
      <c r="L64" s="55"/>
      <c r="M64" s="54"/>
      <c r="N64" s="91"/>
      <c r="O64" s="92"/>
      <c r="P64" s="91"/>
      <c r="Q64" s="90"/>
      <c r="R64" s="89"/>
      <c r="S64" s="89"/>
      <c r="T64" s="54"/>
      <c r="U64" s="55"/>
      <c r="V64" s="64"/>
      <c r="W64" s="64"/>
      <c r="X64" s="51"/>
    </row>
    <row r="65" spans="1:46" ht="21" customHeight="1">
      <c r="A65" s="108"/>
      <c r="B65" s="60"/>
      <c r="C65" s="82" t="s">
        <v>103</v>
      </c>
      <c r="D65" s="81">
        <v>1100</v>
      </c>
      <c r="E65" s="81">
        <f>E66</f>
        <v>758</v>
      </c>
      <c r="F65" s="80">
        <f>E65-D65</f>
        <v>-342</v>
      </c>
      <c r="G65" s="79">
        <f>IF(D65=0,0,F65/D65)</f>
        <v>-0.31090909090909091</v>
      </c>
      <c r="H65" s="78" t="s">
        <v>102</v>
      </c>
      <c r="I65" s="77"/>
      <c r="J65" s="76"/>
      <c r="K65" s="76"/>
      <c r="L65" s="76"/>
      <c r="M65" s="76"/>
      <c r="N65" s="76"/>
      <c r="O65" s="75"/>
      <c r="P65" s="75"/>
      <c r="Q65" s="75"/>
      <c r="R65" s="75"/>
      <c r="S65" s="75"/>
      <c r="T65" s="75"/>
      <c r="U65" s="74" t="s">
        <v>76</v>
      </c>
      <c r="V65" s="73"/>
      <c r="W65" s="73">
        <f>W66</f>
        <v>758000</v>
      </c>
      <c r="X65" s="72" t="s">
        <v>66</v>
      </c>
    </row>
    <row r="66" spans="1:46" ht="21" customHeight="1">
      <c r="A66" s="108"/>
      <c r="B66" s="60"/>
      <c r="C66" s="60" t="s">
        <v>50</v>
      </c>
      <c r="D66" s="59">
        <v>1100</v>
      </c>
      <c r="E66" s="59">
        <f>W66/1000</f>
        <v>758</v>
      </c>
      <c r="F66" s="71">
        <f>E66-D66</f>
        <v>-342</v>
      </c>
      <c r="G66" s="70">
        <f>IF(D66=0,0,F66/D66)</f>
        <v>-0.31090909090909091</v>
      </c>
      <c r="H66" s="132" t="s">
        <v>101</v>
      </c>
      <c r="I66" s="94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506"/>
      <c r="V66" s="506"/>
      <c r="W66" s="66">
        <f>ROUNDUP(SUM(V67:W67),-3)</f>
        <v>758000</v>
      </c>
      <c r="X66" s="65" t="s">
        <v>66</v>
      </c>
    </row>
    <row r="67" spans="1:46" ht="21" customHeight="1">
      <c r="A67" s="108"/>
      <c r="B67" s="60"/>
      <c r="C67" s="60" t="s">
        <v>100</v>
      </c>
      <c r="D67" s="59"/>
      <c r="E67" s="59"/>
      <c r="F67" s="58"/>
      <c r="G67" s="84"/>
      <c r="H67" s="131" t="s">
        <v>99</v>
      </c>
      <c r="I67" s="53"/>
      <c r="J67" s="55"/>
      <c r="K67" s="55"/>
      <c r="L67" s="55"/>
      <c r="M67" s="55"/>
      <c r="N67" s="55"/>
      <c r="O67" s="55"/>
      <c r="P67" s="83"/>
      <c r="Q67" s="83"/>
      <c r="R67" s="83"/>
      <c r="S67" s="55"/>
      <c r="T67" s="55"/>
      <c r="U67" s="55"/>
      <c r="V67" s="64"/>
      <c r="W67" s="64">
        <v>757387</v>
      </c>
      <c r="X67" s="51" t="s">
        <v>66</v>
      </c>
    </row>
    <row r="68" spans="1:46" ht="21" customHeight="1">
      <c r="A68" s="108"/>
      <c r="B68" s="60"/>
      <c r="C68" s="60"/>
      <c r="D68" s="59"/>
      <c r="E68" s="59"/>
      <c r="F68" s="58"/>
      <c r="G68" s="84"/>
      <c r="H68" s="56"/>
      <c r="I68" s="53"/>
      <c r="J68" s="55"/>
      <c r="K68" s="55"/>
      <c r="L68" s="55"/>
      <c r="M68" s="55"/>
      <c r="N68" s="55"/>
      <c r="O68" s="55"/>
      <c r="P68" s="83"/>
      <c r="Q68" s="83"/>
      <c r="R68" s="83"/>
      <c r="S68" s="55"/>
      <c r="T68" s="55"/>
      <c r="U68" s="55"/>
      <c r="V68" s="64"/>
      <c r="W68" s="64"/>
      <c r="X68" s="51"/>
    </row>
    <row r="69" spans="1:46" ht="21" customHeight="1">
      <c r="A69" s="108"/>
      <c r="B69" s="60"/>
      <c r="C69" s="82" t="s">
        <v>98</v>
      </c>
      <c r="D69" s="81">
        <v>0</v>
      </c>
      <c r="E69" s="81">
        <f>E70</f>
        <v>0</v>
      </c>
      <c r="F69" s="80">
        <f>E69-D69</f>
        <v>0</v>
      </c>
      <c r="G69" s="79">
        <f>IF(D69=0,0,F69/D69)</f>
        <v>0</v>
      </c>
      <c r="H69" s="78" t="s">
        <v>97</v>
      </c>
      <c r="I69" s="77"/>
      <c r="J69" s="76"/>
      <c r="K69" s="76"/>
      <c r="L69" s="76"/>
      <c r="M69" s="76"/>
      <c r="N69" s="76"/>
      <c r="O69" s="75"/>
      <c r="P69" s="75"/>
      <c r="Q69" s="75"/>
      <c r="R69" s="75"/>
      <c r="S69" s="75"/>
      <c r="T69" s="75"/>
      <c r="U69" s="74" t="s">
        <v>76</v>
      </c>
      <c r="V69" s="73"/>
      <c r="W69" s="73">
        <f>ROUND(SUM(V70:W71),-3)</f>
        <v>0</v>
      </c>
      <c r="X69" s="72" t="s">
        <v>66</v>
      </c>
    </row>
    <row r="70" spans="1:46" ht="21" customHeight="1">
      <c r="A70" s="108"/>
      <c r="B70" s="60"/>
      <c r="C70" s="60" t="s">
        <v>56</v>
      </c>
      <c r="D70" s="59">
        <v>0</v>
      </c>
      <c r="E70" s="59">
        <f>W70/1000</f>
        <v>0</v>
      </c>
      <c r="F70" s="71">
        <f>E70-D70</f>
        <v>0</v>
      </c>
      <c r="G70" s="70">
        <f>IF(D70=0,0,F70/D70)</f>
        <v>0</v>
      </c>
      <c r="H70" s="56"/>
      <c r="I70" s="53"/>
      <c r="J70" s="55"/>
      <c r="K70" s="55"/>
      <c r="L70" s="55"/>
      <c r="M70" s="54"/>
      <c r="N70" s="91"/>
      <c r="O70" s="92"/>
      <c r="P70" s="91"/>
      <c r="Q70" s="90"/>
      <c r="R70" s="89"/>
      <c r="S70" s="89"/>
      <c r="T70" s="54"/>
      <c r="U70" s="55"/>
      <c r="V70" s="64"/>
      <c r="W70" s="64">
        <f>L70*O70</f>
        <v>0</v>
      </c>
      <c r="X70" s="51" t="s">
        <v>66</v>
      </c>
    </row>
    <row r="71" spans="1:46" ht="21" customHeight="1">
      <c r="A71" s="130"/>
      <c r="B71" s="129"/>
      <c r="C71" s="129"/>
      <c r="D71" s="128"/>
      <c r="E71" s="128"/>
      <c r="F71" s="127"/>
      <c r="G71" s="126"/>
      <c r="H71" s="125"/>
      <c r="I71" s="124"/>
      <c r="J71" s="122"/>
      <c r="K71" s="122"/>
      <c r="L71" s="122"/>
      <c r="M71" s="122"/>
      <c r="N71" s="122"/>
      <c r="O71" s="122"/>
      <c r="P71" s="123"/>
      <c r="Q71" s="123"/>
      <c r="R71" s="123"/>
      <c r="S71" s="122"/>
      <c r="T71" s="122"/>
      <c r="U71" s="122"/>
      <c r="V71" s="121"/>
      <c r="W71" s="121">
        <v>0</v>
      </c>
      <c r="X71" s="120" t="s">
        <v>66</v>
      </c>
    </row>
    <row r="72" spans="1:46" ht="21" customHeight="1">
      <c r="A72" s="108" t="s">
        <v>51</v>
      </c>
      <c r="B72" s="119" t="s">
        <v>96</v>
      </c>
      <c r="C72" s="118" t="s">
        <v>95</v>
      </c>
      <c r="D72" s="117">
        <v>762</v>
      </c>
      <c r="E72" s="117">
        <f>SUM(E73,E76,E83)</f>
        <v>755</v>
      </c>
      <c r="F72" s="116">
        <f>E72-D72</f>
        <v>-7</v>
      </c>
      <c r="G72" s="115">
        <f>IF(D72=0,0,F72/D72)</f>
        <v>-9.1863517060367453E-3</v>
      </c>
      <c r="H72" s="114" t="s">
        <v>94</v>
      </c>
      <c r="I72" s="112"/>
      <c r="J72" s="113"/>
      <c r="K72" s="113"/>
      <c r="L72" s="112"/>
      <c r="M72" s="112"/>
      <c r="N72" s="112"/>
      <c r="O72" s="112"/>
      <c r="P72" s="112" t="s">
        <v>93</v>
      </c>
      <c r="Q72" s="111"/>
      <c r="R72" s="111"/>
      <c r="S72" s="111"/>
      <c r="T72" s="111"/>
      <c r="U72" s="111"/>
      <c r="V72" s="111"/>
      <c r="W72" s="110">
        <f>SUM(W73,W76,W83)</f>
        <v>755000</v>
      </c>
      <c r="X72" s="109" t="s">
        <v>66</v>
      </c>
    </row>
    <row r="73" spans="1:46" s="97" customFormat="1" ht="21" customHeight="1">
      <c r="A73" s="108"/>
      <c r="B73" s="107"/>
      <c r="C73" s="82" t="s">
        <v>92</v>
      </c>
      <c r="D73" s="81">
        <v>0</v>
      </c>
      <c r="E73" s="81">
        <f>E74</f>
        <v>0</v>
      </c>
      <c r="F73" s="80">
        <f>E73-D73</f>
        <v>0</v>
      </c>
      <c r="G73" s="79">
        <f>IF(D73=0,0,F73/D73)</f>
        <v>0</v>
      </c>
      <c r="H73" s="78" t="s">
        <v>90</v>
      </c>
      <c r="I73" s="77"/>
      <c r="J73" s="76"/>
      <c r="K73" s="76"/>
      <c r="L73" s="76"/>
      <c r="M73" s="76"/>
      <c r="N73" s="76"/>
      <c r="O73" s="75"/>
      <c r="P73" s="75"/>
      <c r="Q73" s="75"/>
      <c r="R73" s="75"/>
      <c r="S73" s="75"/>
      <c r="T73" s="75"/>
      <c r="U73" s="74" t="s">
        <v>76</v>
      </c>
      <c r="V73" s="73"/>
      <c r="W73" s="106">
        <f>SUM(W74:W74)</f>
        <v>0</v>
      </c>
      <c r="X73" s="72" t="s">
        <v>66</v>
      </c>
      <c r="Y73" s="105"/>
      <c r="Z73" s="104"/>
      <c r="AA73" s="104"/>
      <c r="AB73" s="103"/>
      <c r="AC73" s="102"/>
      <c r="AD73" s="100"/>
      <c r="AE73" s="98"/>
      <c r="AF73" s="101"/>
      <c r="AG73" s="101"/>
      <c r="AH73" s="98"/>
      <c r="AI73" s="98"/>
      <c r="AJ73" s="98"/>
      <c r="AK73" s="98"/>
      <c r="AL73" s="98"/>
      <c r="AM73" s="100"/>
      <c r="AN73" s="100"/>
      <c r="AO73" s="100"/>
      <c r="AP73" s="100"/>
      <c r="AQ73" s="100"/>
      <c r="AR73" s="100"/>
      <c r="AS73" s="99"/>
      <c r="AT73" s="98"/>
    </row>
    <row r="74" spans="1:46" ht="21" customHeight="1">
      <c r="A74" s="62"/>
      <c r="B74" s="96"/>
      <c r="C74" s="60" t="s">
        <v>91</v>
      </c>
      <c r="D74" s="59">
        <v>0</v>
      </c>
      <c r="E74" s="59">
        <f>W74/1000</f>
        <v>0</v>
      </c>
      <c r="F74" s="71">
        <f>E74-D74</f>
        <v>0</v>
      </c>
      <c r="G74" s="70">
        <f>IF(D74=0,0,F74/D74)</f>
        <v>0</v>
      </c>
      <c r="H74" s="95" t="s">
        <v>90</v>
      </c>
      <c r="I74" s="94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506" t="s">
        <v>76</v>
      </c>
      <c r="V74" s="506"/>
      <c r="W74" s="66">
        <f>SUM(W75:W75)</f>
        <v>0</v>
      </c>
      <c r="X74" s="65" t="s">
        <v>66</v>
      </c>
    </row>
    <row r="75" spans="1:46" s="40" customFormat="1" ht="19.5" customHeight="1">
      <c r="A75" s="62"/>
      <c r="B75" s="61"/>
      <c r="C75" s="60"/>
      <c r="D75" s="59"/>
      <c r="E75" s="59"/>
      <c r="F75" s="58"/>
      <c r="G75" s="57"/>
      <c r="H75" s="56"/>
      <c r="I75" s="53"/>
      <c r="J75" s="55"/>
      <c r="K75" s="55"/>
      <c r="L75" s="55"/>
      <c r="M75" s="54"/>
      <c r="N75" s="91"/>
      <c r="O75" s="92"/>
      <c r="P75" s="91"/>
      <c r="Q75" s="90"/>
      <c r="R75" s="89"/>
      <c r="S75" s="89"/>
      <c r="T75" s="54"/>
      <c r="U75" s="55"/>
      <c r="V75" s="64"/>
      <c r="W75" s="64"/>
      <c r="X75" s="51"/>
      <c r="Y75" s="34"/>
    </row>
    <row r="76" spans="1:46" s="40" customFormat="1" ht="19.5" customHeight="1">
      <c r="A76" s="62"/>
      <c r="B76" s="61"/>
      <c r="C76" s="82" t="s">
        <v>89</v>
      </c>
      <c r="D76" s="81">
        <v>17</v>
      </c>
      <c r="E76" s="81">
        <f>E77</f>
        <v>16</v>
      </c>
      <c r="F76" s="80">
        <f>E76-D76</f>
        <v>-1</v>
      </c>
      <c r="G76" s="79">
        <f>IF(D76=0,0,F76/D76)</f>
        <v>-5.8823529411764705E-2</v>
      </c>
      <c r="H76" s="78" t="s">
        <v>88</v>
      </c>
      <c r="I76" s="77"/>
      <c r="J76" s="76"/>
      <c r="K76" s="76"/>
      <c r="L76" s="76"/>
      <c r="M76" s="76"/>
      <c r="N76" s="76"/>
      <c r="O76" s="75"/>
      <c r="P76" s="75"/>
      <c r="Q76" s="75"/>
      <c r="R76" s="75"/>
      <c r="S76" s="75"/>
      <c r="T76" s="75"/>
      <c r="U76" s="74" t="s">
        <v>76</v>
      </c>
      <c r="V76" s="73"/>
      <c r="W76" s="73">
        <f>SUM(W77:W77)</f>
        <v>16000</v>
      </c>
      <c r="X76" s="72" t="s">
        <v>66</v>
      </c>
      <c r="Y76" s="34"/>
    </row>
    <row r="77" spans="1:46" s="40" customFormat="1" ht="19.5" customHeight="1">
      <c r="A77" s="62"/>
      <c r="B77" s="61"/>
      <c r="C77" s="60" t="s">
        <v>87</v>
      </c>
      <c r="D77" s="59">
        <v>17</v>
      </c>
      <c r="E77" s="59">
        <f>W77/1000</f>
        <v>16</v>
      </c>
      <c r="F77" s="71">
        <f>E77-D77</f>
        <v>-1</v>
      </c>
      <c r="G77" s="70">
        <f>IF(D77=0,0,F77/D77)</f>
        <v>-5.8823529411764705E-2</v>
      </c>
      <c r="H77" s="88" t="s">
        <v>86</v>
      </c>
      <c r="I77" s="87"/>
      <c r="J77" s="86"/>
      <c r="K77" s="86"/>
      <c r="L77" s="86"/>
      <c r="M77" s="86"/>
      <c r="N77" s="86"/>
      <c r="O77" s="86"/>
      <c r="P77" s="86" t="s">
        <v>77</v>
      </c>
      <c r="Q77" s="86"/>
      <c r="R77" s="86"/>
      <c r="S77" s="86"/>
      <c r="T77" s="86"/>
      <c r="U77" s="506" t="s">
        <v>76</v>
      </c>
      <c r="V77" s="506"/>
      <c r="W77" s="66">
        <f>SUM(W78:W81)</f>
        <v>16000</v>
      </c>
      <c r="X77" s="65" t="s">
        <v>66</v>
      </c>
      <c r="Y77" s="34"/>
    </row>
    <row r="78" spans="1:46" s="40" customFormat="1" ht="19.5" customHeight="1">
      <c r="A78" s="62"/>
      <c r="B78" s="61"/>
      <c r="C78" s="60" t="s">
        <v>85</v>
      </c>
      <c r="D78" s="59"/>
      <c r="E78" s="59"/>
      <c r="F78" s="58"/>
      <c r="G78" s="84"/>
      <c r="H78" s="85" t="s">
        <v>84</v>
      </c>
      <c r="I78" s="53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64"/>
      <c r="W78" s="63">
        <v>10000</v>
      </c>
      <c r="X78" s="51" t="s">
        <v>71</v>
      </c>
      <c r="Y78" s="34"/>
    </row>
    <row r="79" spans="1:46" s="40" customFormat="1" ht="19.5" customHeight="1">
      <c r="A79" s="62"/>
      <c r="B79" s="61"/>
      <c r="C79" s="60"/>
      <c r="D79" s="59"/>
      <c r="E79" s="59"/>
      <c r="F79" s="58"/>
      <c r="G79" s="84"/>
      <c r="H79" s="56" t="s">
        <v>83</v>
      </c>
      <c r="I79" s="53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64"/>
      <c r="W79" s="63">
        <v>4000</v>
      </c>
      <c r="X79" s="51" t="s">
        <v>66</v>
      </c>
      <c r="Y79" s="34"/>
    </row>
    <row r="80" spans="1:46" s="40" customFormat="1" ht="19.5" customHeight="1">
      <c r="A80" s="62"/>
      <c r="B80" s="61"/>
      <c r="C80" s="60"/>
      <c r="D80" s="59"/>
      <c r="E80" s="59"/>
      <c r="F80" s="58"/>
      <c r="G80" s="84"/>
      <c r="H80" s="56" t="s">
        <v>82</v>
      </c>
      <c r="I80" s="53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64"/>
      <c r="W80" s="63">
        <v>1000</v>
      </c>
      <c r="X80" s="51" t="s">
        <v>71</v>
      </c>
      <c r="Y80" s="34"/>
    </row>
    <row r="81" spans="1:25" s="40" customFormat="1" ht="19.5" customHeight="1">
      <c r="A81" s="62"/>
      <c r="B81" s="61"/>
      <c r="C81" s="60"/>
      <c r="D81" s="59"/>
      <c r="E81" s="59"/>
      <c r="F81" s="58"/>
      <c r="G81" s="84"/>
      <c r="H81" s="56" t="s">
        <v>81</v>
      </c>
      <c r="I81" s="55"/>
      <c r="J81" s="55"/>
      <c r="K81" s="55"/>
      <c r="L81" s="55"/>
      <c r="M81" s="55"/>
      <c r="N81" s="55"/>
      <c r="O81" s="55"/>
      <c r="P81" s="505"/>
      <c r="Q81" s="505"/>
      <c r="R81" s="55"/>
      <c r="S81" s="55"/>
      <c r="T81" s="55"/>
      <c r="U81" s="55"/>
      <c r="V81" s="55"/>
      <c r="W81" s="52">
        <v>1000</v>
      </c>
      <c r="X81" s="51" t="s">
        <v>71</v>
      </c>
      <c r="Y81" s="34"/>
    </row>
    <row r="82" spans="1:25" s="40" customFormat="1" ht="19.5" customHeight="1">
      <c r="A82" s="62"/>
      <c r="B82" s="61"/>
      <c r="C82" s="60"/>
      <c r="D82" s="59"/>
      <c r="E82" s="59"/>
      <c r="F82" s="58"/>
      <c r="G82" s="84"/>
      <c r="H82" s="56"/>
      <c r="I82" s="53"/>
      <c r="J82" s="55"/>
      <c r="K82" s="55"/>
      <c r="L82" s="55"/>
      <c r="M82" s="55"/>
      <c r="N82" s="55"/>
      <c r="O82" s="55"/>
      <c r="P82" s="83"/>
      <c r="Q82" s="83"/>
      <c r="R82" s="83"/>
      <c r="S82" s="55"/>
      <c r="T82" s="55"/>
      <c r="U82" s="55"/>
      <c r="V82" s="64"/>
      <c r="W82" s="64"/>
      <c r="X82" s="51"/>
      <c r="Y82" s="34"/>
    </row>
    <row r="83" spans="1:25" s="40" customFormat="1" ht="19.5" customHeight="1">
      <c r="A83" s="62"/>
      <c r="B83" s="61"/>
      <c r="C83" s="82" t="s">
        <v>80</v>
      </c>
      <c r="D83" s="81">
        <v>745</v>
      </c>
      <c r="E83" s="81">
        <f>E84</f>
        <v>739</v>
      </c>
      <c r="F83" s="80">
        <f>E83-D83</f>
        <v>-6</v>
      </c>
      <c r="G83" s="79">
        <f>IF(D83=0,0,F83/D83)</f>
        <v>-8.0536912751677861E-3</v>
      </c>
      <c r="H83" s="78" t="s">
        <v>79</v>
      </c>
      <c r="I83" s="77"/>
      <c r="J83" s="76"/>
      <c r="K83" s="76"/>
      <c r="L83" s="76"/>
      <c r="M83" s="76"/>
      <c r="N83" s="76"/>
      <c r="O83" s="75"/>
      <c r="P83" s="75"/>
      <c r="Q83" s="75"/>
      <c r="R83" s="75"/>
      <c r="S83" s="75"/>
      <c r="T83" s="75"/>
      <c r="U83" s="74" t="s">
        <v>76</v>
      </c>
      <c r="V83" s="73"/>
      <c r="W83" s="73">
        <f>SUM(W84:W84)</f>
        <v>739000</v>
      </c>
      <c r="X83" s="72" t="s">
        <v>66</v>
      </c>
      <c r="Y83" s="34"/>
    </row>
    <row r="84" spans="1:25" s="40" customFormat="1" ht="19.5" customHeight="1">
      <c r="A84" s="62"/>
      <c r="B84" s="61"/>
      <c r="C84" s="60" t="s">
        <v>51</v>
      </c>
      <c r="D84" s="59">
        <v>745</v>
      </c>
      <c r="E84" s="59">
        <f>W84/1000</f>
        <v>739</v>
      </c>
      <c r="F84" s="71">
        <f>E84-D84</f>
        <v>-6</v>
      </c>
      <c r="G84" s="70">
        <f>IF(D84=0,0,F84/D84)</f>
        <v>-8.0536912751677861E-3</v>
      </c>
      <c r="H84" s="69" t="s">
        <v>78</v>
      </c>
      <c r="I84" s="68"/>
      <c r="J84" s="67"/>
      <c r="K84" s="67"/>
      <c r="L84" s="67"/>
      <c r="M84" s="67"/>
      <c r="N84" s="67"/>
      <c r="O84" s="67"/>
      <c r="P84" s="67" t="s">
        <v>77</v>
      </c>
      <c r="Q84" s="67"/>
      <c r="R84" s="67"/>
      <c r="S84" s="67"/>
      <c r="T84" s="67"/>
      <c r="U84" s="506" t="s">
        <v>76</v>
      </c>
      <c r="V84" s="506"/>
      <c r="W84" s="66">
        <f>SUM(W85:W89)</f>
        <v>739000</v>
      </c>
      <c r="X84" s="65" t="s">
        <v>66</v>
      </c>
      <c r="Y84" s="34"/>
    </row>
    <row r="85" spans="1:25" s="40" customFormat="1" ht="19.5" customHeight="1">
      <c r="A85" s="62"/>
      <c r="B85" s="61"/>
      <c r="C85" s="60"/>
      <c r="D85" s="59"/>
      <c r="E85" s="59"/>
      <c r="F85" s="58"/>
      <c r="G85" s="57"/>
      <c r="H85" s="56" t="s">
        <v>75</v>
      </c>
      <c r="I85" s="53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64"/>
      <c r="W85" s="63">
        <v>15000</v>
      </c>
      <c r="X85" s="51" t="s">
        <v>66</v>
      </c>
      <c r="Y85" s="34"/>
    </row>
    <row r="86" spans="1:25" s="40" customFormat="1" ht="19.5" customHeight="1">
      <c r="A86" s="62"/>
      <c r="B86" s="61"/>
      <c r="C86" s="60"/>
      <c r="D86" s="59"/>
      <c r="E86" s="59"/>
      <c r="F86" s="58"/>
      <c r="G86" s="57"/>
      <c r="H86" s="56" t="s">
        <v>74</v>
      </c>
      <c r="I86" s="53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64"/>
      <c r="W86" s="63">
        <v>2000</v>
      </c>
      <c r="X86" s="51" t="s">
        <v>71</v>
      </c>
      <c r="Y86" s="34"/>
    </row>
    <row r="87" spans="1:25" s="40" customFormat="1" ht="19.5" customHeight="1">
      <c r="A87" s="62"/>
      <c r="B87" s="61"/>
      <c r="C87" s="60"/>
      <c r="D87" s="59"/>
      <c r="E87" s="59"/>
      <c r="F87" s="58"/>
      <c r="G87" s="57"/>
      <c r="H87" s="56" t="s">
        <v>73</v>
      </c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2">
        <v>2000</v>
      </c>
      <c r="X87" s="51" t="s">
        <v>71</v>
      </c>
      <c r="Y87" s="34"/>
    </row>
    <row r="88" spans="1:25" s="40" customFormat="1" ht="19.5" customHeight="1">
      <c r="A88" s="62"/>
      <c r="B88" s="61"/>
      <c r="C88" s="60"/>
      <c r="D88" s="59"/>
      <c r="E88" s="59"/>
      <c r="F88" s="58"/>
      <c r="G88" s="57"/>
      <c r="H88" s="56" t="s">
        <v>72</v>
      </c>
      <c r="I88" s="55"/>
      <c r="J88" s="55"/>
      <c r="K88" s="55"/>
      <c r="L88" s="55">
        <v>60000</v>
      </c>
      <c r="M88" s="55" t="s">
        <v>71</v>
      </c>
      <c r="N88" s="53" t="s">
        <v>69</v>
      </c>
      <c r="O88" s="55">
        <v>1</v>
      </c>
      <c r="P88" s="53" t="s">
        <v>70</v>
      </c>
      <c r="Q88" s="53" t="s">
        <v>69</v>
      </c>
      <c r="R88" s="55">
        <v>12</v>
      </c>
      <c r="S88" s="55" t="s">
        <v>68</v>
      </c>
      <c r="T88" s="54" t="s">
        <v>67</v>
      </c>
      <c r="U88" s="54"/>
      <c r="V88" s="53"/>
      <c r="W88" s="52">
        <f>L88*O88*R88</f>
        <v>720000</v>
      </c>
      <c r="X88" s="51" t="s">
        <v>66</v>
      </c>
      <c r="Y88" s="34"/>
    </row>
    <row r="89" spans="1:25" s="40" customFormat="1" ht="19.5" customHeight="1" thickBot="1">
      <c r="A89" s="50"/>
      <c r="B89" s="49"/>
      <c r="C89" s="49"/>
      <c r="D89" s="48"/>
      <c r="E89" s="48"/>
      <c r="F89" s="47"/>
      <c r="G89" s="46"/>
      <c r="H89" s="45"/>
      <c r="I89" s="42"/>
      <c r="J89" s="42"/>
      <c r="K89" s="42"/>
      <c r="L89" s="42"/>
      <c r="M89" s="42"/>
      <c r="N89" s="43"/>
      <c r="O89" s="42"/>
      <c r="P89" s="43"/>
      <c r="Q89" s="43"/>
      <c r="R89" s="42"/>
      <c r="S89" s="42"/>
      <c r="T89" s="44"/>
      <c r="U89" s="44"/>
      <c r="V89" s="43"/>
      <c r="W89" s="42"/>
      <c r="X89" s="41"/>
      <c r="Y89" s="34"/>
    </row>
    <row r="90" spans="1:25" s="40" customFormat="1" ht="19.5" customHeight="1">
      <c r="A90" s="39"/>
      <c r="B90" s="39"/>
      <c r="C90" s="39"/>
      <c r="D90" s="38"/>
      <c r="E90" s="38"/>
      <c r="F90" s="37"/>
      <c r="G90" s="36"/>
      <c r="H90" s="33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4"/>
    </row>
  </sheetData>
  <mergeCells count="24">
    <mergeCell ref="A1:F1"/>
    <mergeCell ref="U77:V77"/>
    <mergeCell ref="U34:V34"/>
    <mergeCell ref="U31:V31"/>
    <mergeCell ref="U49:V49"/>
    <mergeCell ref="U56:V56"/>
    <mergeCell ref="U66:V66"/>
    <mergeCell ref="U59:V59"/>
    <mergeCell ref="U62:V62"/>
    <mergeCell ref="U39:V39"/>
    <mergeCell ref="P81:Q81"/>
    <mergeCell ref="U84:V84"/>
    <mergeCell ref="U17:V17"/>
    <mergeCell ref="U19:V19"/>
    <mergeCell ref="A2:C2"/>
    <mergeCell ref="D2:D3"/>
    <mergeCell ref="A4:C4"/>
    <mergeCell ref="U53:V53"/>
    <mergeCell ref="U74:V74"/>
    <mergeCell ref="E2:E3"/>
    <mergeCell ref="F2:G2"/>
    <mergeCell ref="H2:X3"/>
    <mergeCell ref="U29:V29"/>
    <mergeCell ref="U46:V46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84"/>
  <sheetViews>
    <sheetView tabSelected="1" zoomScaleNormal="100" workbookViewId="0">
      <pane xSplit="3" ySplit="5" topLeftCell="H6" activePane="bottomRight" state="frozen"/>
      <selection pane="topRight" activeCell="D1" sqref="D1"/>
      <selection pane="bottomLeft" activeCell="A6" sqref="A6"/>
      <selection pane="bottomRight" activeCell="AI63" sqref="AH63:AI63"/>
    </sheetView>
  </sheetViews>
  <sheetFormatPr defaultColWidth="13.77734375" defaultRowHeight="21" customHeight="1"/>
  <cols>
    <col min="1" max="1" width="5.88671875" style="263" bestFit="1" customWidth="1"/>
    <col min="2" max="2" width="7.109375" style="263" bestFit="1" customWidth="1"/>
    <col min="3" max="3" width="10.77734375" style="263" customWidth="1"/>
    <col min="4" max="4" width="10.33203125" style="262" customWidth="1"/>
    <col min="5" max="5" width="7.88671875" style="262" bestFit="1" customWidth="1"/>
    <col min="6" max="6" width="9.109375" style="262" bestFit="1" customWidth="1"/>
    <col min="7" max="7" width="8.5546875" style="262" bestFit="1" customWidth="1"/>
    <col min="8" max="9" width="7" style="262" bestFit="1" customWidth="1"/>
    <col min="10" max="10" width="7.77734375" style="262" customWidth="1"/>
    <col min="11" max="11" width="8.5546875" style="262" customWidth="1"/>
    <col min="12" max="12" width="7.77734375" style="262" customWidth="1"/>
    <col min="13" max="13" width="7.109375" style="262" bestFit="1" customWidth="1"/>
    <col min="14" max="14" width="7.21875" style="261" bestFit="1" customWidth="1"/>
    <col min="15" max="15" width="14.109375" style="97" customWidth="1"/>
    <col min="16" max="16" width="3.33203125" style="97" customWidth="1"/>
    <col min="17" max="17" width="2.77734375" style="97" customWidth="1"/>
    <col min="18" max="18" width="7.44140625" style="97" customWidth="1"/>
    <col min="19" max="19" width="11.21875" style="260" bestFit="1" customWidth="1"/>
    <col min="20" max="20" width="3.21875" style="260" bestFit="1" customWidth="1"/>
    <col min="21" max="21" width="4" style="260" bestFit="1" customWidth="1"/>
    <col min="22" max="22" width="7.88671875" style="260" bestFit="1" customWidth="1"/>
    <col min="23" max="23" width="3.21875" style="260" customWidth="1"/>
    <col min="24" max="24" width="4.109375" style="260" bestFit="1" customWidth="1"/>
    <col min="25" max="25" width="4.77734375" style="260" customWidth="1"/>
    <col min="26" max="26" width="4.6640625" style="260" bestFit="1" customWidth="1"/>
    <col min="27" max="27" width="3" style="260" customWidth="1"/>
    <col min="28" max="28" width="3.33203125" style="260" customWidth="1"/>
    <col min="29" max="29" width="1.44140625" style="260" customWidth="1"/>
    <col min="30" max="30" width="12" style="260" bestFit="1" customWidth="1"/>
    <col min="31" max="31" width="2.77734375" style="260" customWidth="1"/>
    <col min="32" max="32" width="5.77734375" style="97" customWidth="1"/>
    <col min="33" max="16384" width="13.77734375" style="97"/>
  </cols>
  <sheetData>
    <row r="1" spans="1:32" s="40" customFormat="1" ht="21" customHeight="1" thickBot="1">
      <c r="A1" s="520" t="s">
        <v>346</v>
      </c>
      <c r="B1" s="520"/>
      <c r="C1" s="520"/>
      <c r="D1" s="520"/>
      <c r="E1" s="520"/>
      <c r="F1" s="480"/>
      <c r="G1" s="480"/>
      <c r="H1" s="480"/>
      <c r="I1" s="480"/>
      <c r="J1" s="480"/>
      <c r="K1" s="480"/>
      <c r="L1" s="480"/>
      <c r="M1" s="480"/>
      <c r="N1" s="479"/>
      <c r="O1" s="43"/>
      <c r="P1" s="43"/>
      <c r="Q1" s="43"/>
      <c r="R1" s="43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33"/>
    </row>
    <row r="2" spans="1:32" s="247" customFormat="1" ht="27" customHeight="1">
      <c r="A2" s="508" t="s">
        <v>345</v>
      </c>
      <c r="B2" s="509"/>
      <c r="C2" s="509"/>
      <c r="D2" s="514" t="s">
        <v>348</v>
      </c>
      <c r="E2" s="542" t="s">
        <v>347</v>
      </c>
      <c r="F2" s="543"/>
      <c r="G2" s="543"/>
      <c r="H2" s="543"/>
      <c r="I2" s="543"/>
      <c r="J2" s="543"/>
      <c r="K2" s="543"/>
      <c r="L2" s="544"/>
      <c r="M2" s="516" t="s">
        <v>176</v>
      </c>
      <c r="N2" s="516"/>
      <c r="O2" s="528" t="s">
        <v>344</v>
      </c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30"/>
    </row>
    <row r="3" spans="1:32" s="247" customFormat="1" ht="27" customHeight="1" thickBot="1">
      <c r="A3" s="259" t="s">
        <v>174</v>
      </c>
      <c r="B3" s="258" t="s">
        <v>173</v>
      </c>
      <c r="C3" s="258" t="s">
        <v>343</v>
      </c>
      <c r="D3" s="515"/>
      <c r="E3" s="478" t="s">
        <v>342</v>
      </c>
      <c r="F3" s="477" t="s">
        <v>341</v>
      </c>
      <c r="G3" s="477" t="s">
        <v>340</v>
      </c>
      <c r="H3" s="477" t="s">
        <v>339</v>
      </c>
      <c r="I3" s="477" t="s">
        <v>48</v>
      </c>
      <c r="J3" s="477" t="s">
        <v>338</v>
      </c>
      <c r="K3" s="477" t="s">
        <v>337</v>
      </c>
      <c r="L3" s="477" t="s">
        <v>51</v>
      </c>
      <c r="M3" s="257" t="s">
        <v>172</v>
      </c>
      <c r="N3" s="476" t="s">
        <v>171</v>
      </c>
      <c r="O3" s="531"/>
      <c r="P3" s="532"/>
      <c r="Q3" s="532"/>
      <c r="R3" s="532"/>
      <c r="S3" s="532"/>
      <c r="T3" s="532"/>
      <c r="U3" s="532"/>
      <c r="V3" s="532"/>
      <c r="W3" s="532"/>
      <c r="X3" s="532"/>
      <c r="Y3" s="532"/>
      <c r="Z3" s="532"/>
      <c r="AA3" s="532"/>
      <c r="AB3" s="532"/>
      <c r="AC3" s="532"/>
      <c r="AD3" s="532"/>
      <c r="AE3" s="533"/>
    </row>
    <row r="4" spans="1:32" s="40" customFormat="1" ht="21" customHeight="1">
      <c r="A4" s="540" t="s">
        <v>336</v>
      </c>
      <c r="B4" s="541"/>
      <c r="C4" s="541"/>
      <c r="D4" s="475">
        <v>63674</v>
      </c>
      <c r="E4" s="474">
        <f t="shared" ref="E4:L4" si="0">SUM(E5,E96,E110,E157,E166,E169)</f>
        <v>69378</v>
      </c>
      <c r="F4" s="474">
        <f t="shared" si="0"/>
        <v>56889</v>
      </c>
      <c r="G4" s="474">
        <f t="shared" si="0"/>
        <v>0</v>
      </c>
      <c r="H4" s="474">
        <f t="shared" si="0"/>
        <v>300</v>
      </c>
      <c r="I4" s="474">
        <f t="shared" si="0"/>
        <v>1161</v>
      </c>
      <c r="J4" s="474">
        <f t="shared" si="0"/>
        <v>10295</v>
      </c>
      <c r="K4" s="474">
        <f t="shared" si="0"/>
        <v>0</v>
      </c>
      <c r="L4" s="474">
        <f t="shared" si="0"/>
        <v>933</v>
      </c>
      <c r="M4" s="473">
        <f>E4-D4</f>
        <v>5704</v>
      </c>
      <c r="N4" s="472">
        <f>IF(D4=0,0,M4/D4)</f>
        <v>8.9581304771178191E-2</v>
      </c>
      <c r="O4" s="471" t="s">
        <v>335</v>
      </c>
      <c r="P4" s="470"/>
      <c r="Q4" s="470"/>
      <c r="R4" s="470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>
        <f>SUM(AD5,AD96,AD110,AD157,AD166,AD169)</f>
        <v>69378000</v>
      </c>
      <c r="AE4" s="468" t="s">
        <v>71</v>
      </c>
      <c r="AF4" s="35"/>
    </row>
    <row r="5" spans="1:32" s="40" customFormat="1" ht="21" customHeight="1">
      <c r="A5" s="295" t="s">
        <v>334</v>
      </c>
      <c r="B5" s="538" t="s">
        <v>333</v>
      </c>
      <c r="C5" s="539"/>
      <c r="D5" s="467">
        <v>46397</v>
      </c>
      <c r="E5" s="467">
        <f t="shared" ref="E5:L5" si="1">SUM(E6,E57,E67)</f>
        <v>55952</v>
      </c>
      <c r="F5" s="467">
        <f t="shared" si="1"/>
        <v>51929</v>
      </c>
      <c r="G5" s="467">
        <f t="shared" si="1"/>
        <v>0</v>
      </c>
      <c r="H5" s="467">
        <f t="shared" si="1"/>
        <v>300</v>
      </c>
      <c r="I5" s="467">
        <f t="shared" si="1"/>
        <v>300</v>
      </c>
      <c r="J5" s="467">
        <f t="shared" si="1"/>
        <v>3213</v>
      </c>
      <c r="K5" s="467">
        <f t="shared" si="1"/>
        <v>0</v>
      </c>
      <c r="L5" s="467">
        <f t="shared" si="1"/>
        <v>210</v>
      </c>
      <c r="M5" s="466">
        <f>E5-D5</f>
        <v>9555</v>
      </c>
      <c r="N5" s="465">
        <f>IF(D5=0,0,M5/D5)</f>
        <v>0.20594003922667414</v>
      </c>
      <c r="O5" s="464" t="s">
        <v>52</v>
      </c>
      <c r="P5" s="464"/>
      <c r="Q5" s="464"/>
      <c r="R5" s="464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>
        <f>SUM(AD6,AD57,AD67)</f>
        <v>55952000</v>
      </c>
      <c r="AE5" s="462" t="s">
        <v>71</v>
      </c>
      <c r="AF5" s="35"/>
    </row>
    <row r="6" spans="1:32" s="40" customFormat="1" ht="21" customHeight="1">
      <c r="A6" s="108"/>
      <c r="B6" s="82" t="s">
        <v>332</v>
      </c>
      <c r="C6" s="461" t="s">
        <v>287</v>
      </c>
      <c r="D6" s="460">
        <v>38721</v>
      </c>
      <c r="E6" s="460">
        <f t="shared" ref="E6:L6" si="2">SUM(E7,E12,E15,E28,E31,E51)</f>
        <v>48130</v>
      </c>
      <c r="F6" s="460">
        <f t="shared" si="2"/>
        <v>47735</v>
      </c>
      <c r="G6" s="460">
        <f t="shared" si="2"/>
        <v>0</v>
      </c>
      <c r="H6" s="460">
        <f t="shared" si="2"/>
        <v>300</v>
      </c>
      <c r="I6" s="460">
        <f t="shared" si="2"/>
        <v>0</v>
      </c>
      <c r="J6" s="460">
        <f t="shared" si="2"/>
        <v>0</v>
      </c>
      <c r="K6" s="460">
        <f t="shared" si="2"/>
        <v>0</v>
      </c>
      <c r="L6" s="460">
        <f t="shared" si="2"/>
        <v>95</v>
      </c>
      <c r="M6" s="459">
        <f>E6-D6</f>
        <v>9409</v>
      </c>
      <c r="N6" s="458">
        <f>IF(D6=0,0,M6/D6)</f>
        <v>0.24299475736680354</v>
      </c>
      <c r="O6" s="457" t="s">
        <v>53</v>
      </c>
      <c r="P6" s="457"/>
      <c r="Q6" s="457"/>
      <c r="R6" s="457"/>
      <c r="S6" s="456"/>
      <c r="T6" s="456"/>
      <c r="U6" s="456"/>
      <c r="V6" s="456"/>
      <c r="W6" s="456"/>
      <c r="X6" s="456"/>
      <c r="Y6" s="456"/>
      <c r="Z6" s="456"/>
      <c r="AA6" s="456"/>
      <c r="AB6" s="456"/>
      <c r="AC6" s="456"/>
      <c r="AD6" s="456">
        <f>SUM(AD7,AD12,AD15,AD28,AD31,AD51)</f>
        <v>48130000</v>
      </c>
      <c r="AE6" s="455" t="s">
        <v>71</v>
      </c>
      <c r="AF6" s="35"/>
    </row>
    <row r="7" spans="1:32" s="40" customFormat="1" ht="21" customHeight="1">
      <c r="A7" s="108"/>
      <c r="B7" s="60"/>
      <c r="C7" s="82" t="s">
        <v>331</v>
      </c>
      <c r="D7" s="312">
        <v>25086</v>
      </c>
      <c r="E7" s="280">
        <f>AD7/1000</f>
        <v>31190</v>
      </c>
      <c r="F7" s="280">
        <f>SUMIF($AB$8:$AB$11,"보조",$AD$8:$AD$11)/1000</f>
        <v>31190</v>
      </c>
      <c r="G7" s="280">
        <v>0</v>
      </c>
      <c r="H7" s="280">
        <v>0</v>
      </c>
      <c r="I7" s="280">
        <f>SUMIF($AB$8:$AB$9,"후원",$AD$8:$AD$9)/1000</f>
        <v>0</v>
      </c>
      <c r="J7" s="280">
        <f>SUMIF($AB$8:$AB$9,"입소",$AD$8:$AD$9)/1000</f>
        <v>0</v>
      </c>
      <c r="K7" s="280">
        <f>SUMIF($AB$8:$AB$9,"법인",$AD$8:$AD$9)/1000</f>
        <v>0</v>
      </c>
      <c r="L7" s="280">
        <f>SUMIF($AB$8:$AB$9,"잡수",$AD$8:$AD$9)/1000</f>
        <v>0</v>
      </c>
      <c r="M7" s="311">
        <f>E7-D7</f>
        <v>6104</v>
      </c>
      <c r="N7" s="454">
        <f>IF(D7=0,0,M7/D7)</f>
        <v>0.24332296898668579</v>
      </c>
      <c r="O7" s="279" t="s">
        <v>330</v>
      </c>
      <c r="P7" s="279"/>
      <c r="Q7" s="87"/>
      <c r="R7" s="87"/>
      <c r="S7" s="87"/>
      <c r="T7" s="86"/>
      <c r="U7" s="86"/>
      <c r="V7" s="86"/>
      <c r="W7" s="277" t="s">
        <v>158</v>
      </c>
      <c r="X7" s="277"/>
      <c r="Y7" s="277"/>
      <c r="Z7" s="277"/>
      <c r="AA7" s="277"/>
      <c r="AB7" s="277"/>
      <c r="AC7" s="276"/>
      <c r="AD7" s="276">
        <f>SUM(AD8:AD10)</f>
        <v>31190000</v>
      </c>
      <c r="AE7" s="275" t="s">
        <v>66</v>
      </c>
      <c r="AF7" s="33"/>
    </row>
    <row r="8" spans="1:32" s="40" customFormat="1" ht="21" customHeight="1">
      <c r="A8" s="108"/>
      <c r="B8" s="60"/>
      <c r="C8" s="60"/>
      <c r="D8" s="274"/>
      <c r="E8" s="273"/>
      <c r="F8" s="273"/>
      <c r="G8" s="273"/>
      <c r="H8" s="273"/>
      <c r="I8" s="273"/>
      <c r="J8" s="273"/>
      <c r="K8" s="273"/>
      <c r="L8" s="273"/>
      <c r="M8" s="273"/>
      <c r="N8" s="84"/>
      <c r="O8" s="166" t="s">
        <v>349</v>
      </c>
      <c r="P8" s="165"/>
      <c r="Q8" s="165"/>
      <c r="R8" s="165" t="s">
        <v>325</v>
      </c>
      <c r="S8" s="436">
        <v>2083000</v>
      </c>
      <c r="T8" s="52" t="s">
        <v>66</v>
      </c>
      <c r="U8" s="165" t="s">
        <v>131</v>
      </c>
      <c r="V8" s="52">
        <v>6</v>
      </c>
      <c r="W8" s="52" t="s">
        <v>130</v>
      </c>
      <c r="X8" s="52"/>
      <c r="Y8" s="52"/>
      <c r="Z8" s="52" t="s">
        <v>129</v>
      </c>
      <c r="AA8" s="52"/>
      <c r="AB8" s="52" t="s">
        <v>202</v>
      </c>
      <c r="AC8" s="63"/>
      <c r="AD8" s="63">
        <f>S8*V8</f>
        <v>12498000</v>
      </c>
      <c r="AE8" s="147" t="s">
        <v>66</v>
      </c>
      <c r="AF8" s="35"/>
    </row>
    <row r="9" spans="1:32" s="40" customFormat="1" ht="21" customHeight="1">
      <c r="A9" s="108"/>
      <c r="B9" s="60"/>
      <c r="C9" s="60"/>
      <c r="D9" s="274"/>
      <c r="E9" s="273"/>
      <c r="F9" s="273"/>
      <c r="G9" s="273"/>
      <c r="H9" s="273"/>
      <c r="I9" s="273"/>
      <c r="J9" s="273"/>
      <c r="K9" s="273"/>
      <c r="L9" s="273"/>
      <c r="M9" s="273"/>
      <c r="N9" s="84"/>
      <c r="O9" s="453"/>
      <c r="P9" s="452"/>
      <c r="Q9" s="452"/>
      <c r="R9" s="452" t="s">
        <v>324</v>
      </c>
      <c r="S9" s="436">
        <v>2182000</v>
      </c>
      <c r="T9" s="52" t="s">
        <v>71</v>
      </c>
      <c r="U9" s="165" t="s">
        <v>69</v>
      </c>
      <c r="V9" s="52">
        <v>2</v>
      </c>
      <c r="W9" s="52" t="s">
        <v>68</v>
      </c>
      <c r="X9" s="52"/>
      <c r="Y9" s="52"/>
      <c r="Z9" s="52" t="s">
        <v>67</v>
      </c>
      <c r="AA9" s="52"/>
      <c r="AB9" s="52" t="s">
        <v>309</v>
      </c>
      <c r="AC9" s="63"/>
      <c r="AD9" s="63">
        <f>S9*V9</f>
        <v>4364000</v>
      </c>
      <c r="AE9" s="147" t="s">
        <v>71</v>
      </c>
      <c r="AF9" s="35"/>
    </row>
    <row r="10" spans="1:32" s="40" customFormat="1" ht="21" customHeight="1">
      <c r="A10" s="108"/>
      <c r="B10" s="60"/>
      <c r="C10" s="60"/>
      <c r="D10" s="274"/>
      <c r="E10" s="273"/>
      <c r="F10" s="273"/>
      <c r="G10" s="273"/>
      <c r="H10" s="273"/>
      <c r="I10" s="273"/>
      <c r="J10" s="273"/>
      <c r="K10" s="273"/>
      <c r="L10" s="273"/>
      <c r="M10" s="273"/>
      <c r="N10" s="84"/>
      <c r="O10" s="166" t="s">
        <v>350</v>
      </c>
      <c r="P10" s="452"/>
      <c r="Q10" s="452"/>
      <c r="R10" s="452" t="s">
        <v>351</v>
      </c>
      <c r="S10" s="436">
        <v>3582000</v>
      </c>
      <c r="T10" s="52" t="s">
        <v>71</v>
      </c>
      <c r="U10" s="165" t="s">
        <v>69</v>
      </c>
      <c r="V10" s="52">
        <v>4</v>
      </c>
      <c r="W10" s="52" t="s">
        <v>68</v>
      </c>
      <c r="X10" s="52"/>
      <c r="Y10" s="52"/>
      <c r="Z10" s="52" t="s">
        <v>67</v>
      </c>
      <c r="AA10" s="52"/>
      <c r="AB10" s="52" t="s">
        <v>309</v>
      </c>
      <c r="AC10" s="63"/>
      <c r="AD10" s="63">
        <f>S10*V10</f>
        <v>14328000</v>
      </c>
      <c r="AE10" s="147" t="s">
        <v>71</v>
      </c>
      <c r="AF10" s="35"/>
    </row>
    <row r="11" spans="1:32" s="40" customFormat="1" ht="21" customHeight="1">
      <c r="A11" s="108"/>
      <c r="B11" s="60"/>
      <c r="C11" s="60"/>
      <c r="D11" s="274"/>
      <c r="E11" s="273"/>
      <c r="F11" s="273"/>
      <c r="G11" s="273"/>
      <c r="H11" s="273"/>
      <c r="I11" s="273"/>
      <c r="J11" s="273"/>
      <c r="K11" s="273"/>
      <c r="L11" s="273"/>
      <c r="M11" s="273"/>
      <c r="N11" s="84"/>
      <c r="O11" s="451"/>
      <c r="P11" s="450"/>
      <c r="Q11" s="450"/>
      <c r="R11" s="450"/>
      <c r="S11" s="209"/>
      <c r="T11" s="209"/>
      <c r="U11" s="203"/>
      <c r="V11" s="209"/>
      <c r="W11" s="209"/>
      <c r="X11" s="209"/>
      <c r="Y11" s="209"/>
      <c r="Z11" s="209"/>
      <c r="AA11" s="209"/>
      <c r="AB11" s="209"/>
      <c r="AC11" s="202"/>
      <c r="AD11" s="202"/>
      <c r="AE11" s="201"/>
      <c r="AF11" s="33"/>
    </row>
    <row r="12" spans="1:32" s="40" customFormat="1" ht="21" customHeight="1">
      <c r="A12" s="108"/>
      <c r="B12" s="60"/>
      <c r="C12" s="82" t="s">
        <v>54</v>
      </c>
      <c r="D12" s="312">
        <v>0</v>
      </c>
      <c r="E12" s="280">
        <f>SUM(F12:L12)</f>
        <v>0</v>
      </c>
      <c r="F12" s="280">
        <f>SUMIF($AB$13:$AB$14,"",$AD$13:$AD$14)/1000</f>
        <v>0</v>
      </c>
      <c r="G12" s="280">
        <f>SUMIF($AB$13:$AB$14,"",$AD$13:$AD$14)/1000</f>
        <v>0</v>
      </c>
      <c r="H12" s="280">
        <f>SUMIF($AB$13:$AB$14,"시비",$AD$13:$AD$14)/1000</f>
        <v>0</v>
      </c>
      <c r="I12" s="280">
        <f>SUMIF($AB$13:$AB$14,"후원",$AD$13:$AD$14)/1000</f>
        <v>0</v>
      </c>
      <c r="J12" s="280">
        <f>SUMIF($AB$13:$AB$14,"입소",$AD$13:$AD$14)/1000</f>
        <v>0</v>
      </c>
      <c r="K12" s="280">
        <f>SUMIF($AB$13:$AB$14,"법인",$AD$13:$AD$14)/1000</f>
        <v>0</v>
      </c>
      <c r="L12" s="280">
        <f>SUMIF($AB$13:$AB$14,"잡소",$AD$13:$AD$14)/1000</f>
        <v>0</v>
      </c>
      <c r="M12" s="413">
        <f>E12-D12</f>
        <v>0</v>
      </c>
      <c r="N12" s="167">
        <f>IF(D12=0,0,M12/D12)</f>
        <v>0</v>
      </c>
      <c r="O12" s="88" t="s">
        <v>329</v>
      </c>
      <c r="P12" s="279"/>
      <c r="Q12" s="87"/>
      <c r="R12" s="87"/>
      <c r="S12" s="87"/>
      <c r="T12" s="86"/>
      <c r="U12" s="86"/>
      <c r="V12" s="86"/>
      <c r="W12" s="277" t="s">
        <v>158</v>
      </c>
      <c r="X12" s="277"/>
      <c r="Y12" s="277"/>
      <c r="Z12" s="277"/>
      <c r="AA12" s="277"/>
      <c r="AB12" s="277"/>
      <c r="AC12" s="276"/>
      <c r="AD12" s="276">
        <f>SUM(AD13)</f>
        <v>0</v>
      </c>
      <c r="AE12" s="275" t="s">
        <v>66</v>
      </c>
      <c r="AF12" s="33"/>
    </row>
    <row r="13" spans="1:32" s="40" customFormat="1" ht="21" customHeight="1">
      <c r="A13" s="108"/>
      <c r="B13" s="60"/>
      <c r="C13" s="60"/>
      <c r="D13" s="274"/>
      <c r="E13" s="273"/>
      <c r="F13" s="273"/>
      <c r="G13" s="273"/>
      <c r="H13" s="273"/>
      <c r="I13" s="273"/>
      <c r="J13" s="273"/>
      <c r="K13" s="273"/>
      <c r="L13" s="273"/>
      <c r="M13" s="273"/>
      <c r="N13" s="84"/>
      <c r="O13" s="325"/>
      <c r="P13" s="124"/>
      <c r="Q13" s="53"/>
      <c r="R13" s="53"/>
      <c r="S13" s="55"/>
      <c r="T13" s="55"/>
      <c r="U13" s="53"/>
      <c r="V13" s="55"/>
      <c r="W13" s="55"/>
      <c r="X13" s="53"/>
      <c r="Y13" s="298"/>
      <c r="Z13" s="54"/>
      <c r="AA13" s="54"/>
      <c r="AB13" s="55"/>
      <c r="AC13" s="64"/>
      <c r="AD13" s="186">
        <f>S13*V13*Y13</f>
        <v>0</v>
      </c>
      <c r="AE13" s="51" t="s">
        <v>66</v>
      </c>
      <c r="AF13" s="33"/>
    </row>
    <row r="14" spans="1:32" s="40" customFormat="1" ht="21" customHeight="1">
      <c r="A14" s="108"/>
      <c r="B14" s="60"/>
      <c r="C14" s="60"/>
      <c r="D14" s="274"/>
      <c r="E14" s="273"/>
      <c r="F14" s="273"/>
      <c r="G14" s="273"/>
      <c r="H14" s="273"/>
      <c r="I14" s="273"/>
      <c r="J14" s="273"/>
      <c r="K14" s="273"/>
      <c r="L14" s="273"/>
      <c r="M14" s="273"/>
      <c r="N14" s="84"/>
      <c r="O14" s="53"/>
      <c r="P14" s="53"/>
      <c r="Q14" s="53"/>
      <c r="R14" s="53"/>
      <c r="S14" s="55"/>
      <c r="T14" s="55"/>
      <c r="U14" s="53"/>
      <c r="V14" s="55"/>
      <c r="W14" s="55"/>
      <c r="X14" s="53"/>
      <c r="Y14" s="449"/>
      <c r="Z14" s="55"/>
      <c r="AA14" s="55"/>
      <c r="AB14" s="55"/>
      <c r="AC14" s="64"/>
      <c r="AD14" s="55"/>
      <c r="AE14" s="51"/>
      <c r="AF14" s="33"/>
    </row>
    <row r="15" spans="1:32" s="40" customFormat="1" ht="21" customHeight="1">
      <c r="A15" s="108"/>
      <c r="B15" s="60"/>
      <c r="C15" s="82" t="s">
        <v>328</v>
      </c>
      <c r="D15" s="312">
        <v>7010</v>
      </c>
      <c r="E15" s="280">
        <f>AD15/1000</f>
        <v>9156</v>
      </c>
      <c r="F15" s="280">
        <f>ROUND(SUMIF($AB$17:$AB$27,"보조",$AD$17:$AD$27)/1000,0)</f>
        <v>9156</v>
      </c>
      <c r="G15" s="280">
        <f>SUMIF($AB$17:$AB$27,"7종",$AD$17:$AD$27)/1000</f>
        <v>0</v>
      </c>
      <c r="H15" s="280">
        <f>SUMIF($AB$17:$AB$27,"시비",$AD$17:$AD$27)/1000</f>
        <v>0</v>
      </c>
      <c r="I15" s="280">
        <f>SUMIF($AB$17:$AB$27,"후원",$AD$17:$AD$27)/1000</f>
        <v>0</v>
      </c>
      <c r="J15" s="280">
        <f>SUMIF($AB$17:$AB$27,"입소",$AD$17:$AD$27)/1000</f>
        <v>0</v>
      </c>
      <c r="K15" s="280">
        <f>SUMIF($AB$17:$AB$27,"법인",$AD$17:$AD$27)/1000</f>
        <v>0</v>
      </c>
      <c r="L15" s="280">
        <f>SUMIF($AB$17:$AB$27,"잡수",$AD$17:$AD$27)/1000</f>
        <v>0</v>
      </c>
      <c r="M15" s="311">
        <f>E15-D15</f>
        <v>2146</v>
      </c>
      <c r="N15" s="167">
        <f>IF(D15=0,0,M15/D15)</f>
        <v>0.30613409415121257</v>
      </c>
      <c r="O15" s="69" t="s">
        <v>327</v>
      </c>
      <c r="P15" s="68"/>
      <c r="Q15" s="372"/>
      <c r="R15" s="372"/>
      <c r="S15" s="372"/>
      <c r="T15" s="67"/>
      <c r="U15" s="67"/>
      <c r="V15" s="67"/>
      <c r="W15" s="278" t="s">
        <v>158</v>
      </c>
      <c r="X15" s="278"/>
      <c r="Y15" s="278"/>
      <c r="Z15" s="278"/>
      <c r="AA15" s="278"/>
      <c r="AB15" s="278"/>
      <c r="AC15" s="343"/>
      <c r="AD15" s="343">
        <f>SUM(명절휴가비,연장근로수당,AD20)</f>
        <v>9156000</v>
      </c>
      <c r="AE15" s="288" t="s">
        <v>66</v>
      </c>
      <c r="AF15" s="33"/>
    </row>
    <row r="16" spans="1:32" s="40" customFormat="1" ht="21" customHeight="1">
      <c r="A16" s="108"/>
      <c r="B16" s="60"/>
      <c r="C16" s="60"/>
      <c r="D16" s="274"/>
      <c r="E16" s="273"/>
      <c r="F16" s="273"/>
      <c r="G16" s="273"/>
      <c r="H16" s="273"/>
      <c r="I16" s="273"/>
      <c r="J16" s="273"/>
      <c r="K16" s="273"/>
      <c r="L16" s="273"/>
      <c r="M16" s="273"/>
      <c r="N16" s="84"/>
      <c r="O16" s="203" t="s">
        <v>326</v>
      </c>
      <c r="P16" s="165"/>
      <c r="Q16" s="165"/>
      <c r="R16" s="165"/>
      <c r="S16" s="165"/>
      <c r="T16" s="52"/>
      <c r="U16" s="52"/>
      <c r="V16" s="52"/>
      <c r="W16" s="209" t="s">
        <v>321</v>
      </c>
      <c r="X16" s="209"/>
      <c r="Y16" s="209"/>
      <c r="Z16" s="209"/>
      <c r="AA16" s="209"/>
      <c r="AB16" s="209"/>
      <c r="AC16" s="202" t="s">
        <v>63</v>
      </c>
      <c r="AD16" s="202">
        <f>ROUND(SUM(AD17:AD18),-3)</f>
        <v>3399000</v>
      </c>
      <c r="AE16" s="201" t="s">
        <v>66</v>
      </c>
      <c r="AF16" s="447"/>
    </row>
    <row r="17" spans="1:32" s="40" customFormat="1" ht="21" customHeight="1">
      <c r="A17" s="108"/>
      <c r="B17" s="60"/>
      <c r="C17" s="60"/>
      <c r="D17" s="274"/>
      <c r="E17" s="273"/>
      <c r="F17" s="273"/>
      <c r="G17" s="273"/>
      <c r="H17" s="273"/>
      <c r="I17" s="273"/>
      <c r="J17" s="273"/>
      <c r="K17" s="273"/>
      <c r="L17" s="273"/>
      <c r="M17" s="273"/>
      <c r="N17" s="84"/>
      <c r="O17" s="165" t="s">
        <v>352</v>
      </c>
      <c r="P17" s="165"/>
      <c r="Q17" s="165"/>
      <c r="R17" s="53" t="s">
        <v>325</v>
      </c>
      <c r="S17" s="446">
        <v>2083000</v>
      </c>
      <c r="T17" s="55" t="s">
        <v>66</v>
      </c>
      <c r="U17" s="53" t="s">
        <v>131</v>
      </c>
      <c r="V17" s="448">
        <v>0.6</v>
      </c>
      <c r="W17" s="52"/>
      <c r="X17" s="52"/>
      <c r="Y17" s="52"/>
      <c r="Z17" s="52" t="s">
        <v>129</v>
      </c>
      <c r="AA17" s="52"/>
      <c r="AB17" s="52" t="s">
        <v>202</v>
      </c>
      <c r="AC17" s="63"/>
      <c r="AD17" s="63">
        <f>ROUND(S17*V17,-3)</f>
        <v>1250000</v>
      </c>
      <c r="AE17" s="147" t="s">
        <v>66</v>
      </c>
      <c r="AF17" s="426"/>
    </row>
    <row r="18" spans="1:32" s="40" customFormat="1" ht="21" customHeight="1">
      <c r="A18" s="108"/>
      <c r="B18" s="60"/>
      <c r="C18" s="60"/>
      <c r="D18" s="274"/>
      <c r="E18" s="273"/>
      <c r="F18" s="273"/>
      <c r="G18" s="273"/>
      <c r="H18" s="273"/>
      <c r="I18" s="273"/>
      <c r="J18" s="273"/>
      <c r="K18" s="273"/>
      <c r="L18" s="273"/>
      <c r="M18" s="273"/>
      <c r="N18" s="84"/>
      <c r="O18" s="165" t="s">
        <v>353</v>
      </c>
      <c r="P18" s="165"/>
      <c r="Q18" s="165"/>
      <c r="R18" s="165" t="s">
        <v>354</v>
      </c>
      <c r="S18" s="436">
        <v>3582000</v>
      </c>
      <c r="T18" s="52" t="s">
        <v>66</v>
      </c>
      <c r="U18" s="53" t="s">
        <v>131</v>
      </c>
      <c r="V18" s="448">
        <v>0.6</v>
      </c>
      <c r="W18" s="52"/>
      <c r="X18" s="52"/>
      <c r="Y18" s="52"/>
      <c r="Z18" s="52" t="s">
        <v>129</v>
      </c>
      <c r="AA18" s="52"/>
      <c r="AB18" s="52" t="s">
        <v>202</v>
      </c>
      <c r="AC18" s="63"/>
      <c r="AD18" s="63">
        <f>ROUND(S18*V18,-3)</f>
        <v>2149000</v>
      </c>
      <c r="AE18" s="147" t="s">
        <v>66</v>
      </c>
      <c r="AF18" s="426"/>
    </row>
    <row r="19" spans="1:32" s="40" customFormat="1" ht="21" customHeight="1">
      <c r="A19" s="108"/>
      <c r="B19" s="60"/>
      <c r="C19" s="60"/>
      <c r="D19" s="274"/>
      <c r="E19" s="273"/>
      <c r="F19" s="273"/>
      <c r="G19" s="273"/>
      <c r="H19" s="273"/>
      <c r="I19" s="273"/>
      <c r="J19" s="273"/>
      <c r="K19" s="273"/>
      <c r="L19" s="273"/>
      <c r="M19" s="273"/>
      <c r="N19" s="84"/>
      <c r="O19" s="165"/>
      <c r="P19" s="165"/>
      <c r="Q19" s="165"/>
      <c r="R19" s="165"/>
      <c r="S19" s="436"/>
      <c r="T19" s="52"/>
      <c r="U19" s="53"/>
      <c r="V19" s="448"/>
      <c r="W19" s="52"/>
      <c r="X19" s="52"/>
      <c r="Y19" s="52"/>
      <c r="Z19" s="52"/>
      <c r="AA19" s="52"/>
      <c r="AB19" s="52"/>
      <c r="AC19" s="63"/>
      <c r="AD19" s="63"/>
      <c r="AE19" s="147"/>
      <c r="AF19" s="426"/>
    </row>
    <row r="20" spans="1:32" s="40" customFormat="1" ht="21" customHeight="1">
      <c r="A20" s="108"/>
      <c r="B20" s="60"/>
      <c r="C20" s="60"/>
      <c r="D20" s="274"/>
      <c r="E20" s="273"/>
      <c r="F20" s="273"/>
      <c r="G20" s="273"/>
      <c r="H20" s="273"/>
      <c r="I20" s="273"/>
      <c r="J20" s="273"/>
      <c r="K20" s="273"/>
      <c r="L20" s="273"/>
      <c r="M20" s="273"/>
      <c r="N20" s="84"/>
      <c r="O20" s="165" t="s">
        <v>357</v>
      </c>
      <c r="P20" s="165"/>
      <c r="Q20" s="165"/>
      <c r="R20" s="165"/>
      <c r="S20" s="436"/>
      <c r="T20" s="52"/>
      <c r="U20" s="53"/>
      <c r="V20" s="448"/>
      <c r="W20" s="52" t="s">
        <v>308</v>
      </c>
      <c r="X20" s="52"/>
      <c r="Y20" s="52"/>
      <c r="Z20" s="52"/>
      <c r="AA20" s="52"/>
      <c r="AB20" s="52"/>
      <c r="AC20" s="63" t="s">
        <v>306</v>
      </c>
      <c r="AD20" s="63">
        <f>AD21</f>
        <v>160000</v>
      </c>
      <c r="AE20" s="147" t="s">
        <v>71</v>
      </c>
      <c r="AF20" s="426"/>
    </row>
    <row r="21" spans="1:32" s="40" customFormat="1" ht="21" customHeight="1">
      <c r="A21" s="108"/>
      <c r="B21" s="60"/>
      <c r="C21" s="60"/>
      <c r="D21" s="274"/>
      <c r="E21" s="273"/>
      <c r="F21" s="273"/>
      <c r="G21" s="273"/>
      <c r="H21" s="273"/>
      <c r="I21" s="273"/>
      <c r="J21" s="273"/>
      <c r="K21" s="273"/>
      <c r="L21" s="273"/>
      <c r="M21" s="273"/>
      <c r="N21" s="84"/>
      <c r="O21" s="165" t="s">
        <v>355</v>
      </c>
      <c r="P21" s="165"/>
      <c r="Q21" s="165"/>
      <c r="R21" s="165"/>
      <c r="S21" s="436">
        <v>20000</v>
      </c>
      <c r="T21" s="52" t="s">
        <v>71</v>
      </c>
      <c r="U21" s="53" t="s">
        <v>131</v>
      </c>
      <c r="V21" s="440">
        <v>8</v>
      </c>
      <c r="W21" s="52" t="s">
        <v>358</v>
      </c>
      <c r="X21" s="52"/>
      <c r="Y21" s="52"/>
      <c r="Z21" s="52"/>
      <c r="AA21" s="52" t="s">
        <v>67</v>
      </c>
      <c r="AB21" s="52" t="s">
        <v>309</v>
      </c>
      <c r="AC21" s="63"/>
      <c r="AD21" s="63">
        <f>S21*V21</f>
        <v>160000</v>
      </c>
      <c r="AE21" s="147" t="s">
        <v>71</v>
      </c>
      <c r="AF21" s="426"/>
    </row>
    <row r="22" spans="1:32" s="40" customFormat="1" ht="21" customHeight="1">
      <c r="A22" s="108"/>
      <c r="B22" s="60"/>
      <c r="C22" s="60"/>
      <c r="D22" s="274"/>
      <c r="E22" s="273"/>
      <c r="F22" s="273"/>
      <c r="G22" s="273"/>
      <c r="H22" s="273"/>
      <c r="I22" s="273"/>
      <c r="J22" s="273"/>
      <c r="K22" s="273"/>
      <c r="L22" s="273"/>
      <c r="M22" s="273"/>
      <c r="N22" s="84"/>
      <c r="O22" s="165"/>
      <c r="P22" s="165"/>
      <c r="Q22" s="165"/>
      <c r="R22" s="165"/>
      <c r="S22" s="165"/>
      <c r="T22" s="52"/>
      <c r="U22" s="52"/>
      <c r="V22" s="52"/>
      <c r="W22" s="52"/>
      <c r="X22" s="52"/>
      <c r="Y22" s="52"/>
      <c r="Z22" s="52"/>
      <c r="AA22" s="52"/>
      <c r="AB22" s="52"/>
      <c r="AC22" s="63"/>
      <c r="AD22" s="63"/>
      <c r="AE22" s="147"/>
      <c r="AF22" s="447"/>
    </row>
    <row r="23" spans="1:32" s="40" customFormat="1" ht="21" customHeight="1">
      <c r="A23" s="108"/>
      <c r="B23" s="60"/>
      <c r="C23" s="60"/>
      <c r="D23" s="274"/>
      <c r="E23" s="273"/>
      <c r="F23" s="273"/>
      <c r="G23" s="273"/>
      <c r="H23" s="273"/>
      <c r="I23" s="273"/>
      <c r="J23" s="273"/>
      <c r="K23" s="273"/>
      <c r="L23" s="273"/>
      <c r="M23" s="273"/>
      <c r="N23" s="84"/>
      <c r="O23" s="203" t="s">
        <v>356</v>
      </c>
      <c r="P23" s="165"/>
      <c r="Q23" s="165"/>
      <c r="R23" s="165"/>
      <c r="S23" s="165"/>
      <c r="T23" s="52"/>
      <c r="U23" s="52"/>
      <c r="V23" s="52"/>
      <c r="W23" s="209" t="s">
        <v>321</v>
      </c>
      <c r="X23" s="209"/>
      <c r="Y23" s="209"/>
      <c r="Z23" s="209"/>
      <c r="AA23" s="209"/>
      <c r="AB23" s="209"/>
      <c r="AC23" s="202" t="s">
        <v>63</v>
      </c>
      <c r="AD23" s="202">
        <f>ROUND(SUM(AD24:AD26),-3)</f>
        <v>5597000</v>
      </c>
      <c r="AE23" s="201" t="s">
        <v>66</v>
      </c>
      <c r="AF23" s="447"/>
    </row>
    <row r="24" spans="1:32" s="40" customFormat="1" ht="21" customHeight="1">
      <c r="A24" s="108"/>
      <c r="B24" s="60"/>
      <c r="C24" s="60"/>
      <c r="D24" s="274"/>
      <c r="E24" s="273"/>
      <c r="F24" s="273"/>
      <c r="G24" s="273"/>
      <c r="H24" s="273"/>
      <c r="I24" s="273"/>
      <c r="J24" s="273"/>
      <c r="K24" s="273"/>
      <c r="L24" s="273"/>
      <c r="M24" s="273"/>
      <c r="N24" s="84"/>
      <c r="O24" s="165" t="s">
        <v>349</v>
      </c>
      <c r="P24" s="165"/>
      <c r="Q24" s="165"/>
      <c r="R24" s="53" t="s">
        <v>325</v>
      </c>
      <c r="S24" s="446">
        <v>2083000</v>
      </c>
      <c r="T24" s="52" t="s">
        <v>71</v>
      </c>
      <c r="U24" s="169" t="s">
        <v>313</v>
      </c>
      <c r="V24" s="445">
        <v>209</v>
      </c>
      <c r="W24" s="444">
        <v>1.5</v>
      </c>
      <c r="X24" s="165" t="s">
        <v>69</v>
      </c>
      <c r="Y24" s="443">
        <v>25</v>
      </c>
      <c r="Z24" s="442">
        <v>6</v>
      </c>
      <c r="AA24" s="52" t="s">
        <v>67</v>
      </c>
      <c r="AB24" s="52" t="s">
        <v>309</v>
      </c>
      <c r="AC24" s="63"/>
      <c r="AD24" s="63">
        <f>ROUNDUP(ROUNDDOWN(S24/V24*W24*Y24,-1)*Z24,-3)</f>
        <v>2243000</v>
      </c>
      <c r="AE24" s="147" t="s">
        <v>71</v>
      </c>
      <c r="AF24" s="426"/>
    </row>
    <row r="25" spans="1:32" s="40" customFormat="1" ht="21" customHeight="1">
      <c r="A25" s="108"/>
      <c r="B25" s="60"/>
      <c r="C25" s="60"/>
      <c r="D25" s="274"/>
      <c r="E25" s="273"/>
      <c r="F25" s="273"/>
      <c r="G25" s="273"/>
      <c r="H25" s="273"/>
      <c r="I25" s="273"/>
      <c r="J25" s="273"/>
      <c r="K25" s="273"/>
      <c r="L25" s="273"/>
      <c r="M25" s="273"/>
      <c r="N25" s="84"/>
      <c r="O25" s="165"/>
      <c r="P25" s="165"/>
      <c r="Q25" s="165"/>
      <c r="R25" s="165" t="s">
        <v>324</v>
      </c>
      <c r="S25" s="436">
        <v>2182000</v>
      </c>
      <c r="T25" s="52" t="s">
        <v>71</v>
      </c>
      <c r="U25" s="169" t="s">
        <v>313</v>
      </c>
      <c r="V25" s="445">
        <v>209</v>
      </c>
      <c r="W25" s="444">
        <v>1.5</v>
      </c>
      <c r="X25" s="165" t="s">
        <v>69</v>
      </c>
      <c r="Y25" s="443">
        <v>25</v>
      </c>
      <c r="Z25" s="442">
        <v>2</v>
      </c>
      <c r="AA25" s="52" t="s">
        <v>67</v>
      </c>
      <c r="AB25" s="52" t="s">
        <v>309</v>
      </c>
      <c r="AC25" s="63"/>
      <c r="AD25" s="63">
        <f>ROUND(ROUNDUP(S25/V25*W25*Y25,-1)*Z25,-3)</f>
        <v>783000</v>
      </c>
      <c r="AE25" s="147" t="s">
        <v>71</v>
      </c>
      <c r="AF25" s="426"/>
    </row>
    <row r="26" spans="1:32" s="40" customFormat="1" ht="21" customHeight="1">
      <c r="A26" s="108"/>
      <c r="B26" s="60"/>
      <c r="C26" s="60"/>
      <c r="D26" s="274"/>
      <c r="E26" s="273"/>
      <c r="F26" s="273"/>
      <c r="G26" s="273"/>
      <c r="H26" s="273"/>
      <c r="I26" s="273"/>
      <c r="J26" s="273"/>
      <c r="K26" s="273"/>
      <c r="L26" s="273"/>
      <c r="M26" s="273"/>
      <c r="N26" s="84"/>
      <c r="O26" s="165" t="s">
        <v>350</v>
      </c>
      <c r="P26" s="165"/>
      <c r="Q26" s="165"/>
      <c r="R26" s="165" t="s">
        <v>359</v>
      </c>
      <c r="S26" s="436">
        <v>3582000</v>
      </c>
      <c r="T26" s="52" t="s">
        <v>71</v>
      </c>
      <c r="U26" s="169" t="s">
        <v>313</v>
      </c>
      <c r="V26" s="445">
        <v>209</v>
      </c>
      <c r="W26" s="444">
        <v>1.5</v>
      </c>
      <c r="X26" s="165" t="s">
        <v>69</v>
      </c>
      <c r="Y26" s="443">
        <v>25</v>
      </c>
      <c r="Z26" s="442">
        <v>4</v>
      </c>
      <c r="AA26" s="52" t="s">
        <v>67</v>
      </c>
      <c r="AB26" s="52" t="s">
        <v>309</v>
      </c>
      <c r="AC26" s="63"/>
      <c r="AD26" s="63">
        <f>ROUND(ROUNDUP(S26/V26*W26*Y26,-1)*Z26,-3)</f>
        <v>2571000</v>
      </c>
      <c r="AE26" s="147" t="s">
        <v>71</v>
      </c>
      <c r="AF26" s="426"/>
    </row>
    <row r="27" spans="1:32" s="40" customFormat="1" ht="21" customHeight="1">
      <c r="A27" s="108"/>
      <c r="B27" s="60"/>
      <c r="C27" s="60"/>
      <c r="D27" s="274"/>
      <c r="E27" s="273"/>
      <c r="F27" s="273"/>
      <c r="G27" s="273"/>
      <c r="H27" s="273"/>
      <c r="I27" s="273"/>
      <c r="J27" s="273"/>
      <c r="K27" s="273"/>
      <c r="L27" s="273"/>
      <c r="M27" s="273"/>
      <c r="N27" s="84"/>
      <c r="O27" s="165"/>
      <c r="P27" s="165"/>
      <c r="Q27" s="165"/>
      <c r="R27" s="165"/>
      <c r="S27" s="436"/>
      <c r="T27" s="52"/>
      <c r="U27" s="169"/>
      <c r="V27" s="445"/>
      <c r="W27" s="444"/>
      <c r="X27" s="165"/>
      <c r="Y27" s="443"/>
      <c r="Z27" s="442"/>
      <c r="AA27" s="52"/>
      <c r="AB27" s="52"/>
      <c r="AC27" s="63"/>
      <c r="AD27" s="63"/>
      <c r="AE27" s="147"/>
      <c r="AF27" s="426"/>
    </row>
    <row r="28" spans="1:32" s="40" customFormat="1" ht="21" customHeight="1">
      <c r="A28" s="108"/>
      <c r="B28" s="60"/>
      <c r="C28" s="82" t="s">
        <v>323</v>
      </c>
      <c r="D28" s="312">
        <v>2675</v>
      </c>
      <c r="E28" s="280">
        <f>AD28/1000</f>
        <v>3362</v>
      </c>
      <c r="F28" s="280">
        <f>SUMIF($AB$29:$AB$30,"보조",$AD$29:$AD$30)/1000</f>
        <v>3362</v>
      </c>
      <c r="G28" s="280">
        <f>SUMIF($AB$29:$AB$29,"7종",$AD$29:$AD$29)/1000</f>
        <v>0</v>
      </c>
      <c r="H28" s="280">
        <f>SUMIF($AB$29:$AB$29,"시비",$AD$29:$AD$29)/1000</f>
        <v>0</v>
      </c>
      <c r="I28" s="280">
        <f>SUMIF($AB$29:$AB$29,"후원",$AD$29:$AD$29)/1000</f>
        <v>0</v>
      </c>
      <c r="J28" s="280">
        <f>SUMIF($AB$29:$AB$29,"입소",$AD$29:$AD$29)/1000</f>
        <v>0</v>
      </c>
      <c r="K28" s="280">
        <f>SUMIF($AB$29:$AB$29,"법인",$AD$29:$AD$29)/1000</f>
        <v>0</v>
      </c>
      <c r="L28" s="280">
        <f>SUMIF($AB$29:$AB$29,"잡수",$AD$29:$AD$29)/1000</f>
        <v>0</v>
      </c>
      <c r="M28" s="311">
        <f>E28-D28</f>
        <v>687</v>
      </c>
      <c r="N28" s="167">
        <f>IF(D28=0,0,M28/D28)</f>
        <v>0.25682242990654208</v>
      </c>
      <c r="O28" s="404" t="s">
        <v>322</v>
      </c>
      <c r="P28" s="344"/>
      <c r="Q28" s="350"/>
      <c r="R28" s="350"/>
      <c r="S28" s="350"/>
      <c r="T28" s="403"/>
      <c r="U28" s="403"/>
      <c r="V28" s="403"/>
      <c r="W28" s="294" t="s">
        <v>321</v>
      </c>
      <c r="X28" s="294"/>
      <c r="Y28" s="294"/>
      <c r="Z28" s="294"/>
      <c r="AA28" s="294"/>
      <c r="AB28" s="294"/>
      <c r="AC28" s="402" t="s">
        <v>63</v>
      </c>
      <c r="AD28" s="402">
        <f>ROUND(SUM(AD29:AD30),-3)</f>
        <v>3362000</v>
      </c>
      <c r="AE28" s="401" t="s">
        <v>66</v>
      </c>
      <c r="AF28" s="35"/>
    </row>
    <row r="29" spans="1:32" s="40" customFormat="1" ht="21" customHeight="1">
      <c r="A29" s="108"/>
      <c r="B29" s="60"/>
      <c r="C29" s="60"/>
      <c r="D29" s="336"/>
      <c r="E29" s="273"/>
      <c r="F29" s="273"/>
      <c r="G29" s="273"/>
      <c r="H29" s="273"/>
      <c r="I29" s="273"/>
      <c r="J29" s="273"/>
      <c r="K29" s="273"/>
      <c r="L29" s="273"/>
      <c r="M29" s="441"/>
      <c r="N29" s="84"/>
      <c r="O29" s="165" t="s">
        <v>320</v>
      </c>
      <c r="P29" s="165"/>
      <c r="Q29" s="165"/>
      <c r="R29" s="165"/>
      <c r="S29" s="52">
        <f>SUM(AD7,AD15)</f>
        <v>40346000</v>
      </c>
      <c r="T29" s="169" t="s">
        <v>66</v>
      </c>
      <c r="U29" s="169" t="s">
        <v>267</v>
      </c>
      <c r="V29" s="440">
        <v>12</v>
      </c>
      <c r="W29" s="172" t="s">
        <v>130</v>
      </c>
      <c r="X29" s="52"/>
      <c r="Y29" s="52"/>
      <c r="Z29" s="52"/>
      <c r="AA29" s="52" t="s">
        <v>129</v>
      </c>
      <c r="AB29" s="52" t="s">
        <v>202</v>
      </c>
      <c r="AC29" s="63"/>
      <c r="AD29" s="63">
        <f>ROUND(S29/V29,-3)</f>
        <v>3362000</v>
      </c>
      <c r="AE29" s="147" t="s">
        <v>66</v>
      </c>
      <c r="AF29" s="35"/>
    </row>
    <row r="30" spans="1:32" s="40" customFormat="1" ht="21" customHeight="1">
      <c r="A30" s="108"/>
      <c r="B30" s="60"/>
      <c r="C30" s="60"/>
      <c r="D30" s="336"/>
      <c r="E30" s="273"/>
      <c r="F30" s="273"/>
      <c r="G30" s="273"/>
      <c r="H30" s="273"/>
      <c r="I30" s="273"/>
      <c r="J30" s="273"/>
      <c r="K30" s="273"/>
      <c r="L30" s="273"/>
      <c r="M30" s="441"/>
      <c r="N30" s="84"/>
      <c r="O30" s="165"/>
      <c r="P30" s="165"/>
      <c r="Q30" s="165"/>
      <c r="R30" s="165"/>
      <c r="S30" s="52"/>
      <c r="T30" s="169"/>
      <c r="U30" s="169"/>
      <c r="V30" s="440"/>
      <c r="W30" s="172"/>
      <c r="X30" s="52"/>
      <c r="Y30" s="52"/>
      <c r="Z30" s="52"/>
      <c r="AA30" s="52"/>
      <c r="AB30" s="52"/>
      <c r="AC30" s="63"/>
      <c r="AD30" s="63"/>
      <c r="AE30" s="147"/>
      <c r="AF30" s="35"/>
    </row>
    <row r="31" spans="1:32" s="40" customFormat="1" ht="21" customHeight="1">
      <c r="A31" s="108"/>
      <c r="B31" s="60"/>
      <c r="C31" s="439" t="s">
        <v>319</v>
      </c>
      <c r="D31" s="312">
        <v>3365</v>
      </c>
      <c r="E31" s="280">
        <f>AD31/1000</f>
        <v>4027</v>
      </c>
      <c r="F31" s="280">
        <f>SUMIF($AB$34:$AB$50,"보조",$AD$34:$AD$50)/1000</f>
        <v>4027</v>
      </c>
      <c r="G31" s="280">
        <f>SUMIF($AB$34:$AB$50,"7종",$AD$34:$AD$50)/1000</f>
        <v>0</v>
      </c>
      <c r="H31" s="280">
        <f>SUMIF($AB$34:$AB$50,"시비",$AD$34:$AD$50)/1000</f>
        <v>0</v>
      </c>
      <c r="I31" s="280">
        <f>SUMIF($AB$34:$AB$50,"후원",$AD$34:$AD$50)/1000</f>
        <v>0</v>
      </c>
      <c r="J31" s="280">
        <f>SUMIF($AB$34:$AB$50,"입소",$AD$34:$AD$50)/1000</f>
        <v>0</v>
      </c>
      <c r="K31" s="280">
        <f>SUMIF($AB$34:$AB$50,"법인",$AD$34:$AD$50)/1000</f>
        <v>0</v>
      </c>
      <c r="L31" s="280">
        <f>SUMIF($AB$34:$AB$50,"잡수",$AD$34:$AD$50)/1000</f>
        <v>0</v>
      </c>
      <c r="M31" s="413">
        <f>E31-D31</f>
        <v>662</v>
      </c>
      <c r="N31" s="167">
        <f>IF(D31=0,0,M31/D31)</f>
        <v>0.19673105497771173</v>
      </c>
      <c r="O31" s="69" t="s">
        <v>318</v>
      </c>
      <c r="P31" s="68"/>
      <c r="Q31" s="372"/>
      <c r="R31" s="372"/>
      <c r="S31" s="372"/>
      <c r="T31" s="67"/>
      <c r="U31" s="67"/>
      <c r="V31" s="67"/>
      <c r="W31" s="278" t="s">
        <v>317</v>
      </c>
      <c r="X31" s="278"/>
      <c r="Y31" s="278"/>
      <c r="Z31" s="278"/>
      <c r="AA31" s="278"/>
      <c r="AB31" s="278"/>
      <c r="AC31" s="343"/>
      <c r="AD31" s="343">
        <f>SUM(AD33,AD36,AD39,AD42,AD45,AD48)</f>
        <v>4027000</v>
      </c>
      <c r="AE31" s="288" t="s">
        <v>71</v>
      </c>
    </row>
    <row r="32" spans="1:32" s="40" customFormat="1" ht="21" customHeight="1">
      <c r="A32" s="108"/>
      <c r="B32" s="60"/>
      <c r="C32" s="60" t="s">
        <v>316</v>
      </c>
      <c r="D32" s="274"/>
      <c r="E32" s="273"/>
      <c r="F32" s="273"/>
      <c r="G32" s="273"/>
      <c r="H32" s="273"/>
      <c r="I32" s="273"/>
      <c r="J32" s="273"/>
      <c r="K32" s="273"/>
      <c r="L32" s="273"/>
      <c r="M32" s="273"/>
      <c r="N32" s="84"/>
      <c r="O32" s="87"/>
      <c r="P32" s="87"/>
      <c r="Q32" s="87"/>
      <c r="R32" s="87"/>
      <c r="S32" s="87"/>
      <c r="T32" s="86"/>
      <c r="U32" s="86"/>
      <c r="V32" s="86"/>
      <c r="W32" s="86"/>
      <c r="X32" s="86"/>
      <c r="Y32" s="86"/>
      <c r="Z32" s="86"/>
      <c r="AA32" s="86"/>
      <c r="AB32" s="86"/>
      <c r="AC32" s="382"/>
      <c r="AD32" s="382"/>
      <c r="AE32" s="386"/>
      <c r="AF32" s="35"/>
    </row>
    <row r="33" spans="1:32" s="40" customFormat="1" ht="21" customHeight="1">
      <c r="A33" s="108"/>
      <c r="B33" s="60"/>
      <c r="C33" s="60"/>
      <c r="D33" s="274"/>
      <c r="E33" s="273"/>
      <c r="F33" s="273"/>
      <c r="G33" s="273"/>
      <c r="H33" s="273"/>
      <c r="I33" s="273"/>
      <c r="J33" s="273"/>
      <c r="K33" s="273"/>
      <c r="L33" s="273"/>
      <c r="M33" s="273"/>
      <c r="N33" s="84"/>
      <c r="O33" s="203" t="s">
        <v>315</v>
      </c>
      <c r="P33" s="165"/>
      <c r="Q33" s="165"/>
      <c r="R33" s="165"/>
      <c r="S33" s="165"/>
      <c r="T33" s="52"/>
      <c r="U33" s="52"/>
      <c r="V33" s="52"/>
      <c r="W33" s="209" t="s">
        <v>308</v>
      </c>
      <c r="X33" s="209"/>
      <c r="Y33" s="209"/>
      <c r="Z33" s="209"/>
      <c r="AA33" s="209"/>
      <c r="AB33" s="209"/>
      <c r="AC33" s="202"/>
      <c r="AD33" s="202">
        <f>ROUND(SUM(AD34:AD34),-3)</f>
        <v>1816000</v>
      </c>
      <c r="AE33" s="201" t="s">
        <v>71</v>
      </c>
      <c r="AF33" s="35"/>
    </row>
    <row r="34" spans="1:32" s="40" customFormat="1" ht="21" customHeight="1">
      <c r="A34" s="108"/>
      <c r="B34" s="60"/>
      <c r="C34" s="60"/>
      <c r="D34" s="274"/>
      <c r="E34" s="273"/>
      <c r="F34" s="273"/>
      <c r="G34" s="273"/>
      <c r="H34" s="273"/>
      <c r="I34" s="273"/>
      <c r="J34" s="273"/>
      <c r="K34" s="273"/>
      <c r="L34" s="273"/>
      <c r="M34" s="273"/>
      <c r="N34" s="84"/>
      <c r="O34" s="165"/>
      <c r="P34" s="165"/>
      <c r="Q34" s="165"/>
      <c r="R34" s="165"/>
      <c r="S34" s="52">
        <f>S29</f>
        <v>40346000</v>
      </c>
      <c r="T34" s="169" t="s">
        <v>71</v>
      </c>
      <c r="U34" s="172" t="s">
        <v>69</v>
      </c>
      <c r="V34" s="448">
        <v>0.09</v>
      </c>
      <c r="W34" s="169" t="s">
        <v>313</v>
      </c>
      <c r="X34" s="438">
        <v>2</v>
      </c>
      <c r="Y34" s="170"/>
      <c r="Z34" s="170"/>
      <c r="AA34" s="169" t="s">
        <v>67</v>
      </c>
      <c r="AB34" s="52" t="s">
        <v>309</v>
      </c>
      <c r="AC34" s="63"/>
      <c r="AD34" s="63">
        <f>ROUNDUP(S34*V34/X34,-3)</f>
        <v>1816000</v>
      </c>
      <c r="AE34" s="147" t="s">
        <v>71</v>
      </c>
      <c r="AF34" s="35"/>
    </row>
    <row r="35" spans="1:32" s="40" customFormat="1" ht="21" customHeight="1">
      <c r="A35" s="108"/>
      <c r="B35" s="60"/>
      <c r="C35" s="60"/>
      <c r="D35" s="274"/>
      <c r="E35" s="273"/>
      <c r="F35" s="273"/>
      <c r="G35" s="273"/>
      <c r="H35" s="273"/>
      <c r="I35" s="273"/>
      <c r="J35" s="273"/>
      <c r="K35" s="273"/>
      <c r="L35" s="273"/>
      <c r="M35" s="273"/>
      <c r="N35" s="84"/>
      <c r="O35" s="165"/>
      <c r="P35" s="165"/>
      <c r="Q35" s="165"/>
      <c r="R35" s="165"/>
      <c r="S35" s="52"/>
      <c r="T35" s="169"/>
      <c r="U35" s="172"/>
      <c r="V35" s="431"/>
      <c r="W35" s="169"/>
      <c r="X35" s="438"/>
      <c r="Y35" s="170"/>
      <c r="Z35" s="170"/>
      <c r="AA35" s="169"/>
      <c r="AB35" s="52"/>
      <c r="AC35" s="63"/>
      <c r="AD35" s="63"/>
      <c r="AE35" s="147"/>
      <c r="AF35" s="35"/>
    </row>
    <row r="36" spans="1:32" s="40" customFormat="1" ht="21" customHeight="1">
      <c r="A36" s="108"/>
      <c r="B36" s="60"/>
      <c r="C36" s="60"/>
      <c r="D36" s="274"/>
      <c r="E36" s="273"/>
      <c r="F36" s="273"/>
      <c r="G36" s="273"/>
      <c r="H36" s="273"/>
      <c r="I36" s="273"/>
      <c r="J36" s="273"/>
      <c r="K36" s="273"/>
      <c r="L36" s="273"/>
      <c r="M36" s="273"/>
      <c r="N36" s="84"/>
      <c r="O36" s="203" t="s">
        <v>314</v>
      </c>
      <c r="P36" s="165"/>
      <c r="Q36" s="165"/>
      <c r="R36" s="165"/>
      <c r="S36" s="165"/>
      <c r="T36" s="52"/>
      <c r="U36" s="52"/>
      <c r="V36" s="435"/>
      <c r="W36" s="209" t="s">
        <v>308</v>
      </c>
      <c r="X36" s="209"/>
      <c r="Y36" s="209"/>
      <c r="Z36" s="209"/>
      <c r="AA36" s="209"/>
      <c r="AB36" s="209"/>
      <c r="AC36" s="202" t="s">
        <v>306</v>
      </c>
      <c r="AD36" s="202">
        <f>ROUND(SUM(AD37:AD37),-3)</f>
        <v>1346000</v>
      </c>
      <c r="AE36" s="201" t="s">
        <v>71</v>
      </c>
      <c r="AF36" s="35"/>
    </row>
    <row r="37" spans="1:32" s="40" customFormat="1" ht="21" customHeight="1">
      <c r="A37" s="108"/>
      <c r="B37" s="60"/>
      <c r="C37" s="60"/>
      <c r="D37" s="274"/>
      <c r="E37" s="273"/>
      <c r="F37" s="273"/>
      <c r="G37" s="273"/>
      <c r="H37" s="273"/>
      <c r="I37" s="273"/>
      <c r="J37" s="273"/>
      <c r="K37" s="273"/>
      <c r="L37" s="273"/>
      <c r="M37" s="273"/>
      <c r="N37" s="84"/>
      <c r="O37" s="165"/>
      <c r="P37" s="165"/>
      <c r="Q37" s="165"/>
      <c r="R37" s="165"/>
      <c r="S37" s="52">
        <f>S34</f>
        <v>40346000</v>
      </c>
      <c r="T37" s="169" t="s">
        <v>71</v>
      </c>
      <c r="U37" s="172" t="s">
        <v>69</v>
      </c>
      <c r="V37" s="434">
        <v>6.6699999999999995E-2</v>
      </c>
      <c r="W37" s="169" t="s">
        <v>313</v>
      </c>
      <c r="X37" s="437">
        <v>2</v>
      </c>
      <c r="Y37" s="170"/>
      <c r="Z37" s="170"/>
      <c r="AA37" s="169" t="s">
        <v>67</v>
      </c>
      <c r="AB37" s="52" t="s">
        <v>309</v>
      </c>
      <c r="AC37" s="63"/>
      <c r="AD37" s="63">
        <f>ROUNDUP(S37*V37/X37,-3)</f>
        <v>1346000</v>
      </c>
      <c r="AE37" s="147" t="s">
        <v>71</v>
      </c>
      <c r="AF37" s="35"/>
    </row>
    <row r="38" spans="1:32" s="40" customFormat="1" ht="21" customHeight="1">
      <c r="A38" s="108"/>
      <c r="B38" s="60"/>
      <c r="C38" s="60"/>
      <c r="D38" s="274"/>
      <c r="E38" s="273"/>
      <c r="F38" s="273"/>
      <c r="G38" s="273"/>
      <c r="H38" s="273"/>
      <c r="I38" s="273"/>
      <c r="J38" s="273"/>
      <c r="K38" s="273"/>
      <c r="L38" s="273"/>
      <c r="M38" s="273"/>
      <c r="N38" s="84"/>
      <c r="O38" s="165"/>
      <c r="P38" s="165"/>
      <c r="Q38" s="165"/>
      <c r="R38" s="165"/>
      <c r="S38" s="52"/>
      <c r="T38" s="169"/>
      <c r="U38" s="172"/>
      <c r="V38" s="431"/>
      <c r="W38" s="169"/>
      <c r="X38" s="437"/>
      <c r="Y38" s="170"/>
      <c r="Z38" s="170"/>
      <c r="AA38" s="169"/>
      <c r="AB38" s="52"/>
      <c r="AC38" s="63"/>
      <c r="AD38" s="63"/>
      <c r="AE38" s="147"/>
      <c r="AF38" s="35"/>
    </row>
    <row r="39" spans="1:32" s="40" customFormat="1" ht="21" customHeight="1">
      <c r="A39" s="108"/>
      <c r="B39" s="60"/>
      <c r="C39" s="60"/>
      <c r="D39" s="274"/>
      <c r="E39" s="273"/>
      <c r="F39" s="273"/>
      <c r="G39" s="273"/>
      <c r="H39" s="273"/>
      <c r="I39" s="273"/>
      <c r="J39" s="273"/>
      <c r="K39" s="273"/>
      <c r="L39" s="273"/>
      <c r="M39" s="273"/>
      <c r="N39" s="84"/>
      <c r="O39" s="203" t="s">
        <v>312</v>
      </c>
      <c r="P39" s="165"/>
      <c r="Q39" s="165"/>
      <c r="R39" s="165"/>
      <c r="S39" s="165"/>
      <c r="T39" s="52"/>
      <c r="U39" s="52"/>
      <c r="V39" s="435"/>
      <c r="W39" s="209" t="s">
        <v>308</v>
      </c>
      <c r="X39" s="209"/>
      <c r="Y39" s="209"/>
      <c r="Z39" s="209"/>
      <c r="AA39" s="209"/>
      <c r="AB39" s="209"/>
      <c r="AC39" s="202" t="s">
        <v>306</v>
      </c>
      <c r="AD39" s="202">
        <f>ROUNDUP(SUM(AD40:AD40),-3)</f>
        <v>138000</v>
      </c>
      <c r="AE39" s="201" t="s">
        <v>71</v>
      </c>
      <c r="AF39" s="35"/>
    </row>
    <row r="40" spans="1:32" s="40" customFormat="1" ht="21" customHeight="1">
      <c r="A40" s="108"/>
      <c r="B40" s="60"/>
      <c r="C40" s="60"/>
      <c r="D40" s="274"/>
      <c r="E40" s="273"/>
      <c r="F40" s="273"/>
      <c r="G40" s="273"/>
      <c r="H40" s="273"/>
      <c r="I40" s="273"/>
      <c r="J40" s="273"/>
      <c r="K40" s="273"/>
      <c r="L40" s="273"/>
      <c r="M40" s="273"/>
      <c r="N40" s="84"/>
      <c r="O40" s="165"/>
      <c r="P40" s="165"/>
      <c r="Q40" s="165"/>
      <c r="R40" s="165"/>
      <c r="S40" s="436">
        <f>AD37</f>
        <v>1346000</v>
      </c>
      <c r="T40" s="169" t="s">
        <v>71</v>
      </c>
      <c r="U40" s="172" t="s">
        <v>69</v>
      </c>
      <c r="V40" s="434">
        <v>0.10249999999999999</v>
      </c>
      <c r="W40" s="172"/>
      <c r="X40" s="428"/>
      <c r="Y40" s="170"/>
      <c r="Z40" s="170"/>
      <c r="AA40" s="169" t="s">
        <v>67</v>
      </c>
      <c r="AB40" s="52" t="s">
        <v>309</v>
      </c>
      <c r="AC40" s="63"/>
      <c r="AD40" s="63">
        <f>ROUNDUP(S40*V40,-3)</f>
        <v>138000</v>
      </c>
      <c r="AE40" s="147" t="s">
        <v>71</v>
      </c>
      <c r="AF40" s="35"/>
    </row>
    <row r="41" spans="1:32" s="40" customFormat="1" ht="21" customHeight="1">
      <c r="A41" s="108"/>
      <c r="B41" s="60"/>
      <c r="C41" s="60"/>
      <c r="D41" s="274"/>
      <c r="E41" s="273"/>
      <c r="F41" s="273"/>
      <c r="G41" s="273"/>
      <c r="H41" s="273"/>
      <c r="I41" s="273"/>
      <c r="J41" s="273"/>
      <c r="K41" s="273"/>
      <c r="L41" s="273"/>
      <c r="M41" s="273"/>
      <c r="N41" s="84"/>
      <c r="O41" s="165"/>
      <c r="P41" s="165"/>
      <c r="Q41" s="165"/>
      <c r="R41" s="165"/>
      <c r="S41" s="436"/>
      <c r="T41" s="169"/>
      <c r="U41" s="172"/>
      <c r="V41" s="431"/>
      <c r="W41" s="172"/>
      <c r="X41" s="428"/>
      <c r="Y41" s="170"/>
      <c r="Z41" s="170"/>
      <c r="AA41" s="169"/>
      <c r="AB41" s="52"/>
      <c r="AC41" s="63"/>
      <c r="AD41" s="63"/>
      <c r="AE41" s="147"/>
      <c r="AF41" s="35"/>
    </row>
    <row r="42" spans="1:32" s="40" customFormat="1" ht="21" customHeight="1">
      <c r="A42" s="108"/>
      <c r="B42" s="60"/>
      <c r="C42" s="60"/>
      <c r="D42" s="274"/>
      <c r="E42" s="273"/>
      <c r="F42" s="273"/>
      <c r="G42" s="273"/>
      <c r="H42" s="273"/>
      <c r="I42" s="273"/>
      <c r="J42" s="273"/>
      <c r="K42" s="273"/>
      <c r="L42" s="273"/>
      <c r="M42" s="273"/>
      <c r="N42" s="84"/>
      <c r="O42" s="203" t="s">
        <v>311</v>
      </c>
      <c r="P42" s="165"/>
      <c r="Q42" s="165"/>
      <c r="R42" s="165"/>
      <c r="S42" s="52"/>
      <c r="T42" s="52"/>
      <c r="U42" s="52"/>
      <c r="V42" s="435"/>
      <c r="W42" s="209" t="s">
        <v>308</v>
      </c>
      <c r="X42" s="209"/>
      <c r="Y42" s="209"/>
      <c r="Z42" s="209"/>
      <c r="AA42" s="209"/>
      <c r="AB42" s="209"/>
      <c r="AC42" s="202" t="s">
        <v>306</v>
      </c>
      <c r="AD42" s="202">
        <f>ROUND(SUM(AD43:AD43),-3)</f>
        <v>424000</v>
      </c>
      <c r="AE42" s="201" t="s">
        <v>71</v>
      </c>
      <c r="AF42" s="35"/>
    </row>
    <row r="43" spans="1:32" s="40" customFormat="1" ht="21" customHeight="1">
      <c r="A43" s="108"/>
      <c r="B43" s="60"/>
      <c r="C43" s="60"/>
      <c r="D43" s="274"/>
      <c r="E43" s="273"/>
      <c r="F43" s="273"/>
      <c r="G43" s="273"/>
      <c r="H43" s="273"/>
      <c r="I43" s="273"/>
      <c r="J43" s="273"/>
      <c r="K43" s="273"/>
      <c r="L43" s="273"/>
      <c r="M43" s="273"/>
      <c r="N43" s="84"/>
      <c r="O43" s="165"/>
      <c r="P43" s="165"/>
      <c r="Q43" s="165"/>
      <c r="R43" s="165"/>
      <c r="S43" s="52">
        <f>S37</f>
        <v>40346000</v>
      </c>
      <c r="T43" s="169" t="s">
        <v>71</v>
      </c>
      <c r="U43" s="172" t="s">
        <v>69</v>
      </c>
      <c r="V43" s="434">
        <v>1.0500000000000001E-2</v>
      </c>
      <c r="W43" s="172"/>
      <c r="X43" s="428"/>
      <c r="Y43" s="170"/>
      <c r="Z43" s="170"/>
      <c r="AA43" s="169" t="s">
        <v>67</v>
      </c>
      <c r="AB43" s="52" t="s">
        <v>309</v>
      </c>
      <c r="AC43" s="63"/>
      <c r="AD43" s="63">
        <f>ROUNDUP(S43*V43,-3)</f>
        <v>424000</v>
      </c>
      <c r="AE43" s="147" t="s">
        <v>71</v>
      </c>
      <c r="AF43" s="35"/>
    </row>
    <row r="44" spans="1:32" s="40" customFormat="1" ht="21" customHeight="1">
      <c r="A44" s="108"/>
      <c r="B44" s="60"/>
      <c r="C44" s="60"/>
      <c r="D44" s="274"/>
      <c r="E44" s="273"/>
      <c r="F44" s="273"/>
      <c r="G44" s="273"/>
      <c r="H44" s="273"/>
      <c r="I44" s="273"/>
      <c r="J44" s="273"/>
      <c r="K44" s="273"/>
      <c r="L44" s="273"/>
      <c r="M44" s="273"/>
      <c r="N44" s="84"/>
      <c r="O44" s="165"/>
      <c r="P44" s="165"/>
      <c r="Q44" s="165"/>
      <c r="R44" s="165"/>
      <c r="S44" s="52"/>
      <c r="T44" s="169"/>
      <c r="U44" s="172"/>
      <c r="V44" s="431"/>
      <c r="W44" s="172"/>
      <c r="X44" s="428"/>
      <c r="Y44" s="170"/>
      <c r="Z44" s="170"/>
      <c r="AA44" s="169"/>
      <c r="AB44" s="52"/>
      <c r="AC44" s="63"/>
      <c r="AD44" s="63"/>
      <c r="AE44" s="147"/>
      <c r="AF44" s="35"/>
    </row>
    <row r="45" spans="1:32" s="40" customFormat="1" ht="21" customHeight="1">
      <c r="A45" s="108"/>
      <c r="B45" s="60"/>
      <c r="C45" s="60"/>
      <c r="D45" s="274"/>
      <c r="E45" s="273"/>
      <c r="F45" s="273"/>
      <c r="G45" s="273"/>
      <c r="H45" s="273"/>
      <c r="I45" s="273"/>
      <c r="J45" s="273"/>
      <c r="K45" s="273"/>
      <c r="L45" s="273"/>
      <c r="M45" s="273"/>
      <c r="N45" s="84"/>
      <c r="O45" s="325" t="s">
        <v>310</v>
      </c>
      <c r="P45" s="188"/>
      <c r="Q45" s="188"/>
      <c r="R45" s="188"/>
      <c r="S45" s="188"/>
      <c r="T45" s="186"/>
      <c r="U45" s="186"/>
      <c r="V45" s="433"/>
      <c r="W45" s="324" t="s">
        <v>308</v>
      </c>
      <c r="X45" s="324"/>
      <c r="Y45" s="324"/>
      <c r="Z45" s="324"/>
      <c r="AA45" s="324"/>
      <c r="AB45" s="324"/>
      <c r="AC45" s="323" t="s">
        <v>306</v>
      </c>
      <c r="AD45" s="323">
        <f>ROUND(SUM(AD46:AD46),-3)</f>
        <v>303000</v>
      </c>
      <c r="AE45" s="321" t="s">
        <v>71</v>
      </c>
      <c r="AF45" s="35"/>
    </row>
    <row r="46" spans="1:32" s="40" customFormat="1" ht="21" customHeight="1">
      <c r="A46" s="108"/>
      <c r="B46" s="60"/>
      <c r="C46" s="60"/>
      <c r="D46" s="274"/>
      <c r="E46" s="273"/>
      <c r="F46" s="273"/>
      <c r="G46" s="273"/>
      <c r="H46" s="273"/>
      <c r="I46" s="273"/>
      <c r="J46" s="273"/>
      <c r="K46" s="273"/>
      <c r="L46" s="273"/>
      <c r="M46" s="273"/>
      <c r="N46" s="84"/>
      <c r="O46" s="188"/>
      <c r="P46" s="188"/>
      <c r="Q46" s="188"/>
      <c r="R46" s="188"/>
      <c r="S46" s="186">
        <f>S43</f>
        <v>40346000</v>
      </c>
      <c r="T46" s="180" t="s">
        <v>71</v>
      </c>
      <c r="U46" s="182" t="s">
        <v>69</v>
      </c>
      <c r="V46" s="432">
        <v>7.4999999999999997E-3</v>
      </c>
      <c r="W46" s="182"/>
      <c r="X46" s="429"/>
      <c r="Y46" s="89"/>
      <c r="Z46" s="89"/>
      <c r="AA46" s="180" t="s">
        <v>67</v>
      </c>
      <c r="AB46" s="186" t="s">
        <v>309</v>
      </c>
      <c r="AC46" s="155"/>
      <c r="AD46" s="155">
        <f>ROUNDUP(S46*V46,-3)</f>
        <v>303000</v>
      </c>
      <c r="AE46" s="179" t="s">
        <v>71</v>
      </c>
      <c r="AF46" s="35"/>
    </row>
    <row r="47" spans="1:32" s="40" customFormat="1" ht="21" customHeight="1">
      <c r="A47" s="108"/>
      <c r="B47" s="60"/>
      <c r="C47" s="60"/>
      <c r="D47" s="274"/>
      <c r="E47" s="273"/>
      <c r="F47" s="273"/>
      <c r="G47" s="273"/>
      <c r="H47" s="273"/>
      <c r="I47" s="273"/>
      <c r="J47" s="273"/>
      <c r="K47" s="273"/>
      <c r="L47" s="273"/>
      <c r="M47" s="273"/>
      <c r="N47" s="84"/>
      <c r="O47" s="165"/>
      <c r="P47" s="165"/>
      <c r="Q47" s="165"/>
      <c r="R47" s="165"/>
      <c r="S47" s="52"/>
      <c r="T47" s="169"/>
      <c r="U47" s="172"/>
      <c r="V47" s="431"/>
      <c r="W47" s="172"/>
      <c r="X47" s="428"/>
      <c r="Y47" s="170"/>
      <c r="Z47" s="170"/>
      <c r="AA47" s="169"/>
      <c r="AB47" s="52"/>
      <c r="AC47" s="63"/>
      <c r="AD47" s="63"/>
      <c r="AE47" s="147"/>
      <c r="AF47" s="35"/>
    </row>
    <row r="48" spans="1:32" s="40" customFormat="1" ht="21" customHeight="1">
      <c r="A48" s="108"/>
      <c r="B48" s="60"/>
      <c r="C48" s="60"/>
      <c r="D48" s="274"/>
      <c r="E48" s="273"/>
      <c r="F48" s="273"/>
      <c r="G48" s="273"/>
      <c r="H48" s="273"/>
      <c r="I48" s="273"/>
      <c r="J48" s="273"/>
      <c r="K48" s="273"/>
      <c r="L48" s="273"/>
      <c r="M48" s="273"/>
      <c r="N48" s="84"/>
      <c r="O48" s="203" t="s">
        <v>360</v>
      </c>
      <c r="P48" s="165"/>
      <c r="Q48" s="165"/>
      <c r="R48" s="165"/>
      <c r="S48" s="165"/>
      <c r="T48" s="52"/>
      <c r="U48" s="52"/>
      <c r="V48" s="52"/>
      <c r="W48" s="209" t="s">
        <v>308</v>
      </c>
      <c r="X48" s="209"/>
      <c r="Y48" s="209"/>
      <c r="Z48" s="209"/>
      <c r="AA48" s="209"/>
      <c r="AB48" s="209" t="s">
        <v>307</v>
      </c>
      <c r="AC48" s="202" t="s">
        <v>306</v>
      </c>
      <c r="AD48" s="202">
        <v>0</v>
      </c>
      <c r="AE48" s="201" t="s">
        <v>71</v>
      </c>
      <c r="AF48" s="35"/>
    </row>
    <row r="49" spans="1:32" s="40" customFormat="1" ht="21" customHeight="1">
      <c r="A49" s="108"/>
      <c r="B49" s="60"/>
      <c r="C49" s="60"/>
      <c r="D49" s="274"/>
      <c r="E49" s="273"/>
      <c r="F49" s="273"/>
      <c r="G49" s="273"/>
      <c r="H49" s="273"/>
      <c r="I49" s="273"/>
      <c r="J49" s="273"/>
      <c r="K49" s="273"/>
      <c r="L49" s="273"/>
      <c r="M49" s="273"/>
      <c r="N49" s="84"/>
      <c r="O49" s="165"/>
      <c r="P49" s="165"/>
      <c r="Q49" s="165"/>
      <c r="R49" s="165"/>
      <c r="S49" s="165"/>
      <c r="T49" s="52"/>
      <c r="U49" s="52"/>
      <c r="V49" s="52"/>
      <c r="W49" s="52"/>
      <c r="X49" s="52"/>
      <c r="Y49" s="52"/>
      <c r="Z49" s="52"/>
      <c r="AA49" s="52"/>
      <c r="AB49" s="52"/>
      <c r="AC49" s="63"/>
      <c r="AD49" s="63"/>
      <c r="AE49" s="147"/>
      <c r="AF49" s="35"/>
    </row>
    <row r="50" spans="1:32" s="40" customFormat="1" ht="21" customHeight="1">
      <c r="A50" s="108"/>
      <c r="B50" s="60"/>
      <c r="C50" s="60"/>
      <c r="D50" s="274"/>
      <c r="E50" s="273"/>
      <c r="F50" s="273"/>
      <c r="G50" s="273"/>
      <c r="H50" s="273"/>
      <c r="I50" s="273"/>
      <c r="J50" s="273"/>
      <c r="K50" s="273"/>
      <c r="L50" s="273"/>
      <c r="M50" s="273"/>
      <c r="N50" s="84"/>
      <c r="O50" s="165"/>
      <c r="P50" s="165"/>
      <c r="Q50" s="165"/>
      <c r="R50" s="165"/>
      <c r="S50" s="165"/>
      <c r="T50" s="52"/>
      <c r="U50" s="52"/>
      <c r="V50" s="52"/>
      <c r="W50" s="52"/>
      <c r="X50" s="52"/>
      <c r="Y50" s="52"/>
      <c r="Z50" s="52"/>
      <c r="AA50" s="52"/>
      <c r="AB50" s="52"/>
      <c r="AC50" s="63"/>
      <c r="AD50" s="63"/>
      <c r="AE50" s="147"/>
      <c r="AF50" s="35"/>
    </row>
    <row r="51" spans="1:32" s="40" customFormat="1" ht="21" customHeight="1">
      <c r="A51" s="108"/>
      <c r="B51" s="60"/>
      <c r="C51" s="82" t="s">
        <v>305</v>
      </c>
      <c r="D51" s="312">
        <v>585</v>
      </c>
      <c r="E51" s="280">
        <f>AD51/1000</f>
        <v>395</v>
      </c>
      <c r="F51" s="280">
        <v>0</v>
      </c>
      <c r="G51" s="280">
        <f>SUMIF($AB$52:$AB$56,"7종",$AD$52:$AD$56)/1000</f>
        <v>0</v>
      </c>
      <c r="H51" s="280">
        <f>SUMIF($AB$52:$AB$56,"시비",$AD$52:$AD$56)/1000</f>
        <v>300</v>
      </c>
      <c r="I51" s="280">
        <f>SUMIF($AB$52:$AB$56,"후원",$AD$52:$AD$56)/1000</f>
        <v>0</v>
      </c>
      <c r="J51" s="280">
        <f>SUMIF($AB$52:$AB$56,"입소",$AD$52:$AD$56)/1000</f>
        <v>0</v>
      </c>
      <c r="K51" s="280">
        <f>SUMIF($AB$52:$AB$56,"법인",$AD$52:$AD$56)/1000</f>
        <v>0</v>
      </c>
      <c r="L51" s="280">
        <f>SUMIF($AB$52:$AB$56,"잡수",$AD$52:$AD$56)/1000</f>
        <v>95</v>
      </c>
      <c r="M51" s="311">
        <f>E51-D51</f>
        <v>-190</v>
      </c>
      <c r="N51" s="167">
        <f>IF(D51=0,0,M51/D51)</f>
        <v>-0.3247863247863248</v>
      </c>
      <c r="O51" s="351" t="s">
        <v>304</v>
      </c>
      <c r="P51" s="357"/>
      <c r="Q51" s="309"/>
      <c r="R51" s="309"/>
      <c r="S51" s="350"/>
      <c r="T51" s="349"/>
      <c r="U51" s="349"/>
      <c r="V51" s="349"/>
      <c r="W51" s="348" t="s">
        <v>158</v>
      </c>
      <c r="X51" s="348"/>
      <c r="Y51" s="348"/>
      <c r="Z51" s="348"/>
      <c r="AA51" s="348"/>
      <c r="AB51" s="348"/>
      <c r="AC51" s="347"/>
      <c r="AD51" s="347">
        <f>SUM(AD52:AD55)</f>
        <v>395000</v>
      </c>
      <c r="AE51" s="346" t="s">
        <v>71</v>
      </c>
      <c r="AF51" s="140"/>
    </row>
    <row r="52" spans="1:32" s="40" customFormat="1" ht="21" customHeight="1">
      <c r="A52" s="108"/>
      <c r="B52" s="60"/>
      <c r="C52" s="60" t="s">
        <v>303</v>
      </c>
      <c r="D52" s="274"/>
      <c r="E52" s="273"/>
      <c r="F52" s="273"/>
      <c r="G52" s="273"/>
      <c r="H52" s="273"/>
      <c r="I52" s="273"/>
      <c r="J52" s="273"/>
      <c r="K52" s="273"/>
      <c r="L52" s="273"/>
      <c r="M52" s="273"/>
      <c r="N52" s="84"/>
      <c r="O52" s="188" t="s">
        <v>302</v>
      </c>
      <c r="P52" s="188"/>
      <c r="Q52" s="188"/>
      <c r="R52" s="188"/>
      <c r="S52" s="52">
        <v>300000</v>
      </c>
      <c r="T52" s="180" t="s">
        <v>66</v>
      </c>
      <c r="U52" s="182" t="s">
        <v>131</v>
      </c>
      <c r="V52" s="430">
        <v>1</v>
      </c>
      <c r="W52" s="182" t="s">
        <v>147</v>
      </c>
      <c r="X52" s="429"/>
      <c r="Y52" s="89"/>
      <c r="Z52" s="89"/>
      <c r="AA52" s="180" t="s">
        <v>129</v>
      </c>
      <c r="AB52" s="186" t="s">
        <v>196</v>
      </c>
      <c r="AC52" s="155"/>
      <c r="AD52" s="155">
        <f>ROUNDUP(S52*V52,-3)</f>
        <v>300000</v>
      </c>
      <c r="AE52" s="179" t="s">
        <v>66</v>
      </c>
      <c r="AF52" s="35"/>
    </row>
    <row r="53" spans="1:32" s="40" customFormat="1" ht="21" customHeight="1">
      <c r="A53" s="108"/>
      <c r="B53" s="60"/>
      <c r="C53" s="60"/>
      <c r="D53" s="274"/>
      <c r="E53" s="273"/>
      <c r="F53" s="273"/>
      <c r="G53" s="273"/>
      <c r="H53" s="273"/>
      <c r="I53" s="273"/>
      <c r="J53" s="273"/>
      <c r="K53" s="273"/>
      <c r="L53" s="273"/>
      <c r="M53" s="273"/>
      <c r="N53" s="84"/>
      <c r="O53" s="188" t="s">
        <v>301</v>
      </c>
      <c r="P53" s="188"/>
      <c r="Q53" s="188"/>
      <c r="R53" s="188"/>
      <c r="S53" s="52">
        <v>50000</v>
      </c>
      <c r="T53" s="180" t="s">
        <v>66</v>
      </c>
      <c r="U53" s="182" t="s">
        <v>131</v>
      </c>
      <c r="V53" s="430">
        <v>1</v>
      </c>
      <c r="W53" s="182" t="s">
        <v>147</v>
      </c>
      <c r="X53" s="429"/>
      <c r="Y53" s="89"/>
      <c r="Z53" s="89"/>
      <c r="AA53" s="180"/>
      <c r="AB53" s="186" t="s">
        <v>181</v>
      </c>
      <c r="AC53" s="155"/>
      <c r="AD53" s="155">
        <f>ROUNDUP(S53*V53,-3)</f>
        <v>50000</v>
      </c>
      <c r="AE53" s="179" t="s">
        <v>66</v>
      </c>
      <c r="AF53" s="426"/>
    </row>
    <row r="54" spans="1:32" s="40" customFormat="1" ht="21" customHeight="1">
      <c r="A54" s="108"/>
      <c r="B54" s="60"/>
      <c r="C54" s="60"/>
      <c r="D54" s="274"/>
      <c r="E54" s="273"/>
      <c r="F54" s="273"/>
      <c r="G54" s="273"/>
      <c r="H54" s="273"/>
      <c r="I54" s="273"/>
      <c r="J54" s="273"/>
      <c r="K54" s="273"/>
      <c r="L54" s="273"/>
      <c r="M54" s="273"/>
      <c r="N54" s="84"/>
      <c r="O54" s="165" t="s">
        <v>300</v>
      </c>
      <c r="P54" s="165"/>
      <c r="Q54" s="165"/>
      <c r="R54" s="165"/>
      <c r="S54" s="52">
        <v>25000</v>
      </c>
      <c r="T54" s="169" t="s">
        <v>71</v>
      </c>
      <c r="U54" s="172" t="s">
        <v>69</v>
      </c>
      <c r="V54" s="148">
        <v>1</v>
      </c>
      <c r="W54" s="172" t="s">
        <v>147</v>
      </c>
      <c r="X54" s="428"/>
      <c r="Y54" s="170"/>
      <c r="Z54" s="170"/>
      <c r="AA54" s="169" t="s">
        <v>67</v>
      </c>
      <c r="AB54" s="52" t="s">
        <v>181</v>
      </c>
      <c r="AC54" s="63"/>
      <c r="AD54" s="63">
        <f>ROUNDUP(S54*V54,-3)</f>
        <v>25000</v>
      </c>
      <c r="AE54" s="147" t="s">
        <v>71</v>
      </c>
      <c r="AF54" s="426"/>
    </row>
    <row r="55" spans="1:32" s="40" customFormat="1" ht="21" customHeight="1">
      <c r="A55" s="108"/>
      <c r="B55" s="60"/>
      <c r="C55" s="60"/>
      <c r="D55" s="274"/>
      <c r="E55" s="273"/>
      <c r="F55" s="273"/>
      <c r="G55" s="273"/>
      <c r="H55" s="273"/>
      <c r="I55" s="273"/>
      <c r="J55" s="273"/>
      <c r="K55" s="273"/>
      <c r="L55" s="273"/>
      <c r="M55" s="273"/>
      <c r="N55" s="84"/>
      <c r="O55" s="165" t="s">
        <v>299</v>
      </c>
      <c r="P55" s="165"/>
      <c r="Q55" s="165"/>
      <c r="R55" s="165"/>
      <c r="S55" s="52">
        <v>20000</v>
      </c>
      <c r="T55" s="169" t="s">
        <v>66</v>
      </c>
      <c r="U55" s="172" t="s">
        <v>131</v>
      </c>
      <c r="V55" s="148">
        <v>1</v>
      </c>
      <c r="W55" s="172" t="s">
        <v>147</v>
      </c>
      <c r="X55" s="428" t="s">
        <v>69</v>
      </c>
      <c r="Y55" s="170">
        <v>1</v>
      </c>
      <c r="Z55" s="427" t="s">
        <v>208</v>
      </c>
      <c r="AA55" s="169" t="s">
        <v>129</v>
      </c>
      <c r="AB55" s="52" t="s">
        <v>181</v>
      </c>
      <c r="AC55" s="63"/>
      <c r="AD55" s="63">
        <f>ROUNDUP(S55*V55*Y55,-3)</f>
        <v>20000</v>
      </c>
      <c r="AE55" s="147" t="s">
        <v>66</v>
      </c>
      <c r="AF55" s="426"/>
    </row>
    <row r="56" spans="1:32" s="40" customFormat="1" ht="21" customHeight="1">
      <c r="A56" s="108"/>
      <c r="B56" s="129"/>
      <c r="C56" s="129"/>
      <c r="D56" s="301"/>
      <c r="E56" s="300"/>
      <c r="F56" s="300"/>
      <c r="G56" s="300"/>
      <c r="H56" s="300"/>
      <c r="I56" s="300"/>
      <c r="J56" s="300"/>
      <c r="K56" s="300"/>
      <c r="L56" s="300"/>
      <c r="M56" s="300"/>
      <c r="N56" s="126"/>
      <c r="O56" s="325"/>
      <c r="P56" s="325"/>
      <c r="Q56" s="325"/>
      <c r="R56" s="325"/>
      <c r="S56" s="209"/>
      <c r="T56" s="425"/>
      <c r="U56" s="425"/>
      <c r="V56" s="425"/>
      <c r="W56" s="324"/>
      <c r="X56" s="425"/>
      <c r="Y56" s="425"/>
      <c r="Z56" s="425"/>
      <c r="AA56" s="324"/>
      <c r="AB56" s="425"/>
      <c r="AC56" s="425"/>
      <c r="AD56" s="324"/>
      <c r="AE56" s="365"/>
      <c r="AF56" s="35"/>
    </row>
    <row r="57" spans="1:32" s="40" customFormat="1" ht="21" customHeight="1">
      <c r="A57" s="108"/>
      <c r="B57" s="60" t="s">
        <v>298</v>
      </c>
      <c r="C57" s="60" t="s">
        <v>287</v>
      </c>
      <c r="D57" s="273">
        <v>240</v>
      </c>
      <c r="E57" s="273">
        <f t="shared" ref="E57:L57" si="3">SUM(E58,E60,E62)</f>
        <v>120</v>
      </c>
      <c r="F57" s="273">
        <f t="shared" si="3"/>
        <v>50</v>
      </c>
      <c r="G57" s="273">
        <f t="shared" si="3"/>
        <v>0</v>
      </c>
      <c r="H57" s="273">
        <f t="shared" si="3"/>
        <v>0</v>
      </c>
      <c r="I57" s="273">
        <f t="shared" si="3"/>
        <v>0</v>
      </c>
      <c r="J57" s="273">
        <f t="shared" si="3"/>
        <v>0</v>
      </c>
      <c r="K57" s="273">
        <f t="shared" si="3"/>
        <v>0</v>
      </c>
      <c r="L57" s="273">
        <f t="shared" si="3"/>
        <v>70</v>
      </c>
      <c r="M57" s="273">
        <f>E57-D57</f>
        <v>-120</v>
      </c>
      <c r="N57" s="84">
        <f>IF(D57=0,0,M57/D57)</f>
        <v>-0.5</v>
      </c>
      <c r="O57" s="303" t="s">
        <v>61</v>
      </c>
      <c r="P57" s="303"/>
      <c r="Q57" s="303"/>
      <c r="R57" s="303"/>
      <c r="S57" s="387"/>
      <c r="T57" s="405"/>
      <c r="U57" s="405"/>
      <c r="V57" s="405"/>
      <c r="W57" s="349"/>
      <c r="X57" s="349"/>
      <c r="Y57" s="349"/>
      <c r="Z57" s="349"/>
      <c r="AA57" s="349"/>
      <c r="AB57" s="349"/>
      <c r="AC57" s="424"/>
      <c r="AD57" s="424">
        <f>SUM(AD58,AD60,AD62)</f>
        <v>120000</v>
      </c>
      <c r="AE57" s="423" t="s">
        <v>71</v>
      </c>
      <c r="AF57" s="260"/>
    </row>
    <row r="58" spans="1:32" s="40" customFormat="1" ht="21" customHeight="1">
      <c r="A58" s="108"/>
      <c r="B58" s="60" t="s">
        <v>297</v>
      </c>
      <c r="C58" s="82" t="s">
        <v>296</v>
      </c>
      <c r="D58" s="312">
        <v>0</v>
      </c>
      <c r="E58" s="280">
        <f>AD58/1000</f>
        <v>0</v>
      </c>
      <c r="F58" s="311">
        <f>SUMIF($AB$59:$AB$59,"보조",$AD$59:$AD$59)/1000</f>
        <v>0</v>
      </c>
      <c r="G58" s="311">
        <f>SUMIF($AB$59:$AB$59,"7종",$AD$59:$AD$59)/1000</f>
        <v>0</v>
      </c>
      <c r="H58" s="311">
        <f>SUMIF($AB$59:$AB$59,"시비",$AD$59:$AD$59)/1000</f>
        <v>0</v>
      </c>
      <c r="I58" s="311">
        <f>SUMIF($AB$59:$AB$59,"후원",$AD$59:$AD$59)/1000</f>
        <v>0</v>
      </c>
      <c r="J58" s="311">
        <f>SUMIF($AB$59:$AB$59,"입소",$AD$59:$AD$59)/1000</f>
        <v>0</v>
      </c>
      <c r="K58" s="311">
        <f>SUMIF($AB$59:$AB$59,"법인",$AD$59:$AD$59)/1000</f>
        <v>0</v>
      </c>
      <c r="L58" s="311">
        <f>SUMIF($AB$59:$AB$59,"잡수",$AD$59:$AD$59)/1000</f>
        <v>0</v>
      </c>
      <c r="M58" s="311">
        <f>E58-D58</f>
        <v>0</v>
      </c>
      <c r="N58" s="167">
        <f>IF(D58=0,0,M58/D58)</f>
        <v>0</v>
      </c>
      <c r="O58" s="351" t="s">
        <v>295</v>
      </c>
      <c r="P58" s="422"/>
      <c r="Q58" s="320"/>
      <c r="R58" s="320"/>
      <c r="S58" s="319"/>
      <c r="T58" s="318"/>
      <c r="U58" s="318"/>
      <c r="V58" s="318"/>
      <c r="W58" s="318"/>
      <c r="X58" s="318"/>
      <c r="Y58" s="348" t="s">
        <v>190</v>
      </c>
      <c r="Z58" s="348"/>
      <c r="AA58" s="348"/>
      <c r="AB58" s="348"/>
      <c r="AC58" s="347"/>
      <c r="AD58" s="347">
        <f>AD59</f>
        <v>0</v>
      </c>
      <c r="AE58" s="346" t="s">
        <v>71</v>
      </c>
    </row>
    <row r="59" spans="1:32" s="40" customFormat="1" ht="21" customHeight="1">
      <c r="A59" s="108"/>
      <c r="B59" s="60"/>
      <c r="C59" s="129"/>
      <c r="D59" s="301"/>
      <c r="E59" s="300"/>
      <c r="F59" s="300"/>
      <c r="G59" s="300"/>
      <c r="H59" s="300"/>
      <c r="I59" s="300"/>
      <c r="J59" s="300"/>
      <c r="K59" s="300"/>
      <c r="L59" s="300"/>
      <c r="M59" s="300"/>
      <c r="N59" s="126"/>
      <c r="O59" s="325"/>
      <c r="P59" s="325"/>
      <c r="Q59" s="325"/>
      <c r="R59" s="325"/>
      <c r="S59" s="209"/>
      <c r="T59" s="335"/>
      <c r="U59" s="335"/>
      <c r="V59" s="324"/>
      <c r="W59" s="325"/>
      <c r="X59" s="324"/>
      <c r="Y59" s="324"/>
      <c r="Z59" s="324"/>
      <c r="AA59" s="324"/>
      <c r="AB59" s="324"/>
      <c r="AC59" s="324"/>
      <c r="AD59" s="324"/>
      <c r="AE59" s="321"/>
      <c r="AF59" s="35"/>
    </row>
    <row r="60" spans="1:32" s="40" customFormat="1" ht="21" customHeight="1">
      <c r="A60" s="108"/>
      <c r="B60" s="60"/>
      <c r="C60" s="60" t="s">
        <v>294</v>
      </c>
      <c r="D60" s="274">
        <v>0</v>
      </c>
      <c r="E60" s="359">
        <f>AD60/1000</f>
        <v>0</v>
      </c>
      <c r="F60" s="273">
        <v>0</v>
      </c>
      <c r="G60" s="273">
        <v>0</v>
      </c>
      <c r="H60" s="273">
        <v>0</v>
      </c>
      <c r="I60" s="273">
        <v>0</v>
      </c>
      <c r="J60" s="273">
        <v>0</v>
      </c>
      <c r="K60" s="273">
        <v>0</v>
      </c>
      <c r="L60" s="273">
        <v>0</v>
      </c>
      <c r="M60" s="273">
        <f>E60-D60</f>
        <v>0</v>
      </c>
      <c r="N60" s="84">
        <f>IF(D60=0,0,M60/D60)</f>
        <v>0</v>
      </c>
      <c r="O60" s="421" t="s">
        <v>293</v>
      </c>
      <c r="P60" s="292"/>
      <c r="Q60" s="303"/>
      <c r="R60" s="303"/>
      <c r="S60" s="303"/>
      <c r="T60" s="405"/>
      <c r="U60" s="405"/>
      <c r="V60" s="405"/>
      <c r="W60" s="405"/>
      <c r="X60" s="405"/>
      <c r="Y60" s="420" t="s">
        <v>190</v>
      </c>
      <c r="Z60" s="420"/>
      <c r="AA60" s="420"/>
      <c r="AB60" s="420"/>
      <c r="AC60" s="419"/>
      <c r="AD60" s="419">
        <v>0</v>
      </c>
      <c r="AE60" s="418" t="s">
        <v>71</v>
      </c>
      <c r="AF60" s="33"/>
    </row>
    <row r="61" spans="1:32" s="40" customFormat="1" ht="21" customHeight="1">
      <c r="A61" s="108"/>
      <c r="B61" s="60"/>
      <c r="C61" s="129"/>
      <c r="D61" s="301"/>
      <c r="E61" s="300"/>
      <c r="F61" s="300"/>
      <c r="G61" s="300"/>
      <c r="H61" s="300"/>
      <c r="I61" s="300"/>
      <c r="J61" s="300"/>
      <c r="K61" s="300"/>
      <c r="L61" s="300"/>
      <c r="M61" s="300"/>
      <c r="N61" s="126"/>
      <c r="O61" s="325"/>
      <c r="P61" s="325"/>
      <c r="Q61" s="325"/>
      <c r="R61" s="325"/>
      <c r="S61" s="324"/>
      <c r="T61" s="335"/>
      <c r="U61" s="335"/>
      <c r="V61" s="324"/>
      <c r="W61" s="325"/>
      <c r="X61" s="324"/>
      <c r="Y61" s="324"/>
      <c r="Z61" s="324"/>
      <c r="AA61" s="324"/>
      <c r="AB61" s="324"/>
      <c r="AC61" s="324"/>
      <c r="AD61" s="324"/>
      <c r="AE61" s="321"/>
      <c r="AF61" s="33"/>
    </row>
    <row r="62" spans="1:32" s="40" customFormat="1" ht="21" customHeight="1">
      <c r="A62" s="108"/>
      <c r="B62" s="60"/>
      <c r="C62" s="60" t="s">
        <v>292</v>
      </c>
      <c r="D62" s="274">
        <v>240</v>
      </c>
      <c r="E62" s="280">
        <f>AD62/1000</f>
        <v>120</v>
      </c>
      <c r="F62" s="273">
        <f>SUMIF($AB$63:$AB$65,"보조",$AD$63:$AD$65)/1000</f>
        <v>50</v>
      </c>
      <c r="G62" s="273">
        <f>SUMIF($AB$63:$AB$65,"7종",$AD$63:$AD$65)/1000</f>
        <v>0</v>
      </c>
      <c r="H62" s="273">
        <f>SUMIF($AB$63:$AB$65,"시비",$AD$63:$AD$65)/1000</f>
        <v>0</v>
      </c>
      <c r="I62" s="273">
        <f>SUMIF($AB$63:$AB$65,"후원",$AD$63:$AD$65)/1000</f>
        <v>0</v>
      </c>
      <c r="J62" s="273">
        <f>SUMIF($AB$63:$AB$65,"입소",$AD$63:$AD$65)/1000</f>
        <v>0</v>
      </c>
      <c r="K62" s="273">
        <f>SUMIF($AB$63:$AB$65,"법인",$AD$63:$AD$65)/1000</f>
        <v>0</v>
      </c>
      <c r="L62" s="273">
        <f>SUMIF($AB$63:$AB$65,"잡수",$AD$63:$AD$65)/1000</f>
        <v>70</v>
      </c>
      <c r="M62" s="273">
        <f>E62-D62</f>
        <v>-120</v>
      </c>
      <c r="N62" s="84">
        <f>IF(D62=0,0,M62/D62)</f>
        <v>-0.5</v>
      </c>
      <c r="O62" s="292" t="s">
        <v>291</v>
      </c>
      <c r="P62" s="303"/>
      <c r="Q62" s="303"/>
      <c r="R62" s="303"/>
      <c r="S62" s="383"/>
      <c r="T62" s="405"/>
      <c r="U62" s="405"/>
      <c r="V62" s="405"/>
      <c r="W62" s="405"/>
      <c r="X62" s="405"/>
      <c r="Y62" s="348" t="s">
        <v>190</v>
      </c>
      <c r="Z62" s="348"/>
      <c r="AA62" s="348"/>
      <c r="AB62" s="348"/>
      <c r="AC62" s="347"/>
      <c r="AD62" s="347">
        <f>SUM(AD63:AD65)</f>
        <v>120000</v>
      </c>
      <c r="AE62" s="346" t="s">
        <v>71</v>
      </c>
      <c r="AF62" s="33"/>
    </row>
    <row r="63" spans="1:32" s="291" customFormat="1" ht="21" customHeight="1">
      <c r="A63" s="108"/>
      <c r="B63" s="60"/>
      <c r="C63" s="60"/>
      <c r="D63" s="274"/>
      <c r="E63" s="273"/>
      <c r="F63" s="273"/>
      <c r="G63" s="273"/>
      <c r="H63" s="273"/>
      <c r="I63" s="273"/>
      <c r="J63" s="273"/>
      <c r="K63" s="273"/>
      <c r="L63" s="273"/>
      <c r="M63" s="273"/>
      <c r="N63" s="84"/>
      <c r="O63" s="188" t="s">
        <v>290</v>
      </c>
      <c r="P63" s="188"/>
      <c r="Q63" s="188"/>
      <c r="R63" s="188"/>
      <c r="S63" s="52">
        <v>50000</v>
      </c>
      <c r="T63" s="186" t="s">
        <v>66</v>
      </c>
      <c r="U63" s="188" t="s">
        <v>131</v>
      </c>
      <c r="V63" s="416">
        <v>1</v>
      </c>
      <c r="W63" s="188" t="s">
        <v>131</v>
      </c>
      <c r="X63" s="417">
        <v>1</v>
      </c>
      <c r="Y63" s="298"/>
      <c r="Z63" s="180"/>
      <c r="AA63" s="180" t="s">
        <v>129</v>
      </c>
      <c r="AB63" s="180" t="s">
        <v>202</v>
      </c>
      <c r="AC63" s="186"/>
      <c r="AD63" s="186">
        <f>S63*V63*X63</f>
        <v>50000</v>
      </c>
      <c r="AE63" s="179" t="s">
        <v>66</v>
      </c>
      <c r="AF63" s="97"/>
    </row>
    <row r="64" spans="1:32" s="291" customFormat="1" ht="21" customHeight="1">
      <c r="A64" s="108"/>
      <c r="B64" s="60"/>
      <c r="C64" s="60"/>
      <c r="D64" s="274"/>
      <c r="E64" s="273"/>
      <c r="F64" s="273"/>
      <c r="G64" s="273"/>
      <c r="H64" s="273"/>
      <c r="I64" s="273"/>
      <c r="J64" s="273"/>
      <c r="K64" s="273"/>
      <c r="L64" s="273"/>
      <c r="M64" s="273"/>
      <c r="N64" s="84"/>
      <c r="O64" s="188"/>
      <c r="P64" s="188"/>
      <c r="Q64" s="188"/>
      <c r="R64" s="188"/>
      <c r="S64" s="52">
        <v>50000</v>
      </c>
      <c r="T64" s="186" t="s">
        <v>66</v>
      </c>
      <c r="U64" s="188" t="s">
        <v>131</v>
      </c>
      <c r="V64" s="416">
        <v>1</v>
      </c>
      <c r="W64" s="188" t="s">
        <v>131</v>
      </c>
      <c r="X64" s="417">
        <v>1</v>
      </c>
      <c r="Y64" s="298"/>
      <c r="Z64" s="180"/>
      <c r="AA64" s="180" t="s">
        <v>129</v>
      </c>
      <c r="AB64" s="180" t="s">
        <v>181</v>
      </c>
      <c r="AC64" s="186"/>
      <c r="AD64" s="186">
        <f>S64*V64*X64</f>
        <v>50000</v>
      </c>
      <c r="AE64" s="179" t="s">
        <v>66</v>
      </c>
      <c r="AF64" s="97"/>
    </row>
    <row r="65" spans="1:34" s="291" customFormat="1" ht="21" customHeight="1">
      <c r="A65" s="108"/>
      <c r="B65" s="60"/>
      <c r="C65" s="60"/>
      <c r="D65" s="274"/>
      <c r="E65" s="273"/>
      <c r="F65" s="273"/>
      <c r="G65" s="273"/>
      <c r="H65" s="273"/>
      <c r="I65" s="273"/>
      <c r="J65" s="273"/>
      <c r="K65" s="273"/>
      <c r="L65" s="273"/>
      <c r="M65" s="273"/>
      <c r="N65" s="84"/>
      <c r="O65" s="188" t="s">
        <v>289</v>
      </c>
      <c r="P65" s="188"/>
      <c r="Q65" s="188"/>
      <c r="R65" s="188"/>
      <c r="S65" s="52">
        <v>10000</v>
      </c>
      <c r="T65" s="186" t="s">
        <v>66</v>
      </c>
      <c r="U65" s="188" t="s">
        <v>131</v>
      </c>
      <c r="V65" s="416">
        <v>2</v>
      </c>
      <c r="W65" s="186"/>
      <c r="X65" s="188"/>
      <c r="Y65" s="298"/>
      <c r="Z65" s="180"/>
      <c r="AA65" s="180" t="s">
        <v>129</v>
      </c>
      <c r="AB65" s="180" t="s">
        <v>181</v>
      </c>
      <c r="AC65" s="186"/>
      <c r="AD65" s="186">
        <f>S65*V65</f>
        <v>20000</v>
      </c>
      <c r="AE65" s="179" t="s">
        <v>66</v>
      </c>
      <c r="AF65" s="97"/>
    </row>
    <row r="66" spans="1:34" s="291" customFormat="1" ht="21" customHeight="1">
      <c r="A66" s="108"/>
      <c r="B66" s="60"/>
      <c r="C66" s="60"/>
      <c r="D66" s="274"/>
      <c r="E66" s="273"/>
      <c r="F66" s="273"/>
      <c r="G66" s="273"/>
      <c r="H66" s="273"/>
      <c r="I66" s="273"/>
      <c r="J66" s="273"/>
      <c r="K66" s="273"/>
      <c r="L66" s="273"/>
      <c r="M66" s="273"/>
      <c r="N66" s="84"/>
      <c r="O66" s="188"/>
      <c r="P66" s="188"/>
      <c r="Q66" s="188"/>
      <c r="R66" s="188"/>
      <c r="S66" s="52"/>
      <c r="T66" s="331"/>
      <c r="U66" s="331"/>
      <c r="V66" s="186"/>
      <c r="W66" s="188"/>
      <c r="X66" s="186"/>
      <c r="Y66" s="186"/>
      <c r="Z66" s="186"/>
      <c r="AA66" s="186"/>
      <c r="AB66" s="186"/>
      <c r="AC66" s="186"/>
      <c r="AD66" s="186"/>
      <c r="AE66" s="179"/>
      <c r="AF66" s="97"/>
    </row>
    <row r="67" spans="1:34" s="40" customFormat="1" ht="21" customHeight="1">
      <c r="A67" s="108"/>
      <c r="B67" s="82" t="s">
        <v>288</v>
      </c>
      <c r="C67" s="345" t="s">
        <v>287</v>
      </c>
      <c r="D67" s="290">
        <v>7436</v>
      </c>
      <c r="E67" s="290">
        <f t="shared" ref="E67:L67" si="4">SUM(E68,E71,E78,E84,E89,E93)</f>
        <v>7702</v>
      </c>
      <c r="F67" s="290">
        <f t="shared" si="4"/>
        <v>4144</v>
      </c>
      <c r="G67" s="290">
        <f t="shared" si="4"/>
        <v>0</v>
      </c>
      <c r="H67" s="290">
        <f t="shared" si="4"/>
        <v>0</v>
      </c>
      <c r="I67" s="290">
        <f t="shared" si="4"/>
        <v>300</v>
      </c>
      <c r="J67" s="290">
        <f t="shared" si="4"/>
        <v>3213</v>
      </c>
      <c r="K67" s="290">
        <f t="shared" si="4"/>
        <v>0</v>
      </c>
      <c r="L67" s="290">
        <f t="shared" si="4"/>
        <v>45</v>
      </c>
      <c r="M67" s="290">
        <f>E67-D67</f>
        <v>266</v>
      </c>
      <c r="N67" s="289">
        <f>IF(D67=0,0,M67/D67)</f>
        <v>3.5771920387304999E-2</v>
      </c>
      <c r="O67" s="357" t="s">
        <v>47</v>
      </c>
      <c r="P67" s="357"/>
      <c r="Q67" s="357"/>
      <c r="R67" s="357"/>
      <c r="S67" s="294"/>
      <c r="T67" s="415"/>
      <c r="U67" s="348"/>
      <c r="V67" s="536"/>
      <c r="W67" s="537"/>
      <c r="X67" s="348"/>
      <c r="Y67" s="348"/>
      <c r="Z67" s="348"/>
      <c r="AA67" s="348"/>
      <c r="AB67" s="348"/>
      <c r="AC67" s="348"/>
      <c r="AD67" s="348">
        <f>SUM(AD68,AD71,AD78,AD84,AD89,AD93)</f>
        <v>7702000</v>
      </c>
      <c r="AE67" s="346" t="s">
        <v>71</v>
      </c>
      <c r="AF67" s="33"/>
    </row>
    <row r="68" spans="1:34" s="40" customFormat="1" ht="21" customHeight="1">
      <c r="A68" s="108"/>
      <c r="B68" s="60"/>
      <c r="C68" s="60" t="s">
        <v>286</v>
      </c>
      <c r="D68" s="274">
        <v>80</v>
      </c>
      <c r="E68" s="280">
        <f>AD68/1000</f>
        <v>0</v>
      </c>
      <c r="F68" s="273">
        <f>SUMIF($AB$69:$AB$70,"보조",$AD$69:$AD$70)/1000</f>
        <v>0</v>
      </c>
      <c r="G68" s="273">
        <f>SUMIF($AB$69:$AB$70,"7종",$AD$69:$AD$70)/1000</f>
        <v>0</v>
      </c>
      <c r="H68" s="273">
        <f>SUMIF($AB$69:$AB$70,"시비",$AD$69:$AD$70)/1000</f>
        <v>0</v>
      </c>
      <c r="I68" s="273">
        <f>SUMIF($AB$69:$AB$70,"후원",$AD$69:$AD$70)/1000</f>
        <v>0</v>
      </c>
      <c r="J68" s="273">
        <f>SUMIF($AB$69:$AB$70,"입소",$AD$69:$AD$70)/1000</f>
        <v>0</v>
      </c>
      <c r="K68" s="273">
        <f>SUMIF($AB$69:$AB$70,"법인",$AD$69:$AD$70)/1000</f>
        <v>0</v>
      </c>
      <c r="L68" s="273">
        <f>SUMIF($AB$69:$AB$70,"잡수",$AD$69:$AD$70)/1000</f>
        <v>0</v>
      </c>
      <c r="M68" s="273">
        <f>E68-D68</f>
        <v>-80</v>
      </c>
      <c r="N68" s="84">
        <f>IF(D68=0,0,M68/D68)</f>
        <v>-1</v>
      </c>
      <c r="O68" s="292" t="s">
        <v>285</v>
      </c>
      <c r="P68" s="303"/>
      <c r="Q68" s="303"/>
      <c r="R68" s="303"/>
      <c r="S68" s="383"/>
      <c r="T68" s="405"/>
      <c r="U68" s="405"/>
      <c r="V68" s="405"/>
      <c r="W68" s="405"/>
      <c r="X68" s="405"/>
      <c r="Y68" s="348" t="s">
        <v>190</v>
      </c>
      <c r="Z68" s="348"/>
      <c r="AA68" s="348"/>
      <c r="AB68" s="348"/>
      <c r="AC68" s="347"/>
      <c r="AD68" s="347">
        <f>SUM(AD69:AD69)</f>
        <v>0</v>
      </c>
      <c r="AE68" s="346" t="s">
        <v>71</v>
      </c>
      <c r="AF68" s="410"/>
      <c r="AG68" s="414"/>
      <c r="AH68" s="414"/>
    </row>
    <row r="69" spans="1:34" s="40" customFormat="1" ht="21" customHeight="1">
      <c r="A69" s="108"/>
      <c r="B69" s="60"/>
      <c r="C69" s="60"/>
      <c r="D69" s="274"/>
      <c r="E69" s="273"/>
      <c r="F69" s="273"/>
      <c r="G69" s="273"/>
      <c r="H69" s="273"/>
      <c r="I69" s="273"/>
      <c r="J69" s="273"/>
      <c r="K69" s="273"/>
      <c r="L69" s="273"/>
      <c r="M69" s="273"/>
      <c r="N69" s="84"/>
      <c r="O69" s="188" t="s">
        <v>284</v>
      </c>
      <c r="P69" s="188"/>
      <c r="Q69" s="188"/>
      <c r="R69" s="188"/>
      <c r="S69" s="52"/>
      <c r="T69" s="331" t="s">
        <v>71</v>
      </c>
      <c r="U69" s="331" t="s">
        <v>69</v>
      </c>
      <c r="V69" s="186"/>
      <c r="W69" s="331" t="s">
        <v>70</v>
      </c>
      <c r="X69" s="186" t="s">
        <v>69</v>
      </c>
      <c r="Y69" s="186"/>
      <c r="Z69" s="186" t="s">
        <v>208</v>
      </c>
      <c r="AA69" s="186" t="s">
        <v>67</v>
      </c>
      <c r="AB69" s="186"/>
      <c r="AC69" s="186"/>
      <c r="AD69" s="186">
        <f>S69*V69*Y69</f>
        <v>0</v>
      </c>
      <c r="AE69" s="179" t="s">
        <v>66</v>
      </c>
      <c r="AF69" s="35"/>
    </row>
    <row r="70" spans="1:34" s="40" customFormat="1" ht="21" customHeight="1">
      <c r="A70" s="108"/>
      <c r="B70" s="60"/>
      <c r="C70" s="60"/>
      <c r="D70" s="274"/>
      <c r="E70" s="273"/>
      <c r="F70" s="273"/>
      <c r="G70" s="273"/>
      <c r="H70" s="273"/>
      <c r="I70" s="273"/>
      <c r="J70" s="273"/>
      <c r="K70" s="273"/>
      <c r="L70" s="273">
        <v>38</v>
      </c>
      <c r="M70" s="273"/>
      <c r="N70" s="84"/>
      <c r="O70" s="188"/>
      <c r="P70" s="188"/>
      <c r="Q70" s="188"/>
      <c r="R70" s="188"/>
      <c r="S70" s="52"/>
      <c r="T70" s="331"/>
      <c r="U70" s="331"/>
      <c r="V70" s="186"/>
      <c r="W70" s="331"/>
      <c r="X70" s="186"/>
      <c r="Y70" s="186"/>
      <c r="Z70" s="186"/>
      <c r="AA70" s="186"/>
      <c r="AB70" s="186"/>
      <c r="AC70" s="186"/>
      <c r="AD70" s="186"/>
      <c r="AE70" s="179" t="s">
        <v>66</v>
      </c>
      <c r="AF70" s="35"/>
    </row>
    <row r="71" spans="1:34" s="40" customFormat="1" ht="21" customHeight="1">
      <c r="A71" s="108"/>
      <c r="B71" s="60"/>
      <c r="C71" s="82" t="s">
        <v>283</v>
      </c>
      <c r="D71" s="312">
        <v>1171</v>
      </c>
      <c r="E71" s="280">
        <f>AD71/1000</f>
        <v>1344</v>
      </c>
      <c r="F71" s="413">
        <f>SUMIF($AB$72:$AB$77,"보조",$AD$72:$AD$77)/1000</f>
        <v>919</v>
      </c>
      <c r="G71" s="413">
        <f>SUMIF($AB$72:$AB$77,"7종",$AD$72:$AD$77)/1000</f>
        <v>0</v>
      </c>
      <c r="H71" s="413">
        <f>SUMIF($AB$72:$AB$77,"시비",$AD$72:$AD$77)/1000</f>
        <v>0</v>
      </c>
      <c r="I71" s="413">
        <f>SUMIF($AB$72:$AB$77,"후원",$AD$72:$AD$77)/1000</f>
        <v>0</v>
      </c>
      <c r="J71" s="413">
        <f>SUMIF($AB$72:$AB$77,"입소",$AD$72:$AD$77)/1000</f>
        <v>380</v>
      </c>
      <c r="K71" s="413">
        <f>SUMIF($AB$72:$AB$77,"법인",$AD$72:$AD$77)/1000</f>
        <v>0</v>
      </c>
      <c r="L71" s="413">
        <f>SUMIF($AB$72:$AB$77,"잡수",$AD$72:$AD$77)/1000</f>
        <v>45</v>
      </c>
      <c r="M71" s="311">
        <f>E71-D71</f>
        <v>173</v>
      </c>
      <c r="N71" s="167">
        <f>IF(D71=0,0,M71/D71)</f>
        <v>0.14773697694278395</v>
      </c>
      <c r="O71" s="351" t="s">
        <v>282</v>
      </c>
      <c r="P71" s="309"/>
      <c r="Q71" s="309"/>
      <c r="R71" s="309"/>
      <c r="S71" s="350"/>
      <c r="T71" s="349"/>
      <c r="U71" s="349"/>
      <c r="V71" s="349"/>
      <c r="W71" s="349"/>
      <c r="X71" s="349"/>
      <c r="Y71" s="348" t="s">
        <v>227</v>
      </c>
      <c r="Z71" s="348"/>
      <c r="AA71" s="348"/>
      <c r="AB71" s="348"/>
      <c r="AC71" s="347"/>
      <c r="AD71" s="347">
        <f>ROUNDDOWN(SUM(AD72:AD76),-3)</f>
        <v>1344000</v>
      </c>
      <c r="AE71" s="346" t="s">
        <v>71</v>
      </c>
      <c r="AF71" s="33"/>
    </row>
    <row r="72" spans="1:34" s="40" customFormat="1" ht="21" customHeight="1">
      <c r="A72" s="108"/>
      <c r="B72" s="60"/>
      <c r="C72" s="60" t="s">
        <v>281</v>
      </c>
      <c r="D72" s="274"/>
      <c r="E72" s="273"/>
      <c r="F72" s="273"/>
      <c r="G72" s="273"/>
      <c r="H72" s="273"/>
      <c r="I72" s="273"/>
      <c r="J72" s="273"/>
      <c r="K72" s="273"/>
      <c r="L72" s="273"/>
      <c r="M72" s="273"/>
      <c r="N72" s="84"/>
      <c r="O72" s="320" t="s">
        <v>280</v>
      </c>
      <c r="P72" s="188"/>
      <c r="Q72" s="188"/>
      <c r="R72" s="188"/>
      <c r="S72" s="186"/>
      <c r="T72" s="331"/>
      <c r="U72" s="186"/>
      <c r="V72" s="378"/>
      <c r="W72" s="400"/>
      <c r="X72" s="400"/>
      <c r="Y72" s="378"/>
      <c r="Z72" s="399"/>
      <c r="AA72" s="378"/>
      <c r="AB72" s="412" t="s">
        <v>202</v>
      </c>
      <c r="AC72" s="412"/>
      <c r="AD72" s="52">
        <v>547000</v>
      </c>
      <c r="AE72" s="411" t="s">
        <v>71</v>
      </c>
      <c r="AF72" s="33"/>
    </row>
    <row r="73" spans="1:34" s="40" customFormat="1" ht="21" customHeight="1">
      <c r="A73" s="108"/>
      <c r="B73" s="60"/>
      <c r="C73" s="60"/>
      <c r="D73" s="274"/>
      <c r="E73" s="273"/>
      <c r="F73" s="273"/>
      <c r="G73" s="273"/>
      <c r="H73" s="273"/>
      <c r="I73" s="273"/>
      <c r="J73" s="273"/>
      <c r="K73" s="273"/>
      <c r="L73" s="273"/>
      <c r="M73" s="273"/>
      <c r="N73" s="84"/>
      <c r="O73" s="188" t="s">
        <v>279</v>
      </c>
      <c r="P73" s="188"/>
      <c r="Q73" s="188"/>
      <c r="R73" s="188"/>
      <c r="S73" s="186"/>
      <c r="T73" s="331"/>
      <c r="U73" s="331"/>
      <c r="V73" s="362">
        <v>31000</v>
      </c>
      <c r="W73" s="377" t="s">
        <v>66</v>
      </c>
      <c r="X73" s="377" t="s">
        <v>69</v>
      </c>
      <c r="Y73" s="362">
        <v>12</v>
      </c>
      <c r="Z73" s="363" t="s">
        <v>68</v>
      </c>
      <c r="AA73" s="362" t="s">
        <v>67</v>
      </c>
      <c r="AB73" s="186" t="s">
        <v>202</v>
      </c>
      <c r="AC73" s="186"/>
      <c r="AD73" s="186">
        <f>V73*Y73</f>
        <v>372000</v>
      </c>
      <c r="AE73" s="179" t="s">
        <v>66</v>
      </c>
      <c r="AF73" s="33"/>
    </row>
    <row r="74" spans="1:34" s="40" customFormat="1" ht="21" customHeight="1">
      <c r="A74" s="108"/>
      <c r="B74" s="60"/>
      <c r="C74" s="60"/>
      <c r="D74" s="274"/>
      <c r="E74" s="273"/>
      <c r="F74" s="273"/>
      <c r="G74" s="273"/>
      <c r="H74" s="273"/>
      <c r="I74" s="273"/>
      <c r="J74" s="273"/>
      <c r="K74" s="273"/>
      <c r="L74" s="273"/>
      <c r="M74" s="273"/>
      <c r="N74" s="84"/>
      <c r="O74" s="188" t="s">
        <v>278</v>
      </c>
      <c r="P74" s="188"/>
      <c r="Q74" s="188"/>
      <c r="R74" s="188"/>
      <c r="S74" s="186"/>
      <c r="T74" s="331"/>
      <c r="U74" s="331"/>
      <c r="V74" s="186"/>
      <c r="W74" s="186"/>
      <c r="X74" s="186"/>
      <c r="Y74" s="186"/>
      <c r="Z74" s="186"/>
      <c r="AA74" s="186"/>
      <c r="AB74" s="186" t="s">
        <v>187</v>
      </c>
      <c r="AC74" s="186"/>
      <c r="AD74" s="186">
        <v>200000</v>
      </c>
      <c r="AE74" s="179" t="s">
        <v>66</v>
      </c>
      <c r="AF74" s="33"/>
    </row>
    <row r="75" spans="1:34" s="40" customFormat="1" ht="21" customHeight="1">
      <c r="A75" s="108"/>
      <c r="B75" s="60"/>
      <c r="C75" s="60"/>
      <c r="D75" s="274"/>
      <c r="E75" s="273"/>
      <c r="F75" s="273"/>
      <c r="G75" s="273"/>
      <c r="H75" s="273"/>
      <c r="I75" s="273"/>
      <c r="J75" s="273"/>
      <c r="K75" s="273"/>
      <c r="L75" s="273"/>
      <c r="M75" s="273"/>
      <c r="N75" s="84"/>
      <c r="O75" s="188" t="s">
        <v>277</v>
      </c>
      <c r="P75" s="188"/>
      <c r="Q75" s="188"/>
      <c r="R75" s="188"/>
      <c r="S75" s="186"/>
      <c r="T75" s="331"/>
      <c r="U75" s="331"/>
      <c r="V75" s="186"/>
      <c r="W75" s="188"/>
      <c r="X75" s="186"/>
      <c r="Y75" s="186"/>
      <c r="Z75" s="186"/>
      <c r="AA75" s="186"/>
      <c r="AB75" s="186" t="s">
        <v>187</v>
      </c>
      <c r="AC75" s="186"/>
      <c r="AD75" s="186">
        <v>180000</v>
      </c>
      <c r="AE75" s="179" t="s">
        <v>66</v>
      </c>
      <c r="AF75" s="410"/>
      <c r="AH75" s="361"/>
    </row>
    <row r="76" spans="1:34" s="40" customFormat="1" ht="21" customHeight="1">
      <c r="A76" s="108"/>
      <c r="B76" s="60"/>
      <c r="C76" s="60"/>
      <c r="D76" s="274"/>
      <c r="E76" s="273"/>
      <c r="F76" s="273"/>
      <c r="G76" s="273"/>
      <c r="H76" s="273"/>
      <c r="I76" s="273"/>
      <c r="J76" s="273"/>
      <c r="K76" s="273"/>
      <c r="L76" s="273"/>
      <c r="M76" s="273"/>
      <c r="N76" s="84"/>
      <c r="O76" s="188"/>
      <c r="P76" s="188"/>
      <c r="Q76" s="188"/>
      <c r="R76" s="188"/>
      <c r="S76" s="186"/>
      <c r="T76" s="331"/>
      <c r="U76" s="331"/>
      <c r="V76" s="186"/>
      <c r="W76" s="188"/>
      <c r="X76" s="186"/>
      <c r="Y76" s="186"/>
      <c r="Z76" s="186"/>
      <c r="AA76" s="186"/>
      <c r="AB76" s="52" t="s">
        <v>181</v>
      </c>
      <c r="AC76" s="52"/>
      <c r="AD76" s="52">
        <v>45000</v>
      </c>
      <c r="AE76" s="147" t="s">
        <v>66</v>
      </c>
      <c r="AF76" s="410"/>
    </row>
    <row r="77" spans="1:34" s="40" customFormat="1" ht="21" customHeight="1">
      <c r="A77" s="108"/>
      <c r="B77" s="60"/>
      <c r="C77" s="129"/>
      <c r="D77" s="301"/>
      <c r="E77" s="300"/>
      <c r="F77" s="300"/>
      <c r="G77" s="300"/>
      <c r="H77" s="300"/>
      <c r="I77" s="300"/>
      <c r="J77" s="300"/>
      <c r="K77" s="300"/>
      <c r="L77" s="300"/>
      <c r="M77" s="300"/>
      <c r="N77" s="126"/>
      <c r="O77" s="409"/>
      <c r="P77" s="409"/>
      <c r="Q77" s="409"/>
      <c r="R77" s="409"/>
      <c r="S77" s="409"/>
      <c r="T77" s="409"/>
      <c r="U77" s="409"/>
      <c r="V77" s="409"/>
      <c r="W77" s="409"/>
      <c r="X77" s="409"/>
      <c r="Y77" s="409"/>
      <c r="Z77" s="409"/>
      <c r="AA77" s="409"/>
      <c r="AB77" s="409"/>
      <c r="AC77" s="409"/>
      <c r="AD77" s="408"/>
      <c r="AE77" s="407"/>
      <c r="AF77" s="33"/>
    </row>
    <row r="78" spans="1:34" s="40" customFormat="1" ht="21" customHeight="1">
      <c r="A78" s="108"/>
      <c r="B78" s="60"/>
      <c r="C78" s="60" t="s">
        <v>276</v>
      </c>
      <c r="D78" s="274">
        <v>5300</v>
      </c>
      <c r="E78" s="280">
        <f>AD78/1000</f>
        <v>5818</v>
      </c>
      <c r="F78" s="406">
        <f>SUMIF($AB$79:$AB$83,"보조",$AD$79:$AD$83)/1000</f>
        <v>3225</v>
      </c>
      <c r="G78" s="406">
        <f>SUMIF($AB$79:$AB$83,"7종",$AD$79:$AD$83)/1000</f>
        <v>0</v>
      </c>
      <c r="H78" s="406">
        <f>SUMIF($AB$79:$AB$83,"시비",$AD$79:$AD$83)/1000</f>
        <v>0</v>
      </c>
      <c r="I78" s="406">
        <f>SUMIF($AB$79:$AB$83,"후원",$AD$79:$AD$83)/1000</f>
        <v>0</v>
      </c>
      <c r="J78" s="406">
        <f>SUMIF($AB$79:$AB$83,"입소",$AD$79:$AD$83)/1000</f>
        <v>2593</v>
      </c>
      <c r="K78" s="406">
        <f>SUMIF($AB$79:$AB$83,"법인",$AD$79:$AD$83)/1000</f>
        <v>0</v>
      </c>
      <c r="L78" s="406">
        <f>SUMIF($AB$79:$AB$83,"잡수",$AD$79:$AD$83)/1000</f>
        <v>0</v>
      </c>
      <c r="M78" s="273">
        <f>E78-D78</f>
        <v>518</v>
      </c>
      <c r="N78" s="84">
        <f>IF(D78=0,0,M78/D78)</f>
        <v>9.7735849056603777E-2</v>
      </c>
      <c r="O78" s="292" t="s">
        <v>275</v>
      </c>
      <c r="P78" s="303"/>
      <c r="Q78" s="303"/>
      <c r="R78" s="303"/>
      <c r="S78" s="303"/>
      <c r="T78" s="405"/>
      <c r="U78" s="405"/>
      <c r="V78" s="405"/>
      <c r="W78" s="405"/>
      <c r="X78" s="405"/>
      <c r="Y78" s="348" t="s">
        <v>190</v>
      </c>
      <c r="Z78" s="348"/>
      <c r="AA78" s="348"/>
      <c r="AB78" s="348"/>
      <c r="AC78" s="347"/>
      <c r="AD78" s="347">
        <f>ROUND(SUM(AD79:AD82),-3)</f>
        <v>5818000</v>
      </c>
      <c r="AE78" s="346" t="s">
        <v>71</v>
      </c>
      <c r="AF78" s="33"/>
    </row>
    <row r="79" spans="1:34" s="40" customFormat="1" ht="21" customHeight="1">
      <c r="A79" s="108"/>
      <c r="B79" s="60"/>
      <c r="C79" s="60"/>
      <c r="D79" s="274"/>
      <c r="E79" s="273"/>
      <c r="F79" s="273"/>
      <c r="G79" s="273"/>
      <c r="H79" s="273"/>
      <c r="I79" s="273"/>
      <c r="J79" s="273"/>
      <c r="K79" s="273"/>
      <c r="L79" s="273"/>
      <c r="M79" s="273"/>
      <c r="N79" s="84"/>
      <c r="O79" s="320" t="s">
        <v>274</v>
      </c>
      <c r="P79" s="188"/>
      <c r="Q79" s="188"/>
      <c r="R79" s="188"/>
      <c r="S79" s="186">
        <v>41000</v>
      </c>
      <c r="T79" s="377" t="s">
        <v>71</v>
      </c>
      <c r="U79" s="377" t="s">
        <v>69</v>
      </c>
      <c r="V79" s="362">
        <v>12</v>
      </c>
      <c r="W79" s="363" t="s">
        <v>68</v>
      </c>
      <c r="X79" s="362" t="s">
        <v>67</v>
      </c>
      <c r="Y79" s="186"/>
      <c r="Z79" s="186"/>
      <c r="AA79" s="186"/>
      <c r="AB79" s="186" t="s">
        <v>202</v>
      </c>
      <c r="AC79" s="186"/>
      <c r="AD79" s="186">
        <f>S79*V79</f>
        <v>492000</v>
      </c>
      <c r="AE79" s="179" t="s">
        <v>71</v>
      </c>
      <c r="AF79" s="33"/>
    </row>
    <row r="80" spans="1:34" s="40" customFormat="1" ht="21" customHeight="1">
      <c r="A80" s="108"/>
      <c r="B80" s="60"/>
      <c r="C80" s="60"/>
      <c r="D80" s="274"/>
      <c r="E80" s="273"/>
      <c r="F80" s="273"/>
      <c r="G80" s="273"/>
      <c r="H80" s="273"/>
      <c r="I80" s="273"/>
      <c r="J80" s="273"/>
      <c r="K80" s="273"/>
      <c r="L80" s="273"/>
      <c r="M80" s="273"/>
      <c r="N80" s="84"/>
      <c r="O80" s="188" t="s">
        <v>273</v>
      </c>
      <c r="P80" s="188"/>
      <c r="Q80" s="188"/>
      <c r="R80" s="188"/>
      <c r="S80" s="186">
        <v>390000</v>
      </c>
      <c r="T80" s="331" t="s">
        <v>66</v>
      </c>
      <c r="U80" s="331" t="s">
        <v>69</v>
      </c>
      <c r="V80" s="186">
        <v>7</v>
      </c>
      <c r="W80" s="188" t="s">
        <v>130</v>
      </c>
      <c r="X80" s="186" t="s">
        <v>67</v>
      </c>
      <c r="Y80" s="186"/>
      <c r="Z80" s="186"/>
      <c r="AA80" s="186"/>
      <c r="AB80" s="186" t="s">
        <v>202</v>
      </c>
      <c r="AC80" s="186"/>
      <c r="AD80" s="186">
        <f>S80*V80+3000</f>
        <v>2733000</v>
      </c>
      <c r="AE80" s="179" t="s">
        <v>71</v>
      </c>
      <c r="AF80" s="33"/>
    </row>
    <row r="81" spans="1:33" s="40" customFormat="1" ht="21" customHeight="1">
      <c r="A81" s="108"/>
      <c r="B81" s="60"/>
      <c r="C81" s="60"/>
      <c r="D81" s="274"/>
      <c r="E81" s="273"/>
      <c r="F81" s="273"/>
      <c r="G81" s="273"/>
      <c r="H81" s="273"/>
      <c r="I81" s="273"/>
      <c r="J81" s="273"/>
      <c r="K81" s="273"/>
      <c r="L81" s="273"/>
      <c r="M81" s="273"/>
      <c r="N81" s="84"/>
      <c r="O81" s="188"/>
      <c r="P81" s="188"/>
      <c r="Q81" s="188"/>
      <c r="R81" s="188"/>
      <c r="S81" s="186">
        <v>500000</v>
      </c>
      <c r="T81" s="331" t="s">
        <v>66</v>
      </c>
      <c r="U81" s="331" t="s">
        <v>69</v>
      </c>
      <c r="V81" s="186">
        <v>5</v>
      </c>
      <c r="W81" s="188" t="s">
        <v>130</v>
      </c>
      <c r="X81" s="186" t="s">
        <v>67</v>
      </c>
      <c r="Y81" s="186"/>
      <c r="Z81" s="186"/>
      <c r="AA81" s="186"/>
      <c r="AB81" s="186" t="s">
        <v>187</v>
      </c>
      <c r="AC81" s="186"/>
      <c r="AD81" s="186">
        <f>S81*V81</f>
        <v>2500000</v>
      </c>
      <c r="AE81" s="179" t="s">
        <v>71</v>
      </c>
      <c r="AF81" s="33"/>
    </row>
    <row r="82" spans="1:33" s="291" customFormat="1" ht="21" customHeight="1">
      <c r="A82" s="108"/>
      <c r="B82" s="60"/>
      <c r="C82" s="60"/>
      <c r="D82" s="274"/>
      <c r="E82" s="273"/>
      <c r="F82" s="273"/>
      <c r="G82" s="273"/>
      <c r="H82" s="273"/>
      <c r="I82" s="273"/>
      <c r="J82" s="273"/>
      <c r="K82" s="273"/>
      <c r="L82" s="273"/>
      <c r="M82" s="273"/>
      <c r="N82" s="84"/>
      <c r="O82" s="188" t="s">
        <v>272</v>
      </c>
      <c r="P82" s="188"/>
      <c r="Q82" s="188"/>
      <c r="R82" s="188"/>
      <c r="S82" s="186"/>
      <c r="T82" s="331"/>
      <c r="U82" s="331"/>
      <c r="V82" s="186"/>
      <c r="W82" s="188"/>
      <c r="X82" s="186"/>
      <c r="Y82" s="186"/>
      <c r="Z82" s="186"/>
      <c r="AA82" s="186"/>
      <c r="AB82" s="186" t="s">
        <v>187</v>
      </c>
      <c r="AC82" s="186"/>
      <c r="AD82" s="186">
        <v>93000</v>
      </c>
      <c r="AE82" s="179" t="s">
        <v>71</v>
      </c>
      <c r="AF82" s="97"/>
    </row>
    <row r="83" spans="1:33" s="291" customFormat="1" ht="21" customHeight="1">
      <c r="A83" s="108"/>
      <c r="B83" s="60"/>
      <c r="C83" s="60"/>
      <c r="D83" s="274"/>
      <c r="E83" s="273"/>
      <c r="F83" s="273"/>
      <c r="G83" s="273"/>
      <c r="H83" s="273"/>
      <c r="I83" s="273"/>
      <c r="J83" s="273"/>
      <c r="K83" s="273"/>
      <c r="L83" s="273"/>
      <c r="M83" s="273"/>
      <c r="N83" s="84"/>
      <c r="O83" s="384"/>
      <c r="P83" s="53"/>
      <c r="Q83" s="53"/>
      <c r="R83" s="53"/>
      <c r="S83" s="55"/>
      <c r="T83" s="242"/>
      <c r="U83" s="242"/>
      <c r="V83" s="55"/>
      <c r="W83" s="53"/>
      <c r="X83" s="55"/>
      <c r="Y83" s="55"/>
      <c r="Z83" s="55"/>
      <c r="AA83" s="55"/>
      <c r="AB83" s="55"/>
      <c r="AC83" s="55"/>
      <c r="AD83" s="55"/>
      <c r="AE83" s="51"/>
      <c r="AF83" s="97"/>
    </row>
    <row r="84" spans="1:33" ht="21" customHeight="1">
      <c r="A84" s="108"/>
      <c r="B84" s="60"/>
      <c r="C84" s="82" t="s">
        <v>271</v>
      </c>
      <c r="D84" s="312">
        <v>290</v>
      </c>
      <c r="E84" s="280">
        <f>AD84/1000</f>
        <v>240</v>
      </c>
      <c r="F84" s="311">
        <v>0</v>
      </c>
      <c r="G84" s="311">
        <f>SUMIF($AB$85:$AB$88,"7종",$AD$85:$AD$88)/1000</f>
        <v>0</v>
      </c>
      <c r="H84" s="311">
        <f>SUMIF($AB$85:$AB$88,"시비",$AD$85:$AD$88)/1000</f>
        <v>0</v>
      </c>
      <c r="I84" s="311">
        <f>SUMIF($AB$85:$AB$88,"후원",$AD$85:$AD$88)/1000</f>
        <v>0</v>
      </c>
      <c r="J84" s="311">
        <f>SUMIF($AB$85:$AB$88,"입소",$AD$85:$AD$88)/1000</f>
        <v>240</v>
      </c>
      <c r="K84" s="311">
        <f>SUMIF($AB$85:$AB$88,"법인",$AD$85:$AD$88)/1000</f>
        <v>0</v>
      </c>
      <c r="L84" s="311">
        <f>SUMIF($AB$85:$AB$88,"잡수",$AD$85:$AD$88)/1000</f>
        <v>0</v>
      </c>
      <c r="M84" s="385">
        <f>E84-D84</f>
        <v>-50</v>
      </c>
      <c r="N84" s="167">
        <f>IF(D84=0,0,M84/D84)</f>
        <v>-0.17241379310344829</v>
      </c>
      <c r="O84" s="404" t="s">
        <v>270</v>
      </c>
      <c r="P84" s="350"/>
      <c r="Q84" s="350"/>
      <c r="R84" s="350"/>
      <c r="S84" s="350"/>
      <c r="T84" s="403"/>
      <c r="U84" s="403"/>
      <c r="V84" s="403"/>
      <c r="W84" s="403"/>
      <c r="X84" s="403"/>
      <c r="Y84" s="294" t="s">
        <v>190</v>
      </c>
      <c r="Z84" s="294"/>
      <c r="AA84" s="294"/>
      <c r="AB84" s="294"/>
      <c r="AC84" s="402"/>
      <c r="AD84" s="402">
        <f>SUM(AD85:AD88)</f>
        <v>240000</v>
      </c>
      <c r="AE84" s="401" t="s">
        <v>71</v>
      </c>
    </row>
    <row r="85" spans="1:33" s="40" customFormat="1" ht="21" customHeight="1">
      <c r="A85" s="108"/>
      <c r="B85" s="60"/>
      <c r="C85" s="60"/>
      <c r="D85" s="274"/>
      <c r="E85" s="273"/>
      <c r="F85" s="273"/>
      <c r="G85" s="273"/>
      <c r="H85" s="273"/>
      <c r="I85" s="273"/>
      <c r="J85" s="273"/>
      <c r="K85" s="273"/>
      <c r="L85" s="273"/>
      <c r="M85" s="273"/>
      <c r="N85" s="84"/>
      <c r="O85" s="165" t="s">
        <v>269</v>
      </c>
      <c r="P85" s="380"/>
      <c r="Q85" s="380"/>
      <c r="R85" s="380"/>
      <c r="S85" s="165"/>
      <c r="T85" s="63"/>
      <c r="U85" s="379"/>
      <c r="V85" s="378">
        <v>20000</v>
      </c>
      <c r="W85" s="400" t="s">
        <v>66</v>
      </c>
      <c r="X85" s="400" t="s">
        <v>69</v>
      </c>
      <c r="Y85" s="378">
        <v>1</v>
      </c>
      <c r="Z85" s="399" t="s">
        <v>208</v>
      </c>
      <c r="AA85" s="378" t="s">
        <v>67</v>
      </c>
      <c r="AB85" s="52" t="s">
        <v>187</v>
      </c>
      <c r="AC85" s="52"/>
      <c r="AD85" s="52">
        <f>V85*Y85</f>
        <v>20000</v>
      </c>
      <c r="AE85" s="147" t="s">
        <v>66</v>
      </c>
      <c r="AF85" s="395"/>
    </row>
    <row r="86" spans="1:33" s="40" customFormat="1" ht="21" customHeight="1">
      <c r="A86" s="108"/>
      <c r="B86" s="60"/>
      <c r="C86" s="60"/>
      <c r="D86" s="274"/>
      <c r="E86" s="273"/>
      <c r="F86" s="273"/>
      <c r="G86" s="273"/>
      <c r="H86" s="273"/>
      <c r="I86" s="273"/>
      <c r="J86" s="273"/>
      <c r="K86" s="273"/>
      <c r="L86" s="273"/>
      <c r="M86" s="273"/>
      <c r="N86" s="84"/>
      <c r="O86" s="188" t="s">
        <v>268</v>
      </c>
      <c r="P86" s="302"/>
      <c r="Q86" s="302"/>
      <c r="R86" s="302"/>
      <c r="S86" s="186">
        <v>600000</v>
      </c>
      <c r="T86" s="331" t="s">
        <v>66</v>
      </c>
      <c r="U86" s="331" t="s">
        <v>69</v>
      </c>
      <c r="V86" s="52">
        <v>1</v>
      </c>
      <c r="W86" s="188" t="s">
        <v>208</v>
      </c>
      <c r="X86" s="180" t="s">
        <v>267</v>
      </c>
      <c r="Y86" s="398">
        <v>3</v>
      </c>
      <c r="Z86" s="186"/>
      <c r="AA86" s="186" t="s">
        <v>67</v>
      </c>
      <c r="AB86" s="186" t="s">
        <v>187</v>
      </c>
      <c r="AC86" s="186"/>
      <c r="AD86" s="397">
        <f>ROUNDDOWN(S86*V86/Y86,-4)</f>
        <v>200000</v>
      </c>
      <c r="AE86" s="179" t="s">
        <v>66</v>
      </c>
      <c r="AF86" s="396"/>
      <c r="AG86" s="33"/>
    </row>
    <row r="87" spans="1:33" s="40" customFormat="1" ht="21" customHeight="1">
      <c r="A87" s="108"/>
      <c r="B87" s="60"/>
      <c r="C87" s="60"/>
      <c r="D87" s="274"/>
      <c r="E87" s="273"/>
      <c r="F87" s="273"/>
      <c r="G87" s="273"/>
      <c r="H87" s="273"/>
      <c r="I87" s="273"/>
      <c r="J87" s="273"/>
      <c r="K87" s="273"/>
      <c r="L87" s="273"/>
      <c r="M87" s="273"/>
      <c r="N87" s="84"/>
      <c r="O87" s="165" t="s">
        <v>266</v>
      </c>
      <c r="P87" s="380"/>
      <c r="Q87" s="380"/>
      <c r="R87" s="380"/>
      <c r="S87" s="165"/>
      <c r="T87" s="63"/>
      <c r="U87" s="379"/>
      <c r="V87" s="362"/>
      <c r="W87" s="377"/>
      <c r="X87" s="377"/>
      <c r="Y87" s="362"/>
      <c r="Z87" s="363"/>
      <c r="AA87" s="362" t="s">
        <v>67</v>
      </c>
      <c r="AB87" s="186" t="s">
        <v>187</v>
      </c>
      <c r="AC87" s="186"/>
      <c r="AD87" s="186">
        <v>20000</v>
      </c>
      <c r="AE87" s="179" t="s">
        <v>66</v>
      </c>
      <c r="AF87" s="395"/>
    </row>
    <row r="88" spans="1:33" s="40" customFormat="1" ht="21" customHeight="1">
      <c r="A88" s="108"/>
      <c r="B88" s="60"/>
      <c r="C88" s="60"/>
      <c r="D88" s="274"/>
      <c r="E88" s="273"/>
      <c r="F88" s="273"/>
      <c r="G88" s="273"/>
      <c r="H88" s="273"/>
      <c r="I88" s="273"/>
      <c r="J88" s="273"/>
      <c r="K88" s="273"/>
      <c r="L88" s="273"/>
      <c r="M88" s="273"/>
      <c r="N88" s="84"/>
      <c r="O88" s="53"/>
      <c r="P88" s="394"/>
      <c r="Q88" s="394"/>
      <c r="R88" s="394"/>
      <c r="S88" s="394"/>
      <c r="T88" s="394"/>
      <c r="U88" s="394"/>
      <c r="V88" s="394"/>
      <c r="W88" s="394"/>
      <c r="X88" s="394"/>
      <c r="Y88" s="393"/>
      <c r="Z88" s="393"/>
      <c r="AA88" s="362"/>
      <c r="AB88" s="393"/>
      <c r="AC88" s="393"/>
      <c r="AD88" s="55"/>
      <c r="AE88" s="179"/>
      <c r="AF88" s="33"/>
    </row>
    <row r="89" spans="1:33" s="40" customFormat="1" ht="21" customHeight="1">
      <c r="A89" s="108"/>
      <c r="B89" s="60"/>
      <c r="C89" s="82" t="s">
        <v>265</v>
      </c>
      <c r="D89" s="312">
        <v>395</v>
      </c>
      <c r="E89" s="280">
        <f>AD89/1000</f>
        <v>300</v>
      </c>
      <c r="F89" s="311">
        <v>0</v>
      </c>
      <c r="G89" s="311">
        <f>SUMIF($AB$90:$AB$92,"7종",$AD$90:$AD$92)/1000</f>
        <v>0</v>
      </c>
      <c r="H89" s="311">
        <f>SUMIF($AB$90:$AB$92,"시비",$AD$90:$AD$92)/1000</f>
        <v>0</v>
      </c>
      <c r="I89" s="311">
        <f>SUMIF($AB$90:$AB$92,"후원",$AD$90:$AD$92)/1000</f>
        <v>300</v>
      </c>
      <c r="J89" s="311">
        <f>SUMIF($AB$90:$AB$92,"입소",$AD$90:$AD$92)/1000</f>
        <v>0</v>
      </c>
      <c r="K89" s="311">
        <f>SUMIF($AB$90:$AB$92,"법인",$AD$90:$AD$92)/1000</f>
        <v>0</v>
      </c>
      <c r="L89" s="311">
        <f>SUMIF($AB$90:$AB$92,"잡수",$AD$90:$AD$92)/1000</f>
        <v>0</v>
      </c>
      <c r="M89" s="311">
        <f>E89-D89</f>
        <v>-95</v>
      </c>
      <c r="N89" s="167">
        <f>IF(D89=0,0,M89/D89)</f>
        <v>-0.24050632911392406</v>
      </c>
      <c r="O89" s="351" t="s">
        <v>264</v>
      </c>
      <c r="P89" s="309"/>
      <c r="Q89" s="309"/>
      <c r="R89" s="309"/>
      <c r="S89" s="350"/>
      <c r="T89" s="349"/>
      <c r="U89" s="349"/>
      <c r="V89" s="349"/>
      <c r="W89" s="349"/>
      <c r="X89" s="349"/>
      <c r="Y89" s="348" t="s">
        <v>190</v>
      </c>
      <c r="Z89" s="348"/>
      <c r="AA89" s="348"/>
      <c r="AB89" s="348"/>
      <c r="AC89" s="347"/>
      <c r="AD89" s="347">
        <f>SUM(AD90:AD91)</f>
        <v>300000</v>
      </c>
      <c r="AE89" s="346" t="s">
        <v>71</v>
      </c>
      <c r="AF89" s="33"/>
    </row>
    <row r="90" spans="1:33" s="40" customFormat="1" ht="21" customHeight="1">
      <c r="A90" s="108"/>
      <c r="B90" s="60"/>
      <c r="C90" s="60"/>
      <c r="D90" s="358"/>
      <c r="E90" s="273"/>
      <c r="F90" s="273"/>
      <c r="G90" s="273"/>
      <c r="H90" s="273"/>
      <c r="I90" s="273"/>
      <c r="J90" s="273"/>
      <c r="K90" s="273"/>
      <c r="L90" s="273"/>
      <c r="M90" s="273"/>
      <c r="N90" s="84"/>
      <c r="O90" s="188" t="s">
        <v>263</v>
      </c>
      <c r="P90" s="188"/>
      <c r="Q90" s="188"/>
      <c r="R90" s="188"/>
      <c r="S90" s="52">
        <v>30000</v>
      </c>
      <c r="T90" s="331" t="s">
        <v>66</v>
      </c>
      <c r="U90" s="331" t="s">
        <v>69</v>
      </c>
      <c r="V90" s="186">
        <v>10</v>
      </c>
      <c r="W90" s="188" t="s">
        <v>208</v>
      </c>
      <c r="X90" s="186" t="s">
        <v>67</v>
      </c>
      <c r="Y90" s="186"/>
      <c r="Z90" s="186"/>
      <c r="AA90" s="186"/>
      <c r="AB90" s="186" t="s">
        <v>184</v>
      </c>
      <c r="AC90" s="186"/>
      <c r="AD90" s="186">
        <f>S90*V90</f>
        <v>300000</v>
      </c>
      <c r="AE90" s="179" t="s">
        <v>71</v>
      </c>
      <c r="AF90" s="33"/>
    </row>
    <row r="91" spans="1:33" ht="21" customHeight="1">
      <c r="A91" s="108"/>
      <c r="B91" s="60"/>
      <c r="C91" s="60"/>
      <c r="D91" s="274"/>
      <c r="E91" s="273"/>
      <c r="F91" s="273"/>
      <c r="G91" s="273"/>
      <c r="H91" s="273"/>
      <c r="I91" s="273"/>
      <c r="J91" s="273"/>
      <c r="K91" s="273"/>
      <c r="L91" s="273"/>
      <c r="M91" s="273"/>
      <c r="N91" s="84"/>
      <c r="O91" s="188" t="s">
        <v>262</v>
      </c>
      <c r="P91" s="188"/>
      <c r="Q91" s="188"/>
      <c r="R91" s="188"/>
      <c r="S91" s="52"/>
      <c r="T91" s="331"/>
      <c r="U91" s="331"/>
      <c r="V91" s="186"/>
      <c r="W91" s="188"/>
      <c r="X91" s="186"/>
      <c r="Y91" s="186"/>
      <c r="Z91" s="186"/>
      <c r="AA91" s="186"/>
      <c r="AB91" s="186"/>
      <c r="AC91" s="186"/>
      <c r="AD91" s="186"/>
      <c r="AE91" s="179" t="s">
        <v>71</v>
      </c>
    </row>
    <row r="92" spans="1:33" s="40" customFormat="1" ht="21" customHeight="1">
      <c r="A92" s="108"/>
      <c r="B92" s="60"/>
      <c r="C92" s="129"/>
      <c r="D92" s="392"/>
      <c r="E92" s="300"/>
      <c r="F92" s="300"/>
      <c r="G92" s="300"/>
      <c r="H92" s="300"/>
      <c r="I92" s="300"/>
      <c r="J92" s="300"/>
      <c r="K92" s="300"/>
      <c r="L92" s="300"/>
      <c r="M92" s="300"/>
      <c r="N92" s="126"/>
      <c r="O92" s="325"/>
      <c r="P92" s="325"/>
      <c r="Q92" s="325"/>
      <c r="R92" s="325"/>
      <c r="S92" s="209"/>
      <c r="T92" s="335"/>
      <c r="U92" s="324"/>
      <c r="V92" s="534"/>
      <c r="W92" s="535"/>
      <c r="X92" s="324"/>
      <c r="Y92" s="324"/>
      <c r="Z92" s="324"/>
      <c r="AA92" s="324"/>
      <c r="AB92" s="324"/>
      <c r="AC92" s="324"/>
      <c r="AD92" s="324"/>
      <c r="AE92" s="321"/>
      <c r="AF92" s="33"/>
    </row>
    <row r="93" spans="1:33" s="40" customFormat="1" ht="21" customHeight="1">
      <c r="A93" s="108"/>
      <c r="B93" s="60"/>
      <c r="C93" s="82" t="s">
        <v>0</v>
      </c>
      <c r="D93" s="391">
        <v>200</v>
      </c>
      <c r="E93" s="280">
        <f>AD93/1000</f>
        <v>0</v>
      </c>
      <c r="F93" s="311">
        <f>SUMIF($AB$94:$AB$95,"보조",$AD$94:$AD$95)/1000</f>
        <v>0</v>
      </c>
      <c r="G93" s="311">
        <f>SUMIF($AB$94:$AB$95,"7종",$AD$94:$AD$95)/1000</f>
        <v>0</v>
      </c>
      <c r="H93" s="311">
        <f>SUMIF($AB$94:$AB$95,"시비",$AD$94:$AD$95)/1000</f>
        <v>0</v>
      </c>
      <c r="I93" s="311">
        <f>SUMIF($AB$94:$AB$95,"후원",$AD$94:$AD$95)/1000</f>
        <v>0</v>
      </c>
      <c r="J93" s="311">
        <f>SUMIF($AB$94:$AB$95,"입소",$AD$94:$AD$95)/1000</f>
        <v>0</v>
      </c>
      <c r="K93" s="311">
        <f>SUMIF($AB$94:$AB$95,"법인",$AD$94:$AD$95)/1000</f>
        <v>0</v>
      </c>
      <c r="L93" s="311">
        <f>SUMIF($AB$94:$AB$95,"잡수",$AD$94:$AD$95)/1000</f>
        <v>0</v>
      </c>
      <c r="M93" s="311">
        <f>E93-D93</f>
        <v>-200</v>
      </c>
      <c r="N93" s="167">
        <f>IF(D93=0,0,M93/D93)</f>
        <v>-1</v>
      </c>
      <c r="O93" s="292" t="s">
        <v>261</v>
      </c>
      <c r="P93" s="309"/>
      <c r="Q93" s="309"/>
      <c r="R93" s="309"/>
      <c r="S93" s="350"/>
      <c r="T93" s="349"/>
      <c r="U93" s="349"/>
      <c r="V93" s="349"/>
      <c r="W93" s="349"/>
      <c r="X93" s="349"/>
      <c r="Y93" s="348" t="s">
        <v>190</v>
      </c>
      <c r="Z93" s="348"/>
      <c r="AA93" s="348"/>
      <c r="AB93" s="348"/>
      <c r="AC93" s="347"/>
      <c r="AD93" s="347">
        <f>SUM(AD94:AD95)</f>
        <v>0</v>
      </c>
      <c r="AE93" s="346" t="s">
        <v>71</v>
      </c>
      <c r="AF93" s="33"/>
    </row>
    <row r="94" spans="1:33" s="40" customFormat="1" ht="20.25" customHeight="1">
      <c r="A94" s="108"/>
      <c r="B94" s="60"/>
      <c r="C94" s="60"/>
      <c r="D94" s="352"/>
      <c r="E94" s="273"/>
      <c r="F94" s="273"/>
      <c r="G94" s="273"/>
      <c r="H94" s="273"/>
      <c r="I94" s="273"/>
      <c r="J94" s="273"/>
      <c r="K94" s="273"/>
      <c r="L94" s="273"/>
      <c r="M94" s="273"/>
      <c r="N94" s="84"/>
      <c r="O94" s="188" t="s">
        <v>260</v>
      </c>
      <c r="P94" s="188"/>
      <c r="Q94" s="188"/>
      <c r="R94" s="188"/>
      <c r="S94" s="52"/>
      <c r="T94" s="186" t="s">
        <v>66</v>
      </c>
      <c r="U94" s="182" t="s">
        <v>131</v>
      </c>
      <c r="V94" s="186"/>
      <c r="W94" s="186" t="s">
        <v>208</v>
      </c>
      <c r="X94" s="182"/>
      <c r="Y94" s="186"/>
      <c r="Z94" s="186"/>
      <c r="AA94" s="186" t="s">
        <v>129</v>
      </c>
      <c r="AB94" s="186" t="s">
        <v>187</v>
      </c>
      <c r="AC94" s="155"/>
      <c r="AD94" s="155">
        <f>S94*V94</f>
        <v>0</v>
      </c>
      <c r="AE94" s="179" t="s">
        <v>66</v>
      </c>
      <c r="AF94" s="35"/>
    </row>
    <row r="95" spans="1:33" s="40" customFormat="1" ht="21" customHeight="1">
      <c r="A95" s="108"/>
      <c r="B95" s="60"/>
      <c r="C95" s="245"/>
      <c r="D95" s="274"/>
      <c r="E95" s="273"/>
      <c r="F95" s="273"/>
      <c r="G95" s="273"/>
      <c r="H95" s="273"/>
      <c r="I95" s="273"/>
      <c r="J95" s="273"/>
      <c r="K95" s="273"/>
      <c r="L95" s="273"/>
      <c r="M95" s="273"/>
      <c r="N95" s="126"/>
      <c r="O95" s="325"/>
      <c r="P95" s="325"/>
      <c r="Q95" s="325"/>
      <c r="R95" s="325"/>
      <c r="S95" s="209"/>
      <c r="T95" s="325"/>
      <c r="U95" s="324"/>
      <c r="V95" s="390"/>
      <c r="W95" s="390"/>
      <c r="X95" s="324"/>
      <c r="Y95" s="324"/>
      <c r="Z95" s="324"/>
      <c r="AA95" s="324"/>
      <c r="AB95" s="324"/>
      <c r="AC95" s="324"/>
      <c r="AD95" s="324"/>
      <c r="AE95" s="321"/>
      <c r="AF95" s="35"/>
    </row>
    <row r="96" spans="1:33" s="40" customFormat="1" ht="21" customHeight="1">
      <c r="A96" s="295" t="s">
        <v>259</v>
      </c>
      <c r="B96" s="527" t="s">
        <v>193</v>
      </c>
      <c r="C96" s="527"/>
      <c r="D96" s="389">
        <v>100</v>
      </c>
      <c r="E96" s="389">
        <f t="shared" ref="E96:L96" si="5">E97</f>
        <v>100</v>
      </c>
      <c r="F96" s="389">
        <f t="shared" si="5"/>
        <v>0</v>
      </c>
      <c r="G96" s="389">
        <f t="shared" si="5"/>
        <v>0</v>
      </c>
      <c r="H96" s="389">
        <f t="shared" si="5"/>
        <v>0</v>
      </c>
      <c r="I96" s="389">
        <f t="shared" si="5"/>
        <v>0</v>
      </c>
      <c r="J96" s="389">
        <f t="shared" si="5"/>
        <v>100</v>
      </c>
      <c r="K96" s="389">
        <f t="shared" si="5"/>
        <v>0</v>
      </c>
      <c r="L96" s="389">
        <f t="shared" si="5"/>
        <v>0</v>
      </c>
      <c r="M96" s="389">
        <f>E96-D96</f>
        <v>0</v>
      </c>
      <c r="N96" s="388">
        <f>IF(D96=0,0,M96/D96)</f>
        <v>0</v>
      </c>
      <c r="O96" s="87" t="s">
        <v>60</v>
      </c>
      <c r="P96" s="87"/>
      <c r="Q96" s="87"/>
      <c r="R96" s="87"/>
      <c r="S96" s="387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>
        <f>AD97</f>
        <v>100000</v>
      </c>
      <c r="AE96" s="386" t="s">
        <v>71</v>
      </c>
      <c r="AF96" s="35"/>
    </row>
    <row r="97" spans="1:32" s="40" customFormat="1" ht="21" customHeight="1">
      <c r="A97" s="293" t="s">
        <v>258</v>
      </c>
      <c r="B97" s="60" t="s">
        <v>257</v>
      </c>
      <c r="C97" s="60" t="s">
        <v>228</v>
      </c>
      <c r="D97" s="273">
        <v>100</v>
      </c>
      <c r="E97" s="273">
        <f t="shared" ref="E97:L97" si="6">SUM(E98,E100,E104)</f>
        <v>100</v>
      </c>
      <c r="F97" s="273">
        <f t="shared" si="6"/>
        <v>0</v>
      </c>
      <c r="G97" s="273">
        <f t="shared" si="6"/>
        <v>0</v>
      </c>
      <c r="H97" s="273">
        <f t="shared" si="6"/>
        <v>0</v>
      </c>
      <c r="I97" s="273">
        <f t="shared" si="6"/>
        <v>0</v>
      </c>
      <c r="J97" s="273">
        <f t="shared" si="6"/>
        <v>100</v>
      </c>
      <c r="K97" s="273">
        <f t="shared" si="6"/>
        <v>0</v>
      </c>
      <c r="L97" s="273">
        <f t="shared" si="6"/>
        <v>0</v>
      </c>
      <c r="M97" s="273">
        <f>E97-D97</f>
        <v>0</v>
      </c>
      <c r="N97" s="84">
        <f>IF(D97=0,0,M97/D97)</f>
        <v>0</v>
      </c>
      <c r="O97" s="372" t="s">
        <v>55</v>
      </c>
      <c r="P97" s="372"/>
      <c r="Q97" s="372"/>
      <c r="R97" s="372"/>
      <c r="S97" s="350"/>
      <c r="T97" s="67"/>
      <c r="U97" s="67"/>
      <c r="V97" s="67"/>
      <c r="W97" s="67"/>
      <c r="X97" s="67"/>
      <c r="Y97" s="67"/>
      <c r="Z97" s="67"/>
      <c r="AA97" s="67"/>
      <c r="AB97" s="67"/>
      <c r="AC97" s="371"/>
      <c r="AD97" s="371">
        <f>SUM(AD98,AD100,AD104)</f>
        <v>100000</v>
      </c>
      <c r="AE97" s="370" t="s">
        <v>71</v>
      </c>
      <c r="AF97" s="33"/>
    </row>
    <row r="98" spans="1:32" s="40" customFormat="1" ht="21" customHeight="1">
      <c r="A98" s="108"/>
      <c r="B98" s="60"/>
      <c r="C98" s="82" t="s">
        <v>55</v>
      </c>
      <c r="D98" s="385">
        <v>0</v>
      </c>
      <c r="E98" s="280">
        <f>AD98/1000</f>
        <v>0</v>
      </c>
      <c r="F98" s="385">
        <f>SUMIF($AB$99:$AB$99,"보조",$AD$99:$AD$99)/1000</f>
        <v>0</v>
      </c>
      <c r="G98" s="385">
        <f>SUMIF($AB$99:$AB$99,"7종",$AD$99:$AD$99)/1000</f>
        <v>0</v>
      </c>
      <c r="H98" s="385">
        <f>SUMIF($AB$99:$AB$99,"시비",$AD$99:$AD$99)/1000</f>
        <v>0</v>
      </c>
      <c r="I98" s="385">
        <f>SUMIF($AB$99:$AB$99,"후원",$AD$99:$AD$99)/1000</f>
        <v>0</v>
      </c>
      <c r="J98" s="385">
        <f>SUMIF($AB$99:$AB$99,"입소",$AD$99:$AD$99)/1000</f>
        <v>0</v>
      </c>
      <c r="K98" s="385">
        <f>SUMIF($AB$99:$AB$99,"법인",$AD$99:$AD$99)/1000</f>
        <v>0</v>
      </c>
      <c r="L98" s="385">
        <f>SUMIF($AB$99:$AB$99,"잡수",$AD$99:$AD$99)/1000</f>
        <v>0</v>
      </c>
      <c r="M98" s="385">
        <f>E98-D98</f>
        <v>0</v>
      </c>
      <c r="N98" s="153">
        <f>IF(D98=0,0,M98/D98)</f>
        <v>0</v>
      </c>
      <c r="O98" s="69" t="s">
        <v>256</v>
      </c>
      <c r="P98" s="372"/>
      <c r="Q98" s="372"/>
      <c r="R98" s="372"/>
      <c r="S98" s="350"/>
      <c r="T98" s="67"/>
      <c r="U98" s="67"/>
      <c r="V98" s="67"/>
      <c r="W98" s="67"/>
      <c r="X98" s="67"/>
      <c r="Y98" s="278" t="s">
        <v>190</v>
      </c>
      <c r="Z98" s="278"/>
      <c r="AA98" s="278"/>
      <c r="AB98" s="278"/>
      <c r="AC98" s="343"/>
      <c r="AD98" s="343">
        <f>SUM(AD99:AD99)</f>
        <v>0</v>
      </c>
      <c r="AE98" s="288" t="s">
        <v>71</v>
      </c>
      <c r="AF98" s="33"/>
    </row>
    <row r="99" spans="1:32" s="40" customFormat="1" ht="21" customHeight="1">
      <c r="A99" s="108"/>
      <c r="B99" s="60"/>
      <c r="C99" s="60"/>
      <c r="D99" s="358"/>
      <c r="E99" s="273"/>
      <c r="F99" s="273"/>
      <c r="G99" s="273"/>
      <c r="H99" s="273"/>
      <c r="I99" s="273"/>
      <c r="J99" s="273"/>
      <c r="K99" s="273"/>
      <c r="L99" s="273"/>
      <c r="M99" s="273"/>
      <c r="N99" s="84"/>
      <c r="O99" s="384"/>
      <c r="P99" s="87"/>
      <c r="Q99" s="87"/>
      <c r="R99" s="87"/>
      <c r="S99" s="383"/>
      <c r="T99" s="86"/>
      <c r="U99" s="86"/>
      <c r="V99" s="86"/>
      <c r="W99" s="86"/>
      <c r="X99" s="86"/>
      <c r="Y99" s="86"/>
      <c r="Z99" s="86"/>
      <c r="AA99" s="86"/>
      <c r="AB99" s="55"/>
      <c r="AC99" s="382"/>
      <c r="AD99" s="63"/>
      <c r="AE99" s="51"/>
      <c r="AF99" s="35"/>
    </row>
    <row r="100" spans="1:32" s="40" customFormat="1" ht="21" customHeight="1">
      <c r="A100" s="108"/>
      <c r="B100" s="60"/>
      <c r="C100" s="82" t="s">
        <v>255</v>
      </c>
      <c r="D100" s="312">
        <v>0</v>
      </c>
      <c r="E100" s="280">
        <f>AD100/1000</f>
        <v>0</v>
      </c>
      <c r="F100" s="311">
        <f>SUMIF($AB$101:$AB$103,"보조",$AD$101:$AD$103)/1000</f>
        <v>0</v>
      </c>
      <c r="G100" s="311">
        <f>SUMIF($AB$101:$AB$103,"7종",$AD$101:$AD$103)/1000</f>
        <v>0</v>
      </c>
      <c r="H100" s="311">
        <f>SUMIF($AB$101:$AB$103,"시비",$AD$101:$AD$103)/1000</f>
        <v>0</v>
      </c>
      <c r="I100" s="311">
        <f>SUMIF($AB$101:$AB$103,"후원",$AD$101:$AD$103)/1000</f>
        <v>0</v>
      </c>
      <c r="J100" s="311">
        <f>SUMIF($AB$101:$AB$103,"입소",$AD$101:$AD$103)/1000</f>
        <v>0</v>
      </c>
      <c r="K100" s="311">
        <f>SUMIF($AB$101:$AB$103,"법인",$AD$101:$AD$103)/1000</f>
        <v>0</v>
      </c>
      <c r="L100" s="311">
        <f>SUMIF($AB$101:$AB$103,"잡수",$AD$101:$AD$103)/1000</f>
        <v>0</v>
      </c>
      <c r="M100" s="311">
        <f>E100-D100</f>
        <v>0</v>
      </c>
      <c r="N100" s="167">
        <f>IF(D100=0,0,M100/D100)</f>
        <v>0</v>
      </c>
      <c r="O100" s="69" t="s">
        <v>254</v>
      </c>
      <c r="P100" s="372"/>
      <c r="Q100" s="372"/>
      <c r="R100" s="372"/>
      <c r="S100" s="350"/>
      <c r="T100" s="67"/>
      <c r="U100" s="67"/>
      <c r="V100" s="67"/>
      <c r="W100" s="67"/>
      <c r="X100" s="67"/>
      <c r="Y100" s="278" t="s">
        <v>190</v>
      </c>
      <c r="Z100" s="278"/>
      <c r="AA100" s="278"/>
      <c r="AB100" s="278"/>
      <c r="AC100" s="343"/>
      <c r="AD100" s="343">
        <f>SUM(AD101:AD102)</f>
        <v>0</v>
      </c>
      <c r="AE100" s="288" t="s">
        <v>71</v>
      </c>
      <c r="AF100" s="33"/>
    </row>
    <row r="101" spans="1:32" s="40" customFormat="1" ht="21" customHeight="1">
      <c r="A101" s="108"/>
      <c r="B101" s="60"/>
      <c r="C101" s="60"/>
      <c r="D101" s="358"/>
      <c r="E101" s="273"/>
      <c r="F101" s="273"/>
      <c r="G101" s="273"/>
      <c r="H101" s="273"/>
      <c r="I101" s="273"/>
      <c r="J101" s="273"/>
      <c r="K101" s="273"/>
      <c r="L101" s="273"/>
      <c r="M101" s="273"/>
      <c r="N101" s="84"/>
      <c r="O101" s="188" t="s">
        <v>253</v>
      </c>
      <c r="P101" s="188"/>
      <c r="Q101" s="188"/>
      <c r="R101" s="188"/>
      <c r="S101" s="186"/>
      <c r="T101" s="331"/>
      <c r="U101" s="331"/>
      <c r="V101" s="186"/>
      <c r="W101" s="188"/>
      <c r="X101" s="186"/>
      <c r="Y101" s="186"/>
      <c r="Z101" s="186"/>
      <c r="AA101" s="186"/>
      <c r="AB101" s="186" t="s">
        <v>199</v>
      </c>
      <c r="AC101" s="186"/>
      <c r="AD101" s="186"/>
      <c r="AE101" s="179" t="s">
        <v>71</v>
      </c>
      <c r="AF101" s="35"/>
    </row>
    <row r="102" spans="1:32" s="40" customFormat="1" ht="21" customHeight="1">
      <c r="A102" s="108"/>
      <c r="B102" s="60"/>
      <c r="C102" s="60"/>
      <c r="D102" s="358"/>
      <c r="E102" s="273"/>
      <c r="F102" s="273"/>
      <c r="G102" s="273"/>
      <c r="H102" s="273"/>
      <c r="I102" s="273"/>
      <c r="J102" s="273"/>
      <c r="K102" s="273"/>
      <c r="L102" s="273"/>
      <c r="M102" s="273"/>
      <c r="N102" s="84"/>
      <c r="O102" s="188" t="s">
        <v>248</v>
      </c>
      <c r="P102" s="188"/>
      <c r="Q102" s="188"/>
      <c r="R102" s="188"/>
      <c r="S102" s="52"/>
      <c r="T102" s="331"/>
      <c r="U102" s="331"/>
      <c r="V102" s="186"/>
      <c r="W102" s="188"/>
      <c r="X102" s="186"/>
      <c r="Y102" s="186"/>
      <c r="Z102" s="186"/>
      <c r="AA102" s="186"/>
      <c r="AB102" s="186"/>
      <c r="AC102" s="186"/>
      <c r="AD102" s="186"/>
      <c r="AE102" s="179" t="s">
        <v>66</v>
      </c>
      <c r="AF102" s="35"/>
    </row>
    <row r="103" spans="1:32" s="40" customFormat="1" ht="21" customHeight="1">
      <c r="A103" s="108"/>
      <c r="B103" s="60"/>
      <c r="C103" s="60"/>
      <c r="D103" s="358"/>
      <c r="E103" s="273"/>
      <c r="F103" s="273"/>
      <c r="G103" s="273"/>
      <c r="H103" s="273"/>
      <c r="I103" s="273"/>
      <c r="J103" s="273"/>
      <c r="K103" s="273"/>
      <c r="L103" s="273"/>
      <c r="M103" s="273"/>
      <c r="N103" s="84"/>
      <c r="O103" s="53"/>
      <c r="P103" s="53"/>
      <c r="Q103" s="53"/>
      <c r="R103" s="53"/>
      <c r="S103" s="52"/>
      <c r="T103" s="381"/>
      <c r="U103" s="242"/>
      <c r="V103" s="64"/>
      <c r="W103" s="64"/>
      <c r="X103" s="55"/>
      <c r="Y103" s="55"/>
      <c r="Z103" s="55"/>
      <c r="AA103" s="55"/>
      <c r="AB103" s="55"/>
      <c r="AC103" s="55"/>
      <c r="AD103" s="55"/>
      <c r="AE103" s="51"/>
      <c r="AF103" s="35"/>
    </row>
    <row r="104" spans="1:32" s="40" customFormat="1" ht="21" customHeight="1">
      <c r="A104" s="108"/>
      <c r="B104" s="60"/>
      <c r="C104" s="82" t="s">
        <v>252</v>
      </c>
      <c r="D104" s="312">
        <v>100</v>
      </c>
      <c r="E104" s="280">
        <f>AD104/1000</f>
        <v>100</v>
      </c>
      <c r="F104" s="311">
        <f>SUMIF($AB$105:$AB$109,"보조",$AD$105:$AD$109)/1000</f>
        <v>0</v>
      </c>
      <c r="G104" s="311">
        <f>SUMIF($AB$105:$AB$109,"7종",$AD$105:$AD$109)/1000</f>
        <v>0</v>
      </c>
      <c r="H104" s="311">
        <f>SUMIF($AB$105:$AB$109,"시비",$AD$105:$AD$109)/1000</f>
        <v>0</v>
      </c>
      <c r="I104" s="311">
        <f>SUMIF($AB$105:$AB$109,"후원",$AD$105:$AD$109)/1000</f>
        <v>0</v>
      </c>
      <c r="J104" s="311">
        <f>SUMIF($AB$105:$AB$109,"입소",$AD$105:$AD$109)/1000</f>
        <v>100</v>
      </c>
      <c r="K104" s="311">
        <f>SUMIF($AB$105:$AB$109,"법인",$AD$105:$AD$109)/1000</f>
        <v>0</v>
      </c>
      <c r="L104" s="311">
        <f>SUMIF($AB$105:$AB$109,"잡수",$AD$105:$AD$109)/1000</f>
        <v>0</v>
      </c>
      <c r="M104" s="311">
        <f>E104-D104</f>
        <v>0</v>
      </c>
      <c r="N104" s="167">
        <f>IF(D104=0,0,M104/D104)</f>
        <v>0</v>
      </c>
      <c r="O104" s="69" t="s">
        <v>251</v>
      </c>
      <c r="P104" s="372"/>
      <c r="Q104" s="372"/>
      <c r="R104" s="372"/>
      <c r="S104" s="350"/>
      <c r="T104" s="67"/>
      <c r="U104" s="67"/>
      <c r="V104" s="67"/>
      <c r="W104" s="67"/>
      <c r="X104" s="67"/>
      <c r="Y104" s="278" t="s">
        <v>190</v>
      </c>
      <c r="Z104" s="278"/>
      <c r="AA104" s="278"/>
      <c r="AB104" s="278"/>
      <c r="AC104" s="343"/>
      <c r="AD104" s="343">
        <f>SUM(AD105:AD108)</f>
        <v>100000</v>
      </c>
      <c r="AE104" s="288" t="s">
        <v>71</v>
      </c>
      <c r="AF104" s="33"/>
    </row>
    <row r="105" spans="1:32" s="33" customFormat="1" ht="21" customHeight="1">
      <c r="A105" s="108"/>
      <c r="B105" s="60"/>
      <c r="C105" s="60" t="s">
        <v>250</v>
      </c>
      <c r="D105" s="274"/>
      <c r="E105" s="273"/>
      <c r="F105" s="273"/>
      <c r="G105" s="273"/>
      <c r="H105" s="273"/>
      <c r="I105" s="273"/>
      <c r="J105" s="273"/>
      <c r="K105" s="273"/>
      <c r="L105" s="273"/>
      <c r="M105" s="273"/>
      <c r="N105" s="84"/>
      <c r="O105" s="188" t="s">
        <v>249</v>
      </c>
      <c r="P105" s="188"/>
      <c r="Q105" s="188"/>
      <c r="R105" s="188"/>
      <c r="S105" s="52"/>
      <c r="T105" s="331"/>
      <c r="U105" s="331"/>
      <c r="V105" s="186"/>
      <c r="W105" s="188"/>
      <c r="X105" s="186"/>
      <c r="Y105" s="186"/>
      <c r="Z105" s="186"/>
      <c r="AA105" s="186"/>
      <c r="AB105" s="186" t="s">
        <v>202</v>
      </c>
      <c r="AC105" s="186"/>
      <c r="AD105" s="186"/>
      <c r="AE105" s="179" t="s">
        <v>71</v>
      </c>
      <c r="AF105" s="35"/>
    </row>
    <row r="106" spans="1:32" s="33" customFormat="1" ht="21" customHeight="1">
      <c r="A106" s="108"/>
      <c r="B106" s="60"/>
      <c r="C106" s="60"/>
      <c r="D106" s="274"/>
      <c r="E106" s="273"/>
      <c r="F106" s="273"/>
      <c r="G106" s="273"/>
      <c r="H106" s="273"/>
      <c r="I106" s="273"/>
      <c r="J106" s="273"/>
      <c r="K106" s="273"/>
      <c r="L106" s="273"/>
      <c r="M106" s="273"/>
      <c r="N106" s="84"/>
      <c r="O106" s="188" t="s">
        <v>248</v>
      </c>
      <c r="P106" s="188"/>
      <c r="Q106" s="188"/>
      <c r="R106" s="188"/>
      <c r="S106" s="52"/>
      <c r="T106" s="331"/>
      <c r="U106" s="331"/>
      <c r="V106" s="186"/>
      <c r="W106" s="188"/>
      <c r="X106" s="186"/>
      <c r="Y106" s="186"/>
      <c r="Z106" s="186"/>
      <c r="AA106" s="186"/>
      <c r="AB106" s="186" t="s">
        <v>187</v>
      </c>
      <c r="AC106" s="186"/>
      <c r="AD106" s="186"/>
      <c r="AE106" s="179" t="s">
        <v>66</v>
      </c>
      <c r="AF106" s="35"/>
    </row>
    <row r="107" spans="1:32" s="33" customFormat="1" ht="21" customHeight="1">
      <c r="A107" s="108"/>
      <c r="B107" s="60"/>
      <c r="C107" s="60"/>
      <c r="D107" s="274"/>
      <c r="E107" s="273"/>
      <c r="F107" s="273"/>
      <c r="G107" s="273"/>
      <c r="H107" s="273"/>
      <c r="I107" s="273"/>
      <c r="J107" s="273"/>
      <c r="K107" s="273"/>
      <c r="L107" s="273"/>
      <c r="M107" s="273"/>
      <c r="N107" s="84"/>
      <c r="O107" s="165" t="s">
        <v>247</v>
      </c>
      <c r="P107" s="380"/>
      <c r="Q107" s="380"/>
      <c r="R107" s="380"/>
      <c r="S107" s="165"/>
      <c r="T107" s="63"/>
      <c r="U107" s="379"/>
      <c r="V107" s="378">
        <v>60000</v>
      </c>
      <c r="W107" s="377" t="s">
        <v>66</v>
      </c>
      <c r="X107" s="377" t="s">
        <v>69</v>
      </c>
      <c r="Y107" s="362">
        <v>1</v>
      </c>
      <c r="Z107" s="363" t="s">
        <v>208</v>
      </c>
      <c r="AA107" s="362" t="s">
        <v>67</v>
      </c>
      <c r="AB107" s="186" t="s">
        <v>187</v>
      </c>
      <c r="AC107" s="186"/>
      <c r="AD107" s="186">
        <f>V107*Y107</f>
        <v>60000</v>
      </c>
      <c r="AE107" s="179" t="s">
        <v>66</v>
      </c>
      <c r="AF107" s="35"/>
    </row>
    <row r="108" spans="1:32" s="33" customFormat="1" ht="21" customHeight="1">
      <c r="A108" s="108"/>
      <c r="B108" s="60"/>
      <c r="C108" s="60"/>
      <c r="D108" s="274"/>
      <c r="E108" s="273"/>
      <c r="F108" s="273"/>
      <c r="G108" s="273"/>
      <c r="H108" s="273"/>
      <c r="I108" s="273"/>
      <c r="J108" s="273"/>
      <c r="K108" s="273"/>
      <c r="L108" s="273"/>
      <c r="M108" s="273"/>
      <c r="N108" s="84"/>
      <c r="O108" s="165" t="s">
        <v>246</v>
      </c>
      <c r="P108" s="380"/>
      <c r="Q108" s="380"/>
      <c r="R108" s="380"/>
      <c r="S108" s="165"/>
      <c r="T108" s="63"/>
      <c r="U108" s="379"/>
      <c r="V108" s="378">
        <v>40000</v>
      </c>
      <c r="W108" s="377" t="s">
        <v>66</v>
      </c>
      <c r="X108" s="377" t="s">
        <v>69</v>
      </c>
      <c r="Y108" s="362">
        <v>1</v>
      </c>
      <c r="Z108" s="363" t="s">
        <v>208</v>
      </c>
      <c r="AA108" s="362" t="s">
        <v>67</v>
      </c>
      <c r="AB108" s="186" t="s">
        <v>187</v>
      </c>
      <c r="AC108" s="186"/>
      <c r="AD108" s="186">
        <f>V108*Y108</f>
        <v>40000</v>
      </c>
      <c r="AE108" s="179" t="s">
        <v>66</v>
      </c>
      <c r="AF108" s="35"/>
    </row>
    <row r="109" spans="1:32" s="33" customFormat="1" ht="21" customHeight="1">
      <c r="A109" s="108"/>
      <c r="B109" s="60"/>
      <c r="C109" s="60"/>
      <c r="D109" s="274"/>
      <c r="E109" s="273"/>
      <c r="F109" s="273"/>
      <c r="G109" s="273"/>
      <c r="H109" s="273"/>
      <c r="I109" s="273"/>
      <c r="J109" s="273"/>
      <c r="K109" s="273"/>
      <c r="L109" s="273"/>
      <c r="M109" s="273"/>
      <c r="N109" s="84"/>
      <c r="O109" s="53"/>
      <c r="P109" s="53"/>
      <c r="Q109" s="53"/>
      <c r="R109" s="53"/>
      <c r="S109" s="52"/>
      <c r="T109" s="242"/>
      <c r="U109" s="242"/>
      <c r="V109" s="55"/>
      <c r="W109" s="53"/>
      <c r="X109" s="55"/>
      <c r="Y109" s="55"/>
      <c r="Z109" s="55"/>
      <c r="AA109" s="55"/>
      <c r="AB109" s="55"/>
      <c r="AC109" s="55"/>
      <c r="AD109" s="55"/>
      <c r="AE109" s="51"/>
      <c r="AF109" s="35"/>
    </row>
    <row r="110" spans="1:32" s="40" customFormat="1" ht="21" customHeight="1">
      <c r="A110" s="376" t="s">
        <v>245</v>
      </c>
      <c r="B110" s="525" t="s">
        <v>193</v>
      </c>
      <c r="C110" s="526"/>
      <c r="D110" s="375">
        <v>17135</v>
      </c>
      <c r="E110" s="375">
        <f t="shared" ref="E110:L110" si="7">SUM(E111,E134)</f>
        <v>13291</v>
      </c>
      <c r="F110" s="375">
        <f t="shared" si="7"/>
        <v>4950</v>
      </c>
      <c r="G110" s="375">
        <f t="shared" si="7"/>
        <v>0</v>
      </c>
      <c r="H110" s="375">
        <f t="shared" si="7"/>
        <v>0</v>
      </c>
      <c r="I110" s="375">
        <f t="shared" si="7"/>
        <v>858</v>
      </c>
      <c r="J110" s="375">
        <f t="shared" si="7"/>
        <v>6963</v>
      </c>
      <c r="K110" s="375">
        <f t="shared" si="7"/>
        <v>0</v>
      </c>
      <c r="L110" s="375">
        <f t="shared" si="7"/>
        <v>720</v>
      </c>
      <c r="M110" s="375">
        <f>E110-D110</f>
        <v>-3844</v>
      </c>
      <c r="N110" s="374">
        <f>IF(D110=0,0,M110/D110)</f>
        <v>-0.22433615407061569</v>
      </c>
      <c r="O110" s="372" t="s">
        <v>56</v>
      </c>
      <c r="P110" s="372"/>
      <c r="Q110" s="372"/>
      <c r="R110" s="372"/>
      <c r="S110" s="350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>
        <f>SUM(AD111,AD134)</f>
        <v>13291000</v>
      </c>
      <c r="AE110" s="370" t="s">
        <v>71</v>
      </c>
      <c r="AF110" s="373"/>
    </row>
    <row r="111" spans="1:32" s="40" customFormat="1" ht="21" customHeight="1">
      <c r="A111" s="60"/>
      <c r="B111" s="82" t="s">
        <v>47</v>
      </c>
      <c r="C111" s="82" t="s">
        <v>228</v>
      </c>
      <c r="D111" s="311">
        <v>14020</v>
      </c>
      <c r="E111" s="311">
        <f t="shared" ref="E111:L111" si="8">SUM(E112,E119,E123,E127,E131)</f>
        <v>11976</v>
      </c>
      <c r="F111" s="311">
        <f t="shared" si="8"/>
        <v>4950</v>
      </c>
      <c r="G111" s="311">
        <f t="shared" si="8"/>
        <v>0</v>
      </c>
      <c r="H111" s="311">
        <f t="shared" si="8"/>
        <v>0</v>
      </c>
      <c r="I111" s="311">
        <f t="shared" si="8"/>
        <v>858</v>
      </c>
      <c r="J111" s="311">
        <f t="shared" si="8"/>
        <v>5648</v>
      </c>
      <c r="K111" s="311">
        <f t="shared" si="8"/>
        <v>0</v>
      </c>
      <c r="L111" s="311">
        <f t="shared" si="8"/>
        <v>720</v>
      </c>
      <c r="M111" s="311">
        <f>E111-D111</f>
        <v>-2044</v>
      </c>
      <c r="N111" s="167">
        <f>IF(D111=0,0,M111/D111)</f>
        <v>-0.14579172610556348</v>
      </c>
      <c r="O111" s="372"/>
      <c r="P111" s="372"/>
      <c r="Q111" s="372"/>
      <c r="R111" s="372"/>
      <c r="S111" s="350"/>
      <c r="T111" s="67"/>
      <c r="U111" s="67"/>
      <c r="V111" s="67"/>
      <c r="W111" s="67"/>
      <c r="X111" s="67"/>
      <c r="Y111" s="67" t="s">
        <v>227</v>
      </c>
      <c r="Z111" s="67"/>
      <c r="AA111" s="67"/>
      <c r="AB111" s="67"/>
      <c r="AC111" s="371"/>
      <c r="AD111" s="371">
        <f>SUM(AD112,AD119,AD123,AD127,AD131)</f>
        <v>11976000</v>
      </c>
      <c r="AE111" s="370" t="s">
        <v>71</v>
      </c>
      <c r="AF111" s="33"/>
    </row>
    <row r="112" spans="1:32" s="40" customFormat="1" ht="21" customHeight="1">
      <c r="A112" s="60"/>
      <c r="B112" s="60"/>
      <c r="C112" s="82" t="s">
        <v>46</v>
      </c>
      <c r="D112" s="312">
        <v>12200</v>
      </c>
      <c r="E112" s="364">
        <f>AD112/1000</f>
        <v>10662</v>
      </c>
      <c r="F112" s="311">
        <f>SUMIF($AB$113:$AB$118,"보조",$AD$113:$AD$118)/1000</f>
        <v>4950</v>
      </c>
      <c r="G112" s="311">
        <f>SUMIF($AB$113:$AB$118,"7종",$AD$113:$AD$118)/1000</f>
        <v>0</v>
      </c>
      <c r="H112" s="311">
        <f>SUMIF($AB$113:$AB$118,"시비",$AD$113:$AD$118)/1000</f>
        <v>0</v>
      </c>
      <c r="I112" s="311">
        <f>SUMIF($AB$113:$AB$118,"후원",$AD$113:$AD$118)/1000</f>
        <v>192</v>
      </c>
      <c r="J112" s="311">
        <f>SUMIF($AB$113:$AB$118,"입소",$AD$113:$AD$118)/1000</f>
        <v>4800</v>
      </c>
      <c r="K112" s="311">
        <f>SUMIF($AB$113:$AB$118,"법인",$AD$113:$AD$118)/1000</f>
        <v>0</v>
      </c>
      <c r="L112" s="311">
        <f>SUMIF($AB$113:$AB$118,"잡수",$AD$113:$AD$118)/1000</f>
        <v>720</v>
      </c>
      <c r="M112" s="311">
        <f>E112-D112</f>
        <v>-1538</v>
      </c>
      <c r="N112" s="167">
        <f>IF(D112=0,0,M112/D112)</f>
        <v>-0.1260655737704918</v>
      </c>
      <c r="O112" s="351" t="s">
        <v>244</v>
      </c>
      <c r="P112" s="309"/>
      <c r="Q112" s="309"/>
      <c r="R112" s="309"/>
      <c r="S112" s="350"/>
      <c r="T112" s="349"/>
      <c r="U112" s="349"/>
      <c r="V112" s="349"/>
      <c r="W112" s="349"/>
      <c r="X112" s="349"/>
      <c r="Y112" s="348" t="s">
        <v>190</v>
      </c>
      <c r="Z112" s="348"/>
      <c r="AA112" s="348"/>
      <c r="AB112" s="348"/>
      <c r="AC112" s="347"/>
      <c r="AD112" s="347">
        <f>ROUNDDOWN(SUM(AD113:AD117),-3)</f>
        <v>10662000</v>
      </c>
      <c r="AE112" s="346" t="s">
        <v>71</v>
      </c>
      <c r="AF112" s="33"/>
    </row>
    <row r="113" spans="1:33" s="40" customFormat="1" ht="21" customHeight="1">
      <c r="A113" s="60"/>
      <c r="B113" s="60"/>
      <c r="C113" s="60"/>
      <c r="D113" s="358"/>
      <c r="E113" s="360"/>
      <c r="F113" s="273"/>
      <c r="G113" s="273"/>
      <c r="H113" s="273"/>
      <c r="I113" s="273"/>
      <c r="J113" s="273"/>
      <c r="K113" s="273"/>
      <c r="L113" s="273"/>
      <c r="M113" s="273"/>
      <c r="N113" s="84"/>
      <c r="O113" s="188" t="s">
        <v>243</v>
      </c>
      <c r="P113" s="188"/>
      <c r="Q113" s="186"/>
      <c r="R113" s="186"/>
      <c r="S113" s="52">
        <v>200000</v>
      </c>
      <c r="T113" s="186" t="s">
        <v>66</v>
      </c>
      <c r="U113" s="331" t="s">
        <v>131</v>
      </c>
      <c r="V113" s="186">
        <v>6</v>
      </c>
      <c r="W113" s="186" t="s">
        <v>130</v>
      </c>
      <c r="X113" s="331" t="s">
        <v>131</v>
      </c>
      <c r="Y113" s="186">
        <v>4</v>
      </c>
      <c r="Z113" s="186" t="s">
        <v>147</v>
      </c>
      <c r="AA113" s="180" t="s">
        <v>129</v>
      </c>
      <c r="AB113" s="186" t="s">
        <v>202</v>
      </c>
      <c r="AC113" s="155"/>
      <c r="AD113" s="155">
        <f>ROUNDDOWN(S113*V113*Y113,-3)</f>
        <v>4800000</v>
      </c>
      <c r="AE113" s="179" t="s">
        <v>71</v>
      </c>
      <c r="AF113" s="35"/>
    </row>
    <row r="114" spans="1:33" s="40" customFormat="1" ht="21" customHeight="1">
      <c r="A114" s="60"/>
      <c r="B114" s="60"/>
      <c r="C114" s="60"/>
      <c r="D114" s="358"/>
      <c r="E114" s="360"/>
      <c r="F114" s="273"/>
      <c r="G114" s="273"/>
      <c r="H114" s="273"/>
      <c r="I114" s="273"/>
      <c r="J114" s="273"/>
      <c r="K114" s="273"/>
      <c r="L114" s="273"/>
      <c r="M114" s="273"/>
      <c r="N114" s="84"/>
      <c r="O114" s="188" t="s">
        <v>243</v>
      </c>
      <c r="P114" s="188"/>
      <c r="Q114" s="188"/>
      <c r="R114" s="188"/>
      <c r="S114" s="52">
        <v>200000</v>
      </c>
      <c r="T114" s="186" t="s">
        <v>66</v>
      </c>
      <c r="U114" s="331" t="s">
        <v>131</v>
      </c>
      <c r="V114" s="186">
        <v>6</v>
      </c>
      <c r="W114" s="186" t="s">
        <v>130</v>
      </c>
      <c r="X114" s="331" t="s">
        <v>131</v>
      </c>
      <c r="Y114" s="186">
        <v>4</v>
      </c>
      <c r="Z114" s="186" t="s">
        <v>147</v>
      </c>
      <c r="AA114" s="180" t="s">
        <v>129</v>
      </c>
      <c r="AB114" s="186" t="s">
        <v>187</v>
      </c>
      <c r="AC114" s="155"/>
      <c r="AD114" s="155">
        <f>ROUNDDOWN(S114*V114*Y114,-3)</f>
        <v>4800000</v>
      </c>
      <c r="AE114" s="179" t="s">
        <v>71</v>
      </c>
      <c r="AF114" s="35"/>
    </row>
    <row r="115" spans="1:33" s="40" customFormat="1" ht="21" customHeight="1">
      <c r="A115" s="60"/>
      <c r="B115" s="60"/>
      <c r="C115" s="60"/>
      <c r="D115" s="358"/>
      <c r="E115" s="360"/>
      <c r="F115" s="273"/>
      <c r="G115" s="273"/>
      <c r="H115" s="273"/>
      <c r="I115" s="273"/>
      <c r="J115" s="273"/>
      <c r="K115" s="273"/>
      <c r="L115" s="273"/>
      <c r="M115" s="273"/>
      <c r="N115" s="84"/>
      <c r="O115" s="188" t="s">
        <v>361</v>
      </c>
      <c r="P115" s="188"/>
      <c r="Q115" s="188"/>
      <c r="R115" s="188"/>
      <c r="S115" s="52">
        <v>3000</v>
      </c>
      <c r="T115" s="186" t="s">
        <v>66</v>
      </c>
      <c r="U115" s="331" t="s">
        <v>131</v>
      </c>
      <c r="V115" s="186">
        <v>12</v>
      </c>
      <c r="W115" s="186" t="s">
        <v>130</v>
      </c>
      <c r="X115" s="331" t="s">
        <v>131</v>
      </c>
      <c r="Y115" s="186">
        <v>4</v>
      </c>
      <c r="Z115" s="186" t="s">
        <v>147</v>
      </c>
      <c r="AA115" s="180" t="s">
        <v>129</v>
      </c>
      <c r="AB115" s="186" t="s">
        <v>202</v>
      </c>
      <c r="AC115" s="155"/>
      <c r="AD115" s="155">
        <f>ROUNDDOWN(S115*V115*Y115,-3)+6000</f>
        <v>150000</v>
      </c>
      <c r="AE115" s="179" t="s">
        <v>71</v>
      </c>
      <c r="AF115" s="35"/>
    </row>
    <row r="116" spans="1:33" s="40" customFormat="1" ht="21" customHeight="1">
      <c r="A116" s="60"/>
      <c r="B116" s="60"/>
      <c r="C116" s="60"/>
      <c r="D116" s="358"/>
      <c r="E116" s="360"/>
      <c r="F116" s="273"/>
      <c r="G116" s="273"/>
      <c r="H116" s="273"/>
      <c r="I116" s="273"/>
      <c r="J116" s="273"/>
      <c r="K116" s="273"/>
      <c r="L116" s="273"/>
      <c r="M116" s="273"/>
      <c r="N116" s="84"/>
      <c r="O116" s="188" t="s">
        <v>242</v>
      </c>
      <c r="P116" s="188"/>
      <c r="Q116" s="188"/>
      <c r="R116" s="188"/>
      <c r="S116" s="52">
        <v>4000</v>
      </c>
      <c r="T116" s="186" t="s">
        <v>71</v>
      </c>
      <c r="U116" s="331" t="s">
        <v>69</v>
      </c>
      <c r="V116" s="186">
        <v>12</v>
      </c>
      <c r="W116" s="186" t="s">
        <v>68</v>
      </c>
      <c r="X116" s="331" t="s">
        <v>69</v>
      </c>
      <c r="Y116" s="186">
        <v>4</v>
      </c>
      <c r="Z116" s="186" t="s">
        <v>70</v>
      </c>
      <c r="AA116" s="180" t="s">
        <v>67</v>
      </c>
      <c r="AB116" s="186" t="s">
        <v>184</v>
      </c>
      <c r="AC116" s="155"/>
      <c r="AD116" s="155">
        <f>ROUNDDOWN(S116*V116*Y116,-3)</f>
        <v>192000</v>
      </c>
      <c r="AE116" s="179" t="s">
        <v>71</v>
      </c>
      <c r="AF116" s="35"/>
    </row>
    <row r="117" spans="1:33" s="40" customFormat="1" ht="21" customHeight="1">
      <c r="A117" s="60"/>
      <c r="B117" s="60"/>
      <c r="C117" s="60"/>
      <c r="D117" s="358"/>
      <c r="E117" s="360"/>
      <c r="F117" s="273"/>
      <c r="G117" s="273"/>
      <c r="H117" s="273"/>
      <c r="I117" s="273"/>
      <c r="J117" s="273"/>
      <c r="K117" s="273"/>
      <c r="L117" s="273"/>
      <c r="M117" s="273"/>
      <c r="N117" s="84"/>
      <c r="O117" s="188" t="s">
        <v>241</v>
      </c>
      <c r="P117" s="188"/>
      <c r="Q117" s="188"/>
      <c r="R117" s="188"/>
      <c r="S117" s="52">
        <v>60000</v>
      </c>
      <c r="T117" s="186" t="s">
        <v>66</v>
      </c>
      <c r="U117" s="331" t="s">
        <v>131</v>
      </c>
      <c r="V117" s="186">
        <v>12</v>
      </c>
      <c r="W117" s="186" t="s">
        <v>130</v>
      </c>
      <c r="X117" s="331" t="s">
        <v>131</v>
      </c>
      <c r="Y117" s="186">
        <v>1</v>
      </c>
      <c r="Z117" s="186" t="s">
        <v>147</v>
      </c>
      <c r="AA117" s="180" t="s">
        <v>129</v>
      </c>
      <c r="AB117" s="186" t="s">
        <v>181</v>
      </c>
      <c r="AC117" s="155"/>
      <c r="AD117" s="155">
        <f>ROUNDDOWN(S117*V117*Y117,-3)</f>
        <v>720000</v>
      </c>
      <c r="AE117" s="179" t="s">
        <v>66</v>
      </c>
      <c r="AF117" s="35"/>
    </row>
    <row r="118" spans="1:33" s="40" customFormat="1" ht="21" customHeight="1">
      <c r="A118" s="60"/>
      <c r="B118" s="60"/>
      <c r="C118" s="129"/>
      <c r="D118" s="301"/>
      <c r="E118" s="369"/>
      <c r="F118" s="300"/>
      <c r="G118" s="300"/>
      <c r="H118" s="300"/>
      <c r="I118" s="300"/>
      <c r="J118" s="300"/>
      <c r="K118" s="300"/>
      <c r="L118" s="300"/>
      <c r="M118" s="300"/>
      <c r="N118" s="126"/>
      <c r="O118" s="367"/>
      <c r="P118" s="367"/>
      <c r="Q118" s="367"/>
      <c r="R118" s="367"/>
      <c r="S118" s="368"/>
      <c r="T118" s="367"/>
      <c r="U118" s="367"/>
      <c r="V118" s="367"/>
      <c r="W118" s="367"/>
      <c r="X118" s="367"/>
      <c r="Y118" s="367"/>
      <c r="Z118" s="367"/>
      <c r="AA118" s="367"/>
      <c r="AB118" s="367"/>
      <c r="AC118" s="367"/>
      <c r="AD118" s="366"/>
      <c r="AE118" s="365"/>
      <c r="AF118" s="35"/>
    </row>
    <row r="119" spans="1:33" s="40" customFormat="1" ht="21" customHeight="1">
      <c r="A119" s="60"/>
      <c r="B119" s="60"/>
      <c r="C119" s="60" t="s">
        <v>240</v>
      </c>
      <c r="D119" s="274">
        <v>660</v>
      </c>
      <c r="E119" s="364">
        <f>AD119/1000</f>
        <v>466</v>
      </c>
      <c r="F119" s="273">
        <v>0</v>
      </c>
      <c r="G119" s="273">
        <f>SUMIF($AB$120:$AB$122,"7종",$AD$120:$AD$122)/1000</f>
        <v>0</v>
      </c>
      <c r="H119" s="273">
        <f>SUMIF($AB$120:$AB$122,"시비",$AD$120:$AD$122)/1000</f>
        <v>0</v>
      </c>
      <c r="I119" s="273">
        <f>SUMIF($AB$120:$AB$122,"후원",$AD$120:$AD$122)/1000</f>
        <v>466</v>
      </c>
      <c r="J119" s="273">
        <f>SUMIF($AB$120:$AB$122,"입소",$AD$120:$AD$122)/1000</f>
        <v>0</v>
      </c>
      <c r="K119" s="273">
        <f>SUMIF($AB$120:$AB$122,"법인",$AD$120:$AD$122)/1000</f>
        <v>0</v>
      </c>
      <c r="L119" s="273">
        <f>SUMIF($AB$120:$AB$122,"잡수",$AD$120:$AD$122)/1000</f>
        <v>0</v>
      </c>
      <c r="M119" s="273">
        <f>E119-D119</f>
        <v>-194</v>
      </c>
      <c r="N119" s="84">
        <f>IF(D119=0,0,M119/D119)</f>
        <v>-0.29393939393939394</v>
      </c>
      <c r="O119" s="351" t="s">
        <v>239</v>
      </c>
      <c r="P119" s="309"/>
      <c r="Q119" s="309"/>
      <c r="R119" s="309"/>
      <c r="S119" s="350"/>
      <c r="T119" s="349"/>
      <c r="U119" s="349"/>
      <c r="V119" s="349"/>
      <c r="W119" s="349"/>
      <c r="X119" s="349"/>
      <c r="Y119" s="348" t="s">
        <v>190</v>
      </c>
      <c r="Z119" s="348"/>
      <c r="AA119" s="348"/>
      <c r="AB119" s="348"/>
      <c r="AC119" s="347"/>
      <c r="AD119" s="347">
        <f>SUM(AD120:AD122)</f>
        <v>466000</v>
      </c>
      <c r="AE119" s="346" t="s">
        <v>71</v>
      </c>
      <c r="AF119" s="33"/>
    </row>
    <row r="120" spans="1:33" s="40" customFormat="1" ht="21" customHeight="1">
      <c r="A120" s="60"/>
      <c r="B120" s="60"/>
      <c r="C120" s="60" t="s">
        <v>238</v>
      </c>
      <c r="D120" s="274"/>
      <c r="E120" s="360"/>
      <c r="F120" s="273"/>
      <c r="G120" s="273"/>
      <c r="H120" s="273"/>
      <c r="I120" s="273"/>
      <c r="J120" s="273"/>
      <c r="K120" s="273"/>
      <c r="L120" s="273"/>
      <c r="M120" s="273"/>
      <c r="N120" s="84"/>
      <c r="O120" s="188" t="s">
        <v>237</v>
      </c>
      <c r="P120" s="188"/>
      <c r="Q120" s="188"/>
      <c r="R120" s="188"/>
      <c r="S120" s="52"/>
      <c r="T120" s="331"/>
      <c r="U120" s="331"/>
      <c r="V120" s="186">
        <v>50000</v>
      </c>
      <c r="W120" s="331" t="s">
        <v>66</v>
      </c>
      <c r="X120" s="331" t="s">
        <v>69</v>
      </c>
      <c r="Y120" s="362">
        <v>6</v>
      </c>
      <c r="Z120" s="363" t="s">
        <v>68</v>
      </c>
      <c r="AA120" s="362" t="s">
        <v>67</v>
      </c>
      <c r="AB120" s="186" t="s">
        <v>184</v>
      </c>
      <c r="AC120" s="186"/>
      <c r="AD120" s="186">
        <f>V120*Y120</f>
        <v>300000</v>
      </c>
      <c r="AE120" s="179" t="s">
        <v>66</v>
      </c>
      <c r="AF120" s="35"/>
      <c r="AG120" s="361"/>
    </row>
    <row r="121" spans="1:33" s="40" customFormat="1" ht="21" customHeight="1">
      <c r="A121" s="60"/>
      <c r="B121" s="60"/>
      <c r="C121" s="60"/>
      <c r="D121" s="274"/>
      <c r="E121" s="360"/>
      <c r="F121" s="273"/>
      <c r="G121" s="273"/>
      <c r="H121" s="273"/>
      <c r="I121" s="273"/>
      <c r="J121" s="273"/>
      <c r="K121" s="273"/>
      <c r="L121" s="273"/>
      <c r="M121" s="273"/>
      <c r="N121" s="84"/>
      <c r="O121" s="188" t="s">
        <v>236</v>
      </c>
      <c r="P121" s="188"/>
      <c r="Q121" s="188"/>
      <c r="R121" s="188"/>
      <c r="S121" s="52"/>
      <c r="T121" s="331"/>
      <c r="U121" s="331"/>
      <c r="V121" s="186"/>
      <c r="W121" s="186"/>
      <c r="X121" s="186"/>
      <c r="Y121" s="186"/>
      <c r="Z121" s="186"/>
      <c r="AA121" s="186"/>
      <c r="AB121" s="186" t="s">
        <v>184</v>
      </c>
      <c r="AC121" s="186"/>
      <c r="AD121" s="186">
        <v>166000</v>
      </c>
      <c r="AE121" s="179" t="s">
        <v>66</v>
      </c>
      <c r="AF121" s="35"/>
    </row>
    <row r="122" spans="1:33" s="40" customFormat="1" ht="21" customHeight="1">
      <c r="A122" s="60"/>
      <c r="B122" s="60"/>
      <c r="C122" s="60"/>
      <c r="D122" s="274"/>
      <c r="E122" s="273"/>
      <c r="F122" s="273"/>
      <c r="G122" s="273"/>
      <c r="H122" s="273"/>
      <c r="I122" s="273"/>
      <c r="J122" s="273"/>
      <c r="K122" s="273"/>
      <c r="L122" s="273"/>
      <c r="M122" s="273"/>
      <c r="N122" s="84"/>
      <c r="O122" s="325"/>
      <c r="P122" s="325"/>
      <c r="Q122" s="325"/>
      <c r="R122" s="325"/>
      <c r="S122" s="209"/>
      <c r="T122" s="335"/>
      <c r="U122" s="331"/>
      <c r="V122" s="323"/>
      <c r="W122" s="324"/>
      <c r="X122" s="324"/>
      <c r="Y122" s="324"/>
      <c r="Z122" s="324"/>
      <c r="AA122" s="324"/>
      <c r="AB122" s="324"/>
      <c r="AC122" s="324"/>
      <c r="AD122" s="324"/>
      <c r="AE122" s="321"/>
      <c r="AF122" s="33"/>
    </row>
    <row r="123" spans="1:33" s="40" customFormat="1" ht="21" customHeight="1">
      <c r="A123" s="60"/>
      <c r="B123" s="60"/>
      <c r="C123" s="82" t="s">
        <v>57</v>
      </c>
      <c r="D123" s="312">
        <v>800</v>
      </c>
      <c r="E123" s="280">
        <f>AD123/1000</f>
        <v>400</v>
      </c>
      <c r="F123" s="311">
        <v>0</v>
      </c>
      <c r="G123" s="311">
        <f>SUMIF($AB$125:$AB$126,"7종",$AD$125:$AD$126)/1000</f>
        <v>0</v>
      </c>
      <c r="H123" s="311">
        <f>SUMIF($AB$125:$AB$126,"시비",$AD$125:$AD$126)/1000</f>
        <v>0</v>
      </c>
      <c r="I123" s="311">
        <f>SUMIF($AB$125:$AB$126,"후원",$AD$125:$AD$126)/1000</f>
        <v>200</v>
      </c>
      <c r="J123" s="311">
        <v>400</v>
      </c>
      <c r="K123" s="311">
        <f>SUMIF($AB$125:$AB$126,"법인",$AD$125:$AD$126)/1000</f>
        <v>0</v>
      </c>
      <c r="L123" s="311">
        <f>SUMIF($AB$125:$AB$126,"잡수",$AD$125:$AD$126)/1000</f>
        <v>0</v>
      </c>
      <c r="M123" s="311">
        <f>E123-D123</f>
        <v>-400</v>
      </c>
      <c r="N123" s="167">
        <f>IF(D123=0,0,M123/D123)</f>
        <v>-0.5</v>
      </c>
      <c r="O123" s="351" t="s">
        <v>235</v>
      </c>
      <c r="P123" s="357"/>
      <c r="Q123" s="309"/>
      <c r="R123" s="309"/>
      <c r="S123" s="350"/>
      <c r="T123" s="349"/>
      <c r="U123" s="349"/>
      <c r="V123" s="349"/>
      <c r="W123" s="349"/>
      <c r="X123" s="349"/>
      <c r="Y123" s="348" t="s">
        <v>190</v>
      </c>
      <c r="Z123" s="348"/>
      <c r="AA123" s="348"/>
      <c r="AB123" s="348"/>
      <c r="AC123" s="347"/>
      <c r="AD123" s="347">
        <f>SUM(AD124:AD125)</f>
        <v>400000</v>
      </c>
      <c r="AE123" s="346" t="s">
        <v>71</v>
      </c>
      <c r="AF123" s="33"/>
    </row>
    <row r="124" spans="1:33" s="40" customFormat="1" ht="21" customHeight="1">
      <c r="A124" s="60"/>
      <c r="B124" s="60"/>
      <c r="C124" s="60"/>
      <c r="D124" s="352"/>
      <c r="E124" s="359"/>
      <c r="F124" s="273"/>
      <c r="G124" s="273"/>
      <c r="H124" s="273"/>
      <c r="I124" s="273"/>
      <c r="J124" s="273"/>
      <c r="K124" s="273"/>
      <c r="L124" s="273"/>
      <c r="M124" s="273"/>
      <c r="N124" s="84"/>
      <c r="O124" s="188" t="s">
        <v>234</v>
      </c>
      <c r="P124" s="188"/>
      <c r="Q124" s="186"/>
      <c r="R124" s="186"/>
      <c r="S124" s="52">
        <v>100000</v>
      </c>
      <c r="T124" s="186" t="s">
        <v>66</v>
      </c>
      <c r="U124" s="188" t="s">
        <v>131</v>
      </c>
      <c r="V124" s="186">
        <v>2</v>
      </c>
      <c r="W124" s="186" t="s">
        <v>147</v>
      </c>
      <c r="X124" s="188"/>
      <c r="Y124" s="186"/>
      <c r="Z124" s="186"/>
      <c r="AA124" s="186" t="s">
        <v>129</v>
      </c>
      <c r="AB124" s="186" t="s">
        <v>187</v>
      </c>
      <c r="AC124" s="155"/>
      <c r="AD124" s="155">
        <f>S124*V124</f>
        <v>200000</v>
      </c>
      <c r="AE124" s="179" t="s">
        <v>71</v>
      </c>
      <c r="AF124" s="33"/>
    </row>
    <row r="125" spans="1:33" s="40" customFormat="1" ht="21" customHeight="1">
      <c r="A125" s="60"/>
      <c r="B125" s="60"/>
      <c r="C125" s="60"/>
      <c r="D125" s="358"/>
      <c r="E125" s="273"/>
      <c r="F125" s="273"/>
      <c r="G125" s="273"/>
      <c r="H125" s="273"/>
      <c r="I125" s="273"/>
      <c r="J125" s="273"/>
      <c r="K125" s="273"/>
      <c r="L125" s="273"/>
      <c r="M125" s="273"/>
      <c r="N125" s="84"/>
      <c r="O125" s="188" t="s">
        <v>234</v>
      </c>
      <c r="P125" s="188"/>
      <c r="Q125" s="186"/>
      <c r="R125" s="186"/>
      <c r="S125" s="52">
        <v>100000</v>
      </c>
      <c r="T125" s="186" t="s">
        <v>66</v>
      </c>
      <c r="U125" s="188" t="s">
        <v>131</v>
      </c>
      <c r="V125" s="186">
        <v>2</v>
      </c>
      <c r="W125" s="186" t="s">
        <v>147</v>
      </c>
      <c r="X125" s="188"/>
      <c r="Y125" s="186"/>
      <c r="Z125" s="186"/>
      <c r="AA125" s="186" t="s">
        <v>129</v>
      </c>
      <c r="AB125" s="186" t="s">
        <v>184</v>
      </c>
      <c r="AC125" s="155"/>
      <c r="AD125" s="155">
        <f>S125*V125</f>
        <v>200000</v>
      </c>
      <c r="AE125" s="179" t="s">
        <v>71</v>
      </c>
      <c r="AF125" s="33"/>
    </row>
    <row r="126" spans="1:33" s="40" customFormat="1" ht="21" customHeight="1">
      <c r="A126" s="60"/>
      <c r="B126" s="60"/>
      <c r="C126" s="60"/>
      <c r="D126" s="274"/>
      <c r="E126" s="273"/>
      <c r="F126" s="273"/>
      <c r="G126" s="273"/>
      <c r="H126" s="273"/>
      <c r="I126" s="273"/>
      <c r="J126" s="273"/>
      <c r="K126" s="273"/>
      <c r="L126" s="273"/>
      <c r="M126" s="273"/>
      <c r="N126" s="84"/>
      <c r="O126" s="188"/>
      <c r="P126" s="188"/>
      <c r="Q126" s="186"/>
      <c r="R126" s="186"/>
      <c r="S126" s="52"/>
      <c r="T126" s="186"/>
      <c r="U126" s="188"/>
      <c r="V126" s="186"/>
      <c r="W126" s="186"/>
      <c r="X126" s="188"/>
      <c r="Y126" s="186"/>
      <c r="Z126" s="186"/>
      <c r="AA126" s="186"/>
      <c r="AB126" s="186"/>
      <c r="AC126" s="155"/>
      <c r="AD126" s="155"/>
      <c r="AE126" s="179"/>
      <c r="AF126" s="33"/>
    </row>
    <row r="127" spans="1:33" s="40" customFormat="1" ht="21" customHeight="1">
      <c r="A127" s="60"/>
      <c r="B127" s="60"/>
      <c r="C127" s="82" t="s">
        <v>58</v>
      </c>
      <c r="D127" s="312">
        <v>210</v>
      </c>
      <c r="E127" s="280">
        <f>AD127/1000</f>
        <v>280</v>
      </c>
      <c r="F127" s="311">
        <v>0</v>
      </c>
      <c r="G127" s="311">
        <f>SUMIF($AB$128:$AB$130,"7종",$AD$128:$AD$130)/1000</f>
        <v>0</v>
      </c>
      <c r="H127" s="311">
        <f>SUMIF($AB$128:$AB$130,"시비",$AD$128:$AD$130)/1000</f>
        <v>0</v>
      </c>
      <c r="I127" s="311">
        <f>SUMIF($AB$128:$AB$130,"후원",$AD$128:$AD$130)/1000</f>
        <v>0</v>
      </c>
      <c r="J127" s="311">
        <f>SUMIF($AB$128:$AB$130,"입소",$AD$128:$AD$130)/1000</f>
        <v>280</v>
      </c>
      <c r="K127" s="311">
        <f>SUMIF($AB$128:$AB$130,"법인",$AD$128:$AD$130)/1000</f>
        <v>0</v>
      </c>
      <c r="L127" s="311">
        <f>SUMIF($AB$128:$AB$130,"잡수",$AD$128:$AD$130)/1000</f>
        <v>0</v>
      </c>
      <c r="M127" s="311">
        <f>E127-D127</f>
        <v>70</v>
      </c>
      <c r="N127" s="167">
        <f>IF(D127=0,0,M127/D127)</f>
        <v>0.33333333333333331</v>
      </c>
      <c r="O127" s="351" t="s">
        <v>233</v>
      </c>
      <c r="P127" s="357"/>
      <c r="Q127" s="309"/>
      <c r="R127" s="309"/>
      <c r="S127" s="350"/>
      <c r="T127" s="349"/>
      <c r="U127" s="349"/>
      <c r="V127" s="349"/>
      <c r="W127" s="349"/>
      <c r="X127" s="349"/>
      <c r="Y127" s="348" t="s">
        <v>190</v>
      </c>
      <c r="Z127" s="348"/>
      <c r="AA127" s="348"/>
      <c r="AB127" s="348"/>
      <c r="AC127" s="347"/>
      <c r="AD127" s="347">
        <f>SUM(AD128:AD129)</f>
        <v>280000</v>
      </c>
      <c r="AE127" s="346" t="s">
        <v>71</v>
      </c>
      <c r="AF127" s="33"/>
    </row>
    <row r="128" spans="1:33" s="291" customFormat="1" ht="21" customHeight="1">
      <c r="A128" s="60"/>
      <c r="B128" s="60"/>
      <c r="C128" s="60"/>
      <c r="D128" s="274"/>
      <c r="E128" s="273"/>
      <c r="F128" s="273"/>
      <c r="G128" s="273"/>
      <c r="H128" s="273"/>
      <c r="I128" s="273"/>
      <c r="J128" s="273"/>
      <c r="K128" s="273"/>
      <c r="L128" s="273"/>
      <c r="M128" s="273"/>
      <c r="N128" s="84"/>
      <c r="O128" s="188" t="s">
        <v>232</v>
      </c>
      <c r="P128" s="188"/>
      <c r="Q128" s="186"/>
      <c r="R128" s="186"/>
      <c r="S128" s="52">
        <v>40000</v>
      </c>
      <c r="T128" s="186" t="s">
        <v>66</v>
      </c>
      <c r="U128" s="188" t="s">
        <v>131</v>
      </c>
      <c r="V128" s="186">
        <v>1</v>
      </c>
      <c r="W128" s="186" t="s">
        <v>208</v>
      </c>
      <c r="X128" s="188" t="s">
        <v>131</v>
      </c>
      <c r="Y128" s="186">
        <v>4</v>
      </c>
      <c r="Z128" s="186" t="s">
        <v>147</v>
      </c>
      <c r="AA128" s="186" t="s">
        <v>129</v>
      </c>
      <c r="AB128" s="186" t="s">
        <v>187</v>
      </c>
      <c r="AC128" s="155"/>
      <c r="AD128" s="155">
        <f>S128*V128*Y128</f>
        <v>160000</v>
      </c>
      <c r="AE128" s="179" t="s">
        <v>71</v>
      </c>
      <c r="AF128" s="260"/>
    </row>
    <row r="129" spans="1:33" s="291" customFormat="1" ht="21" customHeight="1">
      <c r="A129" s="60"/>
      <c r="B129" s="60"/>
      <c r="C129" s="60"/>
      <c r="D129" s="274"/>
      <c r="E129" s="273"/>
      <c r="F129" s="273"/>
      <c r="G129" s="273"/>
      <c r="H129" s="273"/>
      <c r="I129" s="273"/>
      <c r="J129" s="273"/>
      <c r="K129" s="273"/>
      <c r="L129" s="273"/>
      <c r="M129" s="273"/>
      <c r="N129" s="356"/>
      <c r="O129" s="131" t="s">
        <v>231</v>
      </c>
      <c r="P129" s="188"/>
      <c r="Q129" s="186"/>
      <c r="R129" s="186"/>
      <c r="S129" s="52"/>
      <c r="T129" s="186"/>
      <c r="U129" s="188"/>
      <c r="V129" s="186"/>
      <c r="W129" s="186"/>
      <c r="X129" s="188"/>
      <c r="Y129" s="186"/>
      <c r="Z129" s="186"/>
      <c r="AA129" s="186"/>
      <c r="AB129" s="186" t="s">
        <v>187</v>
      </c>
      <c r="AC129" s="155"/>
      <c r="AD129" s="155">
        <v>120000</v>
      </c>
      <c r="AE129" s="179" t="s">
        <v>66</v>
      </c>
      <c r="AF129" s="260"/>
    </row>
    <row r="130" spans="1:33" s="40" customFormat="1" ht="21" customHeight="1">
      <c r="A130" s="60"/>
      <c r="B130" s="60"/>
      <c r="C130" s="129"/>
      <c r="D130" s="301"/>
      <c r="E130" s="355"/>
      <c r="F130" s="355"/>
      <c r="G130" s="355"/>
      <c r="H130" s="355"/>
      <c r="I130" s="355"/>
      <c r="J130" s="355"/>
      <c r="K130" s="355"/>
      <c r="L130" s="355"/>
      <c r="M130" s="354"/>
      <c r="N130" s="126"/>
      <c r="O130" s="317"/>
      <c r="P130" s="317"/>
      <c r="Q130" s="317"/>
      <c r="R130" s="317"/>
      <c r="S130" s="333"/>
      <c r="T130" s="353"/>
      <c r="U130" s="186"/>
      <c r="V130" s="180"/>
      <c r="W130" s="186"/>
      <c r="X130" s="186"/>
      <c r="Y130" s="186"/>
      <c r="Z130" s="186"/>
      <c r="AA130" s="186"/>
      <c r="AB130" s="186"/>
      <c r="AC130" s="186"/>
      <c r="AD130" s="186"/>
      <c r="AE130" s="179"/>
      <c r="AF130" s="33"/>
    </row>
    <row r="131" spans="1:33" s="40" customFormat="1" ht="21" customHeight="1">
      <c r="A131" s="60"/>
      <c r="B131" s="60"/>
      <c r="C131" s="60" t="s">
        <v>59</v>
      </c>
      <c r="D131" s="352">
        <v>150</v>
      </c>
      <c r="E131" s="280">
        <f>AD131/1000</f>
        <v>168</v>
      </c>
      <c r="F131" s="273">
        <v>0</v>
      </c>
      <c r="G131" s="273">
        <f>SUMIF($AB$132:$AB$133,"7종",$AD$132:$AD$133)/1000</f>
        <v>0</v>
      </c>
      <c r="H131" s="273">
        <f>SUMIF($AB$132:$AB$133,"시비",$AD$132:$AD$133)/1000</f>
        <v>0</v>
      </c>
      <c r="I131" s="273">
        <f>SUMIF($AB$132:$AB$133,"후원",$AD$132:$AD$133)/1000</f>
        <v>0</v>
      </c>
      <c r="J131" s="273">
        <f>SUMIF($AB$132:$AB$133,"입소",$AD$132:$AD$133)/1000</f>
        <v>168</v>
      </c>
      <c r="K131" s="273">
        <f>SUMIF($AB$132:$AB$133,"법인",$AD$132:$AD$133)/1000</f>
        <v>0</v>
      </c>
      <c r="L131" s="273">
        <f>SUMIF($AB$132:$AB$133,"잡수",$AD$132:$AD$133)/1000</f>
        <v>0</v>
      </c>
      <c r="M131" s="273">
        <f>E131-D131</f>
        <v>18</v>
      </c>
      <c r="N131" s="84">
        <f>IF(D131=0,0,M131/D131)</f>
        <v>0.12</v>
      </c>
      <c r="O131" s="351" t="s">
        <v>230</v>
      </c>
      <c r="P131" s="309"/>
      <c r="Q131" s="309"/>
      <c r="R131" s="309"/>
      <c r="S131" s="350"/>
      <c r="T131" s="349"/>
      <c r="U131" s="349"/>
      <c r="V131" s="349"/>
      <c r="W131" s="349"/>
      <c r="X131" s="349"/>
      <c r="Y131" s="348" t="s">
        <v>190</v>
      </c>
      <c r="Z131" s="348"/>
      <c r="AA131" s="348"/>
      <c r="AB131" s="348"/>
      <c r="AC131" s="347"/>
      <c r="AD131" s="347">
        <f>ROUND(SUM(AD132:AD132),-3)</f>
        <v>168000</v>
      </c>
      <c r="AE131" s="346" t="s">
        <v>71</v>
      </c>
      <c r="AF131" s="33"/>
    </row>
    <row r="132" spans="1:33" s="40" customFormat="1" ht="21" customHeight="1">
      <c r="A132" s="60"/>
      <c r="B132" s="60"/>
      <c r="C132" s="60"/>
      <c r="D132" s="274"/>
      <c r="E132" s="273"/>
      <c r="F132" s="273"/>
      <c r="G132" s="273"/>
      <c r="H132" s="273"/>
      <c r="I132" s="273"/>
      <c r="J132" s="273"/>
      <c r="K132" s="273"/>
      <c r="L132" s="273"/>
      <c r="M132" s="273"/>
      <c r="N132" s="84"/>
      <c r="O132" s="188" t="s">
        <v>229</v>
      </c>
      <c r="P132" s="188"/>
      <c r="Q132" s="188"/>
      <c r="R132" s="188"/>
      <c r="S132" s="52">
        <v>28000</v>
      </c>
      <c r="T132" s="331" t="s">
        <v>66</v>
      </c>
      <c r="U132" s="331" t="s">
        <v>69</v>
      </c>
      <c r="V132" s="186">
        <v>6</v>
      </c>
      <c r="W132" s="186" t="s">
        <v>130</v>
      </c>
      <c r="X132" s="180"/>
      <c r="Y132" s="341"/>
      <c r="Z132" s="340"/>
      <c r="AA132" s="339" t="s">
        <v>129</v>
      </c>
      <c r="AB132" s="186" t="s">
        <v>187</v>
      </c>
      <c r="AC132" s="186"/>
      <c r="AD132" s="186">
        <f>S132*V132</f>
        <v>168000</v>
      </c>
      <c r="AE132" s="179" t="s">
        <v>71</v>
      </c>
      <c r="AF132" s="33"/>
    </row>
    <row r="133" spans="1:33" s="40" customFormat="1" ht="21" customHeight="1">
      <c r="A133" s="60"/>
      <c r="B133" s="60"/>
      <c r="C133" s="60"/>
      <c r="D133" s="274"/>
      <c r="E133" s="273"/>
      <c r="F133" s="273"/>
      <c r="G133" s="273"/>
      <c r="H133" s="273"/>
      <c r="I133" s="273"/>
      <c r="J133" s="273"/>
      <c r="K133" s="273"/>
      <c r="L133" s="273"/>
      <c r="M133" s="273"/>
      <c r="N133" s="84"/>
      <c r="O133" s="188"/>
      <c r="P133" s="188"/>
      <c r="Q133" s="188"/>
      <c r="R133" s="188"/>
      <c r="S133" s="52"/>
      <c r="T133" s="331"/>
      <c r="U133" s="188"/>
      <c r="V133" s="186"/>
      <c r="W133" s="188"/>
      <c r="X133" s="186"/>
      <c r="Y133" s="186"/>
      <c r="Z133" s="186"/>
      <c r="AA133" s="186"/>
      <c r="AB133" s="186"/>
      <c r="AC133" s="186"/>
      <c r="AD133" s="186"/>
      <c r="AE133" s="179"/>
      <c r="AF133" s="33"/>
    </row>
    <row r="134" spans="1:33" s="40" customFormat="1" ht="21" customHeight="1">
      <c r="A134" s="60"/>
      <c r="B134" s="82" t="s">
        <v>210</v>
      </c>
      <c r="C134" s="345" t="s">
        <v>228</v>
      </c>
      <c r="D134" s="290">
        <v>3115</v>
      </c>
      <c r="E134" s="290">
        <f t="shared" ref="E134:L134" si="9">SUM(E135,E139,E142,E145,E148,E151,E154)</f>
        <v>1315</v>
      </c>
      <c r="F134" s="290">
        <f t="shared" si="9"/>
        <v>0</v>
      </c>
      <c r="G134" s="290">
        <f t="shared" si="9"/>
        <v>0</v>
      </c>
      <c r="H134" s="290">
        <f t="shared" si="9"/>
        <v>0</v>
      </c>
      <c r="I134" s="290">
        <f t="shared" si="9"/>
        <v>0</v>
      </c>
      <c r="J134" s="290">
        <f t="shared" si="9"/>
        <v>1315</v>
      </c>
      <c r="K134" s="290">
        <f t="shared" si="9"/>
        <v>0</v>
      </c>
      <c r="L134" s="290">
        <f t="shared" si="9"/>
        <v>0</v>
      </c>
      <c r="M134" s="290">
        <f>E134-D134</f>
        <v>-1800</v>
      </c>
      <c r="N134" s="289">
        <f>IF(D134=0,0,M134/D134)</f>
        <v>-0.5778491171749599</v>
      </c>
      <c r="O134" s="68"/>
      <c r="P134" s="68"/>
      <c r="Q134" s="68"/>
      <c r="R134" s="68"/>
      <c r="S134" s="344"/>
      <c r="T134" s="278"/>
      <c r="U134" s="278"/>
      <c r="V134" s="278"/>
      <c r="W134" s="278"/>
      <c r="X134" s="278"/>
      <c r="Y134" s="278" t="s">
        <v>227</v>
      </c>
      <c r="Z134" s="278"/>
      <c r="AA134" s="278"/>
      <c r="AB134" s="278"/>
      <c r="AC134" s="343"/>
      <c r="AD134" s="343">
        <f>SUM(AD135,AD139,AD142,AD145,AD148,AD151,AD154)</f>
        <v>1315000</v>
      </c>
      <c r="AE134" s="288" t="s">
        <v>71</v>
      </c>
      <c r="AF134" s="33"/>
    </row>
    <row r="135" spans="1:33" s="296" customFormat="1" ht="24" customHeight="1">
      <c r="A135" s="60"/>
      <c r="B135" s="60" t="s">
        <v>56</v>
      </c>
      <c r="C135" s="82" t="s">
        <v>226</v>
      </c>
      <c r="D135" s="337">
        <v>320</v>
      </c>
      <c r="E135" s="280">
        <f>AD135/1000</f>
        <v>210</v>
      </c>
      <c r="F135" s="273">
        <f>SUMIF($AB$136:$AB$138,"보조",$AD$136:$AD$138)/1000</f>
        <v>0</v>
      </c>
      <c r="G135" s="273">
        <f>SUMIF($AB$136:$AB$138,"7종",$AD$136:$AD$138)/1000</f>
        <v>0</v>
      </c>
      <c r="H135" s="273">
        <f>SUMIF($AB$136:$AB$138,"시비",$AD$136:$AD$138)/1000</f>
        <v>0</v>
      </c>
      <c r="I135" s="273">
        <f>SUMIF($AB$136:$AB$138,"후원",$AD$136:$AD$138)/1000</f>
        <v>0</v>
      </c>
      <c r="J135" s="273">
        <f>SUMIF($AB$136:$AB$138,"입소",$AD$136:$AD$138)/1000</f>
        <v>210</v>
      </c>
      <c r="K135" s="273">
        <f>SUMIF($AB$136:$AB$138,"법인",$AD$136:$AD$138)/1000</f>
        <v>0</v>
      </c>
      <c r="L135" s="273">
        <f>SUMIF($AB$136:$AB$138,"잡수",$AD$136:$AD$138)/1000</f>
        <v>0</v>
      </c>
      <c r="M135" s="273">
        <f>E135-D135</f>
        <v>-110</v>
      </c>
      <c r="N135" s="84">
        <f>IF(D135=0,0,M135/D135)</f>
        <v>-0.34375</v>
      </c>
      <c r="O135" s="85"/>
      <c r="P135" s="94"/>
      <c r="Q135" s="94"/>
      <c r="R135" s="94"/>
      <c r="S135" s="319"/>
      <c r="T135" s="93"/>
      <c r="U135" s="93"/>
      <c r="V135" s="93"/>
      <c r="W135" s="342" t="s">
        <v>211</v>
      </c>
      <c r="X135" s="342"/>
      <c r="Y135" s="342"/>
      <c r="Z135" s="342"/>
      <c r="AA135" s="342"/>
      <c r="AB135" s="342"/>
      <c r="AC135" s="66"/>
      <c r="AD135" s="66">
        <f>SUM(AD136:AD137)</f>
        <v>210000</v>
      </c>
      <c r="AE135" s="65" t="s">
        <v>71</v>
      </c>
      <c r="AF135" s="297"/>
    </row>
    <row r="136" spans="1:33" s="296" customFormat="1" ht="24" customHeight="1">
      <c r="A136" s="60"/>
      <c r="B136" s="60"/>
      <c r="C136" s="60" t="s">
        <v>216</v>
      </c>
      <c r="D136" s="336"/>
      <c r="E136" s="273"/>
      <c r="F136" s="273"/>
      <c r="G136" s="273"/>
      <c r="H136" s="273"/>
      <c r="I136" s="273"/>
      <c r="J136" s="273"/>
      <c r="K136" s="273"/>
      <c r="L136" s="273"/>
      <c r="M136" s="273"/>
      <c r="N136" s="84"/>
      <c r="O136" s="188" t="s">
        <v>225</v>
      </c>
      <c r="P136" s="188"/>
      <c r="Q136" s="188"/>
      <c r="R136" s="188"/>
      <c r="S136" s="52">
        <v>50000</v>
      </c>
      <c r="T136" s="331" t="s">
        <v>66</v>
      </c>
      <c r="U136" s="331" t="s">
        <v>69</v>
      </c>
      <c r="V136" s="186">
        <v>3</v>
      </c>
      <c r="W136" s="186" t="s">
        <v>147</v>
      </c>
      <c r="X136" s="331" t="s">
        <v>69</v>
      </c>
      <c r="Y136" s="341">
        <v>1</v>
      </c>
      <c r="Z136" s="340" t="s">
        <v>208</v>
      </c>
      <c r="AA136" s="339" t="s">
        <v>129</v>
      </c>
      <c r="AB136" s="186" t="s">
        <v>187</v>
      </c>
      <c r="AC136" s="186"/>
      <c r="AD136" s="186">
        <f>S136*V136*Y136</f>
        <v>150000</v>
      </c>
      <c r="AE136" s="179" t="s">
        <v>71</v>
      </c>
      <c r="AF136" s="297"/>
    </row>
    <row r="137" spans="1:33" s="296" customFormat="1" ht="24" customHeight="1">
      <c r="A137" s="60"/>
      <c r="B137" s="60"/>
      <c r="C137" s="60"/>
      <c r="D137" s="336"/>
      <c r="E137" s="273"/>
      <c r="F137" s="273"/>
      <c r="G137" s="273"/>
      <c r="H137" s="273"/>
      <c r="I137" s="273"/>
      <c r="J137" s="273"/>
      <c r="K137" s="273"/>
      <c r="L137" s="273"/>
      <c r="M137" s="273"/>
      <c r="N137" s="84"/>
      <c r="O137" s="188" t="s">
        <v>224</v>
      </c>
      <c r="P137" s="188"/>
      <c r="Q137" s="188"/>
      <c r="R137" s="188"/>
      <c r="S137" s="52">
        <v>20000</v>
      </c>
      <c r="T137" s="331" t="s">
        <v>66</v>
      </c>
      <c r="U137" s="331" t="s">
        <v>69</v>
      </c>
      <c r="V137" s="186">
        <v>3</v>
      </c>
      <c r="W137" s="186" t="s">
        <v>208</v>
      </c>
      <c r="X137" s="331"/>
      <c r="Y137" s="341"/>
      <c r="Z137" s="340"/>
      <c r="AA137" s="339" t="s">
        <v>129</v>
      </c>
      <c r="AB137" s="186" t="s">
        <v>187</v>
      </c>
      <c r="AC137" s="186"/>
      <c r="AD137" s="186">
        <f>S137*V137</f>
        <v>60000</v>
      </c>
      <c r="AE137" s="179" t="s">
        <v>71</v>
      </c>
      <c r="AF137" s="297"/>
    </row>
    <row r="138" spans="1:33" s="296" customFormat="1" ht="24" customHeight="1">
      <c r="A138" s="60"/>
      <c r="B138" s="60"/>
      <c r="C138" s="129"/>
      <c r="D138" s="301"/>
      <c r="E138" s="300"/>
      <c r="F138" s="300"/>
      <c r="G138" s="300"/>
      <c r="H138" s="300"/>
      <c r="I138" s="300"/>
      <c r="J138" s="300"/>
      <c r="K138" s="300"/>
      <c r="L138" s="300"/>
      <c r="M138" s="300"/>
      <c r="N138" s="126"/>
      <c r="O138" s="325"/>
      <c r="P138" s="325"/>
      <c r="Q138" s="325"/>
      <c r="R138" s="325"/>
      <c r="S138" s="209"/>
      <c r="T138" s="324"/>
      <c r="U138" s="325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1"/>
      <c r="AF138" s="297"/>
    </row>
    <row r="139" spans="1:33" s="296" customFormat="1" ht="24" customHeight="1">
      <c r="A139" s="60"/>
      <c r="B139" s="60"/>
      <c r="C139" s="82" t="s">
        <v>223</v>
      </c>
      <c r="D139" s="312">
        <v>200</v>
      </c>
      <c r="E139" s="280">
        <f>AD139/1000</f>
        <v>0</v>
      </c>
      <c r="F139" s="273">
        <f>SUMIF($AB$140:$AB$141,"보조",$AD$140:$AD$141)/1000</f>
        <v>0</v>
      </c>
      <c r="G139" s="273">
        <f>SUMIF($AB$140:$AB$141,"7종",$AD$140:$AD$141)/1000</f>
        <v>0</v>
      </c>
      <c r="H139" s="273">
        <f>SUMIF($AB$140:$AB$141,"시비",$AD$140:$AD$141)/1000</f>
        <v>0</v>
      </c>
      <c r="I139" s="273">
        <f>SUMIF($AB$140:$AB$141,"후원",$AD$140:$AD$141)/1000</f>
        <v>0</v>
      </c>
      <c r="J139" s="273">
        <f>SUMIF($AB$140:$AB$141,"입소",$AD$140:$AD$141)/1000</f>
        <v>0</v>
      </c>
      <c r="K139" s="273">
        <f>SUMIF($AB$140:$AB$141,"법인",$AD$140:$AD$141)/1000</f>
        <v>0</v>
      </c>
      <c r="L139" s="273">
        <f>SUMIF($AB$140:$AB$141,"잡수",$AD$140:$AD$141)/1000</f>
        <v>0</v>
      </c>
      <c r="M139" s="273">
        <f>E139-D139</f>
        <v>-200</v>
      </c>
      <c r="N139" s="84">
        <f>IF(D139=0,0,M139/D139)</f>
        <v>-1</v>
      </c>
      <c r="O139" s="310"/>
      <c r="P139" s="309"/>
      <c r="Q139" s="309"/>
      <c r="R139" s="307"/>
      <c r="S139" s="308"/>
      <c r="T139" s="307"/>
      <c r="U139" s="307"/>
      <c r="V139" s="307"/>
      <c r="W139" s="306" t="s">
        <v>211</v>
      </c>
      <c r="X139" s="306"/>
      <c r="Y139" s="306"/>
      <c r="Z139" s="306"/>
      <c r="AA139" s="306"/>
      <c r="AB139" s="306"/>
      <c r="AC139" s="305"/>
      <c r="AD139" s="305">
        <f>SUM(AD140:AD140)</f>
        <v>0</v>
      </c>
      <c r="AE139" s="304" t="s">
        <v>71</v>
      </c>
      <c r="AF139" s="297"/>
    </row>
    <row r="140" spans="1:33" s="296" customFormat="1" ht="24" customHeight="1">
      <c r="A140" s="60"/>
      <c r="B140" s="60"/>
      <c r="C140" s="60" t="s">
        <v>56</v>
      </c>
      <c r="D140" s="336"/>
      <c r="E140" s="273"/>
      <c r="F140" s="273"/>
      <c r="G140" s="273"/>
      <c r="H140" s="273"/>
      <c r="I140" s="273"/>
      <c r="J140" s="273"/>
      <c r="K140" s="273"/>
      <c r="L140" s="273"/>
      <c r="M140" s="273"/>
      <c r="N140" s="84"/>
      <c r="O140" s="188" t="s">
        <v>222</v>
      </c>
      <c r="P140" s="188"/>
      <c r="Q140" s="188"/>
      <c r="R140" s="188"/>
      <c r="S140" s="52"/>
      <c r="T140" s="331" t="s">
        <v>66</v>
      </c>
      <c r="U140" s="331" t="s">
        <v>69</v>
      </c>
      <c r="V140" s="186"/>
      <c r="W140" s="188" t="s">
        <v>208</v>
      </c>
      <c r="X140" s="186"/>
      <c r="Y140" s="328"/>
      <c r="Z140" s="328" t="s">
        <v>129</v>
      </c>
      <c r="AA140" s="328"/>
      <c r="AB140" s="328"/>
      <c r="AC140" s="328"/>
      <c r="AD140" s="327">
        <f>S140*V140</f>
        <v>0</v>
      </c>
      <c r="AE140" s="326" t="s">
        <v>66</v>
      </c>
      <c r="AF140" s="297"/>
    </row>
    <row r="141" spans="1:33" s="296" customFormat="1" ht="24" customHeight="1">
      <c r="A141" s="60"/>
      <c r="B141" s="60"/>
      <c r="C141" s="129"/>
      <c r="D141" s="338"/>
      <c r="E141" s="300"/>
      <c r="F141" s="300"/>
      <c r="G141" s="300"/>
      <c r="H141" s="300"/>
      <c r="I141" s="300"/>
      <c r="J141" s="300"/>
      <c r="K141" s="300"/>
      <c r="L141" s="300"/>
      <c r="M141" s="300"/>
      <c r="N141" s="126"/>
      <c r="O141" s="325"/>
      <c r="P141" s="325"/>
      <c r="Q141" s="325"/>
      <c r="R141" s="325"/>
      <c r="S141" s="203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3"/>
      <c r="AD141" s="323"/>
      <c r="AE141" s="321"/>
      <c r="AF141" s="297"/>
      <c r="AG141" s="297"/>
    </row>
    <row r="142" spans="1:33" s="296" customFormat="1" ht="24" customHeight="1">
      <c r="A142" s="60"/>
      <c r="B142" s="60"/>
      <c r="C142" s="82" t="s">
        <v>221</v>
      </c>
      <c r="D142" s="337">
        <v>300</v>
      </c>
      <c r="E142" s="280">
        <f>AD142/1000</f>
        <v>250</v>
      </c>
      <c r="F142" s="311">
        <f>SUMIF($AB$143:$AB$144,"보조",$AD$143:$AD$144)/1000</f>
        <v>0</v>
      </c>
      <c r="G142" s="311">
        <f>SUMIF($AB$143:$AB$144,"7종",$AD$143:$AD$144)/1000</f>
        <v>0</v>
      </c>
      <c r="H142" s="311">
        <f>SUMIF($AB$143:$AB$144,"시비",$AD$143:$AD$144)/1000</f>
        <v>0</v>
      </c>
      <c r="I142" s="311">
        <f>SUMIF($AB$143:$AB$144,"후원",$AD$143:$AD$144)/1000</f>
        <v>0</v>
      </c>
      <c r="J142" s="311">
        <f>SUMIF($AB$143:$AB$144,"입소",$AD$143:$AD$144)/1000</f>
        <v>250</v>
      </c>
      <c r="K142" s="311">
        <f>SUMIF($AB$143:$AB$144,"법인",$AD$143:$AD$144)/1000</f>
        <v>0</v>
      </c>
      <c r="L142" s="311">
        <f>SUMIF($AB$143:$AB$144,"잡수",$AD$143:$AD$144)/1000</f>
        <v>0</v>
      </c>
      <c r="M142" s="311">
        <f>E142-D142</f>
        <v>-50</v>
      </c>
      <c r="N142" s="167">
        <f>IF(D142=0,0,M142/D142)</f>
        <v>-0.16666666666666666</v>
      </c>
      <c r="O142" s="310"/>
      <c r="P142" s="309"/>
      <c r="Q142" s="309"/>
      <c r="R142" s="307"/>
      <c r="S142" s="308"/>
      <c r="T142" s="307"/>
      <c r="U142" s="307"/>
      <c r="V142" s="307"/>
      <c r="W142" s="306" t="s">
        <v>211</v>
      </c>
      <c r="X142" s="306"/>
      <c r="Y142" s="306"/>
      <c r="Z142" s="306"/>
      <c r="AA142" s="306"/>
      <c r="AB142" s="306"/>
      <c r="AC142" s="305"/>
      <c r="AD142" s="305">
        <f>SUM(AD143:AD143)</f>
        <v>250000</v>
      </c>
      <c r="AE142" s="304" t="s">
        <v>71</v>
      </c>
      <c r="AF142" s="297"/>
      <c r="AG142" s="297"/>
    </row>
    <row r="143" spans="1:33" s="296" customFormat="1" ht="24" customHeight="1">
      <c r="A143" s="60"/>
      <c r="B143" s="60"/>
      <c r="C143" s="60" t="s">
        <v>216</v>
      </c>
      <c r="D143" s="336"/>
      <c r="E143" s="273"/>
      <c r="F143" s="273"/>
      <c r="G143" s="273"/>
      <c r="H143" s="273"/>
      <c r="I143" s="273"/>
      <c r="J143" s="273"/>
      <c r="K143" s="273"/>
      <c r="L143" s="273"/>
      <c r="M143" s="273"/>
      <c r="N143" s="84"/>
      <c r="O143" s="188" t="s">
        <v>220</v>
      </c>
      <c r="P143" s="303"/>
      <c r="Q143" s="303"/>
      <c r="R143" s="302"/>
      <c r="S143" s="52">
        <v>10000</v>
      </c>
      <c r="T143" s="186" t="s">
        <v>66</v>
      </c>
      <c r="U143" s="188" t="s">
        <v>131</v>
      </c>
      <c r="V143" s="186">
        <v>5</v>
      </c>
      <c r="W143" s="186" t="s">
        <v>147</v>
      </c>
      <c r="X143" s="188" t="s">
        <v>131</v>
      </c>
      <c r="Y143" s="334">
        <v>5</v>
      </c>
      <c r="Z143" s="180" t="s">
        <v>208</v>
      </c>
      <c r="AA143" s="180" t="s">
        <v>129</v>
      </c>
      <c r="AB143" s="186" t="s">
        <v>187</v>
      </c>
      <c r="AC143" s="155"/>
      <c r="AD143" s="186">
        <f>S143*V143*Y143</f>
        <v>250000</v>
      </c>
      <c r="AE143" s="179" t="s">
        <v>66</v>
      </c>
      <c r="AF143" s="297"/>
      <c r="AG143" s="297"/>
    </row>
    <row r="144" spans="1:33" s="296" customFormat="1" ht="24" customHeight="1">
      <c r="A144" s="60"/>
      <c r="B144" s="60"/>
      <c r="C144" s="129"/>
      <c r="D144" s="301"/>
      <c r="E144" s="300"/>
      <c r="F144" s="300"/>
      <c r="G144" s="300"/>
      <c r="H144" s="300"/>
      <c r="I144" s="300"/>
      <c r="J144" s="300"/>
      <c r="K144" s="300"/>
      <c r="L144" s="300"/>
      <c r="M144" s="300"/>
      <c r="N144" s="126"/>
      <c r="O144" s="325"/>
      <c r="P144" s="325"/>
      <c r="Q144" s="325"/>
      <c r="R144" s="325"/>
      <c r="S144" s="203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3"/>
      <c r="AD144" s="322"/>
      <c r="AE144" s="321"/>
      <c r="AF144" s="297"/>
    </row>
    <row r="145" spans="1:32" s="296" customFormat="1" ht="24" customHeight="1">
      <c r="A145" s="60"/>
      <c r="B145" s="60"/>
      <c r="C145" s="82" t="s">
        <v>219</v>
      </c>
      <c r="D145" s="312">
        <v>1200</v>
      </c>
      <c r="E145" s="280">
        <f>AD145/1000</f>
        <v>600</v>
      </c>
      <c r="F145" s="311">
        <f>SUMIF($AB$146:$AB$147,"보조",$AD$146:$AD$147)/1000</f>
        <v>0</v>
      </c>
      <c r="G145" s="311">
        <f>SUMIF($AB$146:$AB$147,"7종",$AD$146:$AD$147)/1000</f>
        <v>0</v>
      </c>
      <c r="H145" s="311">
        <f>SUMIF($AB$146:$AB$147,"시비",$AD$146:$AD$147)/1000</f>
        <v>0</v>
      </c>
      <c r="I145" s="311">
        <f>SUMIF($AB$146:$AB$147,"후원",$AD$146:$AD$147)/1000</f>
        <v>0</v>
      </c>
      <c r="J145" s="311">
        <f>SUMIF($AB$146:$AB$147,"입소",$AD$146:$AD$147)/1000</f>
        <v>600</v>
      </c>
      <c r="K145" s="311">
        <f>SUMIF($AB$146:$AB$147,"법인",$AD$146:$AD$147)/1000</f>
        <v>0</v>
      </c>
      <c r="L145" s="311">
        <f>SUMIF($AB$146:$AB$147,"잡수",$AD$146:$AD$147)/1000</f>
        <v>0</v>
      </c>
      <c r="M145" s="311">
        <f>E145-D145</f>
        <v>-600</v>
      </c>
      <c r="N145" s="167">
        <f>IF(D145=0,0,M145/D145)</f>
        <v>-0.5</v>
      </c>
      <c r="O145" s="310"/>
      <c r="P145" s="309"/>
      <c r="Q145" s="309"/>
      <c r="R145" s="307"/>
      <c r="S145" s="308"/>
      <c r="T145" s="307"/>
      <c r="U145" s="307"/>
      <c r="V145" s="307"/>
      <c r="W145" s="306" t="s">
        <v>211</v>
      </c>
      <c r="X145" s="306"/>
      <c r="Y145" s="306"/>
      <c r="Z145" s="306"/>
      <c r="AA145" s="306"/>
      <c r="AB145" s="306"/>
      <c r="AC145" s="305"/>
      <c r="AD145" s="305">
        <f>SUM(AD146:AD146)</f>
        <v>600000</v>
      </c>
      <c r="AE145" s="304" t="s">
        <v>71</v>
      </c>
      <c r="AF145" s="297"/>
    </row>
    <row r="146" spans="1:32" s="296" customFormat="1" ht="24" customHeight="1">
      <c r="A146" s="60"/>
      <c r="B146" s="60"/>
      <c r="C146" s="60"/>
      <c r="D146" s="274"/>
      <c r="E146" s="273"/>
      <c r="F146" s="273"/>
      <c r="G146" s="273"/>
      <c r="H146" s="273"/>
      <c r="I146" s="273"/>
      <c r="J146" s="273"/>
      <c r="K146" s="273"/>
      <c r="L146" s="273"/>
      <c r="M146" s="273"/>
      <c r="N146" s="84"/>
      <c r="O146" s="317" t="s">
        <v>218</v>
      </c>
      <c r="P146" s="317"/>
      <c r="Q146" s="317"/>
      <c r="R146" s="317"/>
      <c r="S146" s="52">
        <v>150000</v>
      </c>
      <c r="T146" s="331" t="s">
        <v>66</v>
      </c>
      <c r="U146" s="331" t="s">
        <v>69</v>
      </c>
      <c r="V146" s="186">
        <v>4</v>
      </c>
      <c r="W146" s="188" t="s">
        <v>147</v>
      </c>
      <c r="X146" s="186"/>
      <c r="Y146" s="328"/>
      <c r="Z146" s="328" t="s">
        <v>129</v>
      </c>
      <c r="AA146" s="328"/>
      <c r="AB146" s="328" t="s">
        <v>187</v>
      </c>
      <c r="AC146" s="328"/>
      <c r="AD146" s="327">
        <f>S146*V146</f>
        <v>600000</v>
      </c>
      <c r="AE146" s="326" t="s">
        <v>66</v>
      </c>
      <c r="AF146" s="297"/>
    </row>
    <row r="147" spans="1:32" s="296" customFormat="1" ht="24" customHeight="1">
      <c r="A147" s="60"/>
      <c r="B147" s="60"/>
      <c r="C147" s="129"/>
      <c r="D147" s="301"/>
      <c r="E147" s="300"/>
      <c r="F147" s="300"/>
      <c r="G147" s="300"/>
      <c r="H147" s="300"/>
      <c r="I147" s="300"/>
      <c r="J147" s="300"/>
      <c r="K147" s="300"/>
      <c r="L147" s="300"/>
      <c r="M147" s="300"/>
      <c r="N147" s="126"/>
      <c r="O147" s="315"/>
      <c r="P147" s="315"/>
      <c r="Q147" s="315"/>
      <c r="R147" s="315"/>
      <c r="S147" s="209"/>
      <c r="T147" s="335"/>
      <c r="U147" s="335"/>
      <c r="V147" s="324"/>
      <c r="W147" s="325"/>
      <c r="X147" s="324"/>
      <c r="Y147" s="315"/>
      <c r="Z147" s="315"/>
      <c r="AA147" s="315"/>
      <c r="AB147" s="315"/>
      <c r="AC147" s="315"/>
      <c r="AD147" s="314"/>
      <c r="AE147" s="313"/>
      <c r="AF147" s="297"/>
    </row>
    <row r="148" spans="1:32" s="296" customFormat="1" ht="24" customHeight="1">
      <c r="A148" s="60"/>
      <c r="B148" s="60"/>
      <c r="C148" s="82" t="s">
        <v>217</v>
      </c>
      <c r="D148" s="312">
        <v>550</v>
      </c>
      <c r="E148" s="280">
        <f>AD148/1000</f>
        <v>30</v>
      </c>
      <c r="F148" s="311">
        <f>SUMIF($AB$149:$AB$150,"보조",$AD$149:$AD$150)/1000</f>
        <v>0</v>
      </c>
      <c r="G148" s="311">
        <f>SUMIF($AB$149:$AB$150,"7종",$AD$149:$AD$150)/1000</f>
        <v>0</v>
      </c>
      <c r="H148" s="311">
        <f>SUMIF($AB$149:$AB$150,"시비",$AD$149:$AD$150)/1000</f>
        <v>0</v>
      </c>
      <c r="I148" s="311">
        <f>SUMIF($AB$149:$AB$150,"후원",$AD$149:$AD$150)/1000</f>
        <v>0</v>
      </c>
      <c r="J148" s="311">
        <f>SUMIF($AB$149:$AB$150,"입소",$AD$149:$AD$150)/1000</f>
        <v>30</v>
      </c>
      <c r="K148" s="311">
        <f>SUMIF($AB$149:$AB$150,"법인",$AD$149:$AD$150)/1000</f>
        <v>0</v>
      </c>
      <c r="L148" s="311">
        <f>SUMIF($AB$149:$AB$150,"잡수",$AD$149:$AD$150)/1000</f>
        <v>0</v>
      </c>
      <c r="M148" s="311">
        <f>E148-D148</f>
        <v>-520</v>
      </c>
      <c r="N148" s="167">
        <f>IF(D148=0,0,M148/D148)</f>
        <v>-0.94545454545454544</v>
      </c>
      <c r="O148" s="310"/>
      <c r="P148" s="309"/>
      <c r="Q148" s="309"/>
      <c r="R148" s="307"/>
      <c r="S148" s="308"/>
      <c r="T148" s="307"/>
      <c r="U148" s="307"/>
      <c r="V148" s="307"/>
      <c r="W148" s="306" t="s">
        <v>211</v>
      </c>
      <c r="X148" s="306"/>
      <c r="Y148" s="306"/>
      <c r="Z148" s="306"/>
      <c r="AA148" s="306"/>
      <c r="AB148" s="306"/>
      <c r="AC148" s="305"/>
      <c r="AD148" s="305">
        <f>SUM(AD149:AD149)</f>
        <v>30000</v>
      </c>
      <c r="AE148" s="304" t="s">
        <v>71</v>
      </c>
      <c r="AF148" s="297"/>
    </row>
    <row r="149" spans="1:32" s="296" customFormat="1" ht="24" customHeight="1">
      <c r="A149" s="60"/>
      <c r="B149" s="60"/>
      <c r="C149" s="60"/>
      <c r="D149" s="274"/>
      <c r="E149" s="273"/>
      <c r="F149" s="273"/>
      <c r="G149" s="273"/>
      <c r="H149" s="273"/>
      <c r="I149" s="273"/>
      <c r="J149" s="273"/>
      <c r="K149" s="273"/>
      <c r="L149" s="273"/>
      <c r="M149" s="273"/>
      <c r="N149" s="84"/>
      <c r="O149" s="188" t="s">
        <v>215</v>
      </c>
      <c r="P149" s="332"/>
      <c r="Q149" s="332"/>
      <c r="R149" s="332"/>
      <c r="S149" s="52">
        <v>10000</v>
      </c>
      <c r="T149" s="331" t="s">
        <v>66</v>
      </c>
      <c r="U149" s="331" t="s">
        <v>69</v>
      </c>
      <c r="V149" s="186">
        <v>3</v>
      </c>
      <c r="W149" s="188" t="s">
        <v>147</v>
      </c>
      <c r="X149" s="331" t="s">
        <v>69</v>
      </c>
      <c r="Y149" s="330">
        <v>1</v>
      </c>
      <c r="Z149" s="329" t="s">
        <v>208</v>
      </c>
      <c r="AA149" s="328" t="s">
        <v>129</v>
      </c>
      <c r="AB149" s="328" t="s">
        <v>187</v>
      </c>
      <c r="AC149" s="328"/>
      <c r="AD149" s="327">
        <f>S149*V149*Y149</f>
        <v>30000</v>
      </c>
      <c r="AE149" s="326" t="s">
        <v>66</v>
      </c>
      <c r="AF149" s="297"/>
    </row>
    <row r="150" spans="1:32" s="296" customFormat="1" ht="24" customHeight="1">
      <c r="A150" s="60"/>
      <c r="B150" s="60"/>
      <c r="C150" s="129"/>
      <c r="D150" s="301"/>
      <c r="E150" s="300"/>
      <c r="F150" s="300"/>
      <c r="G150" s="300"/>
      <c r="H150" s="300"/>
      <c r="I150" s="300"/>
      <c r="J150" s="300"/>
      <c r="K150" s="300"/>
      <c r="L150" s="300"/>
      <c r="M150" s="300"/>
      <c r="N150" s="126"/>
      <c r="O150" s="325"/>
      <c r="P150" s="325"/>
      <c r="Q150" s="325"/>
      <c r="R150" s="325"/>
      <c r="S150" s="203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3"/>
      <c r="AD150" s="322"/>
      <c r="AE150" s="321"/>
      <c r="AF150" s="297"/>
    </row>
    <row r="151" spans="1:32" s="296" customFormat="1" ht="24" customHeight="1">
      <c r="A151" s="60"/>
      <c r="B151" s="60"/>
      <c r="C151" s="82" t="s">
        <v>214</v>
      </c>
      <c r="D151" s="312">
        <v>155</v>
      </c>
      <c r="E151" s="280">
        <f>AD151/1000</f>
        <v>25</v>
      </c>
      <c r="F151" s="311">
        <f>SUMIF($AB$152:$AB$153,"보조",$AD$152:$AD$153)/1000</f>
        <v>0</v>
      </c>
      <c r="G151" s="311">
        <f>SUMIF($AB$152:$AB$153,"7종",$AD$152:$AD$153)/1000</f>
        <v>0</v>
      </c>
      <c r="H151" s="311">
        <f>SUMIF($AB$152:$AB$153,"시비",$AD$152:$AD$153)/1000</f>
        <v>0</v>
      </c>
      <c r="I151" s="311">
        <f>SUMIF($AB$152:$AB$153,"후원",$AD$152:$AD$153)/1000</f>
        <v>0</v>
      </c>
      <c r="J151" s="311">
        <f>SUMIF($AB$152:$AB$153,"입소",$AD$152:$AD$153)/1000</f>
        <v>25</v>
      </c>
      <c r="K151" s="311">
        <f>SUMIF($AB$152:$AB$153,"법인",$AD$152:$AD$153)/1000</f>
        <v>0</v>
      </c>
      <c r="L151" s="311">
        <f>SUMIF($AB$152:$AB$153,"잡수",$AD$152:$AD$153)/1000</f>
        <v>0</v>
      </c>
      <c r="M151" s="311">
        <f>E151-D151</f>
        <v>-130</v>
      </c>
      <c r="N151" s="167">
        <f>IF(D151=0,0,M151/D151)</f>
        <v>-0.83870967741935487</v>
      </c>
      <c r="O151" s="320"/>
      <c r="P151" s="320"/>
      <c r="Q151" s="320"/>
      <c r="R151" s="320"/>
      <c r="S151" s="319"/>
      <c r="T151" s="318"/>
      <c r="U151" s="318"/>
      <c r="V151" s="318"/>
      <c r="W151" s="306" t="s">
        <v>211</v>
      </c>
      <c r="X151" s="306"/>
      <c r="Y151" s="306"/>
      <c r="Z151" s="306"/>
      <c r="AA151" s="306"/>
      <c r="AB151" s="306"/>
      <c r="AC151" s="305"/>
      <c r="AD151" s="305">
        <f>SUM(AD152:AD152)</f>
        <v>25000</v>
      </c>
      <c r="AE151" s="304" t="s">
        <v>71</v>
      </c>
      <c r="AF151" s="297"/>
    </row>
    <row r="152" spans="1:32" s="296" customFormat="1" ht="24" customHeight="1">
      <c r="A152" s="60"/>
      <c r="B152" s="60"/>
      <c r="C152" s="60" t="s">
        <v>56</v>
      </c>
      <c r="D152" s="274"/>
      <c r="E152" s="273"/>
      <c r="F152" s="273"/>
      <c r="G152" s="273"/>
      <c r="H152" s="273"/>
      <c r="I152" s="273"/>
      <c r="J152" s="273"/>
      <c r="K152" s="273"/>
      <c r="L152" s="273"/>
      <c r="M152" s="273"/>
      <c r="N152" s="84"/>
      <c r="O152" s="188" t="s">
        <v>213</v>
      </c>
      <c r="P152" s="188"/>
      <c r="Q152" s="188"/>
      <c r="R152" s="188"/>
      <c r="S152" s="52">
        <v>5000</v>
      </c>
      <c r="T152" s="186" t="s">
        <v>66</v>
      </c>
      <c r="U152" s="188" t="s">
        <v>131</v>
      </c>
      <c r="V152" s="186">
        <v>5</v>
      </c>
      <c r="W152" s="186" t="s">
        <v>147</v>
      </c>
      <c r="X152" s="188" t="s">
        <v>131</v>
      </c>
      <c r="Y152" s="298">
        <v>1</v>
      </c>
      <c r="Z152" s="180" t="s">
        <v>208</v>
      </c>
      <c r="AA152" s="180" t="s">
        <v>129</v>
      </c>
      <c r="AB152" s="186" t="s">
        <v>187</v>
      </c>
      <c r="AC152" s="155"/>
      <c r="AD152" s="186">
        <f>S152*V152*Y152</f>
        <v>25000</v>
      </c>
      <c r="AE152" s="179" t="s">
        <v>66</v>
      </c>
      <c r="AF152" s="297"/>
    </row>
    <row r="153" spans="1:32" s="296" customFormat="1" ht="24" customHeight="1">
      <c r="A153" s="60"/>
      <c r="B153" s="60"/>
      <c r="C153" s="129"/>
      <c r="D153" s="301"/>
      <c r="E153" s="300"/>
      <c r="F153" s="300"/>
      <c r="G153" s="300"/>
      <c r="H153" s="300"/>
      <c r="I153" s="300"/>
      <c r="J153" s="300"/>
      <c r="K153" s="300"/>
      <c r="L153" s="300"/>
      <c r="M153" s="300"/>
      <c r="N153" s="126"/>
      <c r="O153" s="315"/>
      <c r="P153" s="315"/>
      <c r="Q153" s="315"/>
      <c r="R153" s="315"/>
      <c r="S153" s="316"/>
      <c r="T153" s="315"/>
      <c r="U153" s="315"/>
      <c r="V153" s="315"/>
      <c r="W153" s="315"/>
      <c r="X153" s="315"/>
      <c r="Y153" s="315"/>
      <c r="Z153" s="315"/>
      <c r="AA153" s="315"/>
      <c r="AB153" s="315"/>
      <c r="AC153" s="315"/>
      <c r="AD153" s="314"/>
      <c r="AE153" s="313"/>
      <c r="AF153" s="297"/>
    </row>
    <row r="154" spans="1:32" s="296" customFormat="1" ht="24" customHeight="1">
      <c r="A154" s="60"/>
      <c r="B154" s="60"/>
      <c r="C154" s="82" t="s">
        <v>212</v>
      </c>
      <c r="D154" s="312">
        <v>390</v>
      </c>
      <c r="E154" s="280">
        <f>AD154/1000</f>
        <v>200</v>
      </c>
      <c r="F154" s="311">
        <f>SUMIF($AB$155:$AB$156,"보조",$AD$155:$AD$156)/1000</f>
        <v>0</v>
      </c>
      <c r="G154" s="311">
        <f>SUMIF($AB$155:$AB$156,"7종",$AD$155:$AD$156)/1000</f>
        <v>0</v>
      </c>
      <c r="H154" s="311">
        <f>SUMIF($AB$155:$AB$156,"시비",$AD$155:$AD$156)/1000</f>
        <v>0</v>
      </c>
      <c r="I154" s="311">
        <f>SUMIF($AB$155:$AB$156,"후원",$AD$155:$AD$156)/1000</f>
        <v>0</v>
      </c>
      <c r="J154" s="311">
        <f>SUMIF($AB$155:$AB$156,"입소",$AD$155:$AD$156)/1000</f>
        <v>200</v>
      </c>
      <c r="K154" s="311">
        <f>SUMIF($AB$155:$AB$156,"법인",$AD$155:$AD$156)/1000</f>
        <v>0</v>
      </c>
      <c r="L154" s="311">
        <f>SUMIF($AB$155:$AB$156,"잡수",$AD$155:$AD$156)/1000</f>
        <v>0</v>
      </c>
      <c r="M154" s="311">
        <f>E154-D154</f>
        <v>-190</v>
      </c>
      <c r="N154" s="167">
        <f>IF(D154=0,0,M154/D154)</f>
        <v>-0.48717948717948717</v>
      </c>
      <c r="O154" s="310"/>
      <c r="P154" s="309"/>
      <c r="Q154" s="309"/>
      <c r="R154" s="307"/>
      <c r="S154" s="308"/>
      <c r="T154" s="307"/>
      <c r="U154" s="307"/>
      <c r="V154" s="307"/>
      <c r="W154" s="306" t="s">
        <v>211</v>
      </c>
      <c r="X154" s="306"/>
      <c r="Y154" s="306"/>
      <c r="Z154" s="306"/>
      <c r="AA154" s="306"/>
      <c r="AB154" s="306"/>
      <c r="AC154" s="305"/>
      <c r="AD154" s="305">
        <f>SUM(AD155:AD156)</f>
        <v>200000</v>
      </c>
      <c r="AE154" s="304" t="s">
        <v>71</v>
      </c>
      <c r="AF154" s="297"/>
    </row>
    <row r="155" spans="1:32" s="296" customFormat="1" ht="24" customHeight="1">
      <c r="A155" s="60"/>
      <c r="B155" s="60"/>
      <c r="C155" s="60" t="s">
        <v>210</v>
      </c>
      <c r="D155" s="274"/>
      <c r="E155" s="273"/>
      <c r="F155" s="273"/>
      <c r="G155" s="273"/>
      <c r="H155" s="273"/>
      <c r="I155" s="273"/>
      <c r="J155" s="273"/>
      <c r="K155" s="273"/>
      <c r="L155" s="273"/>
      <c r="M155" s="273"/>
      <c r="N155" s="84"/>
      <c r="O155" s="188" t="s">
        <v>209</v>
      </c>
      <c r="P155" s="303"/>
      <c r="Q155" s="303"/>
      <c r="R155" s="302"/>
      <c r="S155" s="52">
        <v>200000</v>
      </c>
      <c r="T155" s="186" t="s">
        <v>66</v>
      </c>
      <c r="U155" s="188" t="s">
        <v>131</v>
      </c>
      <c r="V155" s="186">
        <v>1</v>
      </c>
      <c r="W155" s="186" t="s">
        <v>208</v>
      </c>
      <c r="X155" s="188"/>
      <c r="Y155" s="298"/>
      <c r="Z155" s="180" t="s">
        <v>129</v>
      </c>
      <c r="AA155" s="180"/>
      <c r="AB155" s="186" t="s">
        <v>187</v>
      </c>
      <c r="AC155" s="155"/>
      <c r="AD155" s="186">
        <f>S155*V155</f>
        <v>200000</v>
      </c>
      <c r="AE155" s="179" t="s">
        <v>66</v>
      </c>
      <c r="AF155" s="297"/>
    </row>
    <row r="156" spans="1:32" s="296" customFormat="1" ht="24" customHeight="1">
      <c r="A156" s="60"/>
      <c r="B156" s="60"/>
      <c r="C156" s="129"/>
      <c r="D156" s="301"/>
      <c r="E156" s="300"/>
      <c r="F156" s="300"/>
      <c r="G156" s="300"/>
      <c r="H156" s="300"/>
      <c r="I156" s="300"/>
      <c r="J156" s="300"/>
      <c r="K156" s="300"/>
      <c r="L156" s="300"/>
      <c r="M156" s="300"/>
      <c r="N156" s="126"/>
      <c r="O156" s="188"/>
      <c r="P156" s="292"/>
      <c r="Q156" s="292"/>
      <c r="R156" s="299"/>
      <c r="S156" s="52"/>
      <c r="T156" s="186"/>
      <c r="U156" s="188"/>
      <c r="V156" s="186"/>
      <c r="W156" s="186"/>
      <c r="X156" s="188"/>
      <c r="Y156" s="298"/>
      <c r="Z156" s="180"/>
      <c r="AA156" s="180"/>
      <c r="AB156" s="186"/>
      <c r="AC156" s="155"/>
      <c r="AD156" s="186"/>
      <c r="AE156" s="179"/>
      <c r="AF156" s="297"/>
    </row>
    <row r="157" spans="1:32" s="40" customFormat="1" ht="21" customHeight="1">
      <c r="A157" s="295" t="s">
        <v>141</v>
      </c>
      <c r="B157" s="523" t="s">
        <v>193</v>
      </c>
      <c r="C157" s="524"/>
      <c r="D157" s="290">
        <v>8</v>
      </c>
      <c r="E157" s="290">
        <f t="shared" ref="E157:L157" si="10">SUM(E158)</f>
        <v>10</v>
      </c>
      <c r="F157" s="290">
        <f t="shared" si="10"/>
        <v>10</v>
      </c>
      <c r="G157" s="290">
        <f t="shared" si="10"/>
        <v>0</v>
      </c>
      <c r="H157" s="290">
        <f t="shared" si="10"/>
        <v>0</v>
      </c>
      <c r="I157" s="290">
        <f t="shared" si="10"/>
        <v>0</v>
      </c>
      <c r="J157" s="290">
        <f t="shared" si="10"/>
        <v>0</v>
      </c>
      <c r="K157" s="290">
        <f t="shared" si="10"/>
        <v>0</v>
      </c>
      <c r="L157" s="290">
        <f t="shared" si="10"/>
        <v>0</v>
      </c>
      <c r="M157" s="290">
        <f>E157-D157</f>
        <v>2</v>
      </c>
      <c r="N157" s="289">
        <f>IF(D157=0,0,M157/D157)</f>
        <v>0.25</v>
      </c>
      <c r="O157" s="69" t="s">
        <v>207</v>
      </c>
      <c r="P157" s="68"/>
      <c r="Q157" s="68"/>
      <c r="R157" s="68"/>
      <c r="S157" s="294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>
        <f>SUM(AD158)</f>
        <v>10000</v>
      </c>
      <c r="AE157" s="288" t="s">
        <v>71</v>
      </c>
      <c r="AF157" s="33"/>
    </row>
    <row r="158" spans="1:32" s="40" customFormat="1" ht="21" customHeight="1">
      <c r="A158" s="293" t="s">
        <v>205</v>
      </c>
      <c r="B158" s="60" t="s">
        <v>141</v>
      </c>
      <c r="C158" s="60" t="s">
        <v>141</v>
      </c>
      <c r="D158" s="274">
        <v>8</v>
      </c>
      <c r="E158" s="280">
        <f>AD158/1000</f>
        <v>10</v>
      </c>
      <c r="F158" s="273">
        <f>SUMIF($AB$159:$AB$165,"보조",$AD$159:$AD$165)/1000</f>
        <v>10</v>
      </c>
      <c r="G158" s="273">
        <f>SUMIF($AB$159:$AB$165,"7종",$AD$159:$AD$165)/1000</f>
        <v>0</v>
      </c>
      <c r="H158" s="273">
        <f>SUMIF($AB$159:$AB$165,"시비",$AD$159:$AD$165)/1000</f>
        <v>0</v>
      </c>
      <c r="I158" s="273">
        <f>SUMIF($AB$159:$AB$165,"후원",$AD$159:$AD$165)/1000</f>
        <v>0</v>
      </c>
      <c r="J158" s="273">
        <f>SUMIF($AB$159:$AB$165,"입소",$AD$159:$AD$165)/1000</f>
        <v>0</v>
      </c>
      <c r="K158" s="273">
        <f>SUMIF($AB$159:$AB$165,"법인",$AD$159:$AD$165)/1000</f>
        <v>0</v>
      </c>
      <c r="L158" s="273">
        <f>SUMIF($AB$159:$AB$165,"잡수",$AD$159:$AD$165)/1000</f>
        <v>0</v>
      </c>
      <c r="M158" s="273">
        <f>E158-D158</f>
        <v>2</v>
      </c>
      <c r="N158" s="84">
        <f>IF(D158=0,0,M158/D158)</f>
        <v>0.25</v>
      </c>
      <c r="O158" s="292" t="s">
        <v>206</v>
      </c>
      <c r="P158" s="87"/>
      <c r="Q158" s="87"/>
      <c r="R158" s="87"/>
      <c r="S158" s="87"/>
      <c r="T158" s="86"/>
      <c r="U158" s="86"/>
      <c r="V158" s="86"/>
      <c r="W158" s="86"/>
      <c r="X158" s="86"/>
      <c r="Y158" s="278" t="s">
        <v>190</v>
      </c>
      <c r="Z158" s="277"/>
      <c r="AA158" s="277"/>
      <c r="AB158" s="277"/>
      <c r="AC158" s="276"/>
      <c r="AD158" s="276">
        <f>ROUNDUP(SUM(AD159:AD163),-3)</f>
        <v>10000</v>
      </c>
      <c r="AE158" s="275" t="s">
        <v>71</v>
      </c>
      <c r="AF158" s="33"/>
    </row>
    <row r="159" spans="1:32" ht="21" customHeight="1">
      <c r="A159" s="108"/>
      <c r="B159" s="60" t="s">
        <v>205</v>
      </c>
      <c r="C159" s="60" t="s">
        <v>205</v>
      </c>
      <c r="D159" s="274"/>
      <c r="E159" s="273"/>
      <c r="F159" s="273"/>
      <c r="G159" s="273"/>
      <c r="H159" s="273"/>
      <c r="I159" s="273"/>
      <c r="J159" s="273"/>
      <c r="K159" s="273"/>
      <c r="L159" s="273"/>
      <c r="M159" s="273"/>
      <c r="N159" s="84"/>
      <c r="O159" s="188" t="s">
        <v>204</v>
      </c>
      <c r="P159" s="188"/>
      <c r="Q159" s="188"/>
      <c r="R159" s="188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 t="s">
        <v>202</v>
      </c>
      <c r="AC159" s="186"/>
      <c r="AD159" s="64"/>
      <c r="AE159" s="179" t="s">
        <v>71</v>
      </c>
    </row>
    <row r="160" spans="1:32" ht="21" customHeight="1">
      <c r="A160" s="108"/>
      <c r="B160" s="60"/>
      <c r="C160" s="60"/>
      <c r="D160" s="274"/>
      <c r="E160" s="273"/>
      <c r="F160" s="273"/>
      <c r="G160" s="273"/>
      <c r="H160" s="273"/>
      <c r="I160" s="273"/>
      <c r="J160" s="273"/>
      <c r="K160" s="273"/>
      <c r="L160" s="273"/>
      <c r="M160" s="273"/>
      <c r="N160" s="84"/>
      <c r="O160" s="188" t="s">
        <v>203</v>
      </c>
      <c r="P160" s="188"/>
      <c r="Q160" s="188"/>
      <c r="R160" s="188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 t="s">
        <v>202</v>
      </c>
      <c r="AC160" s="186"/>
      <c r="AD160" s="64">
        <v>10000</v>
      </c>
      <c r="AE160" s="179" t="s">
        <v>66</v>
      </c>
    </row>
    <row r="161" spans="1:32" ht="21" customHeight="1">
      <c r="A161" s="108"/>
      <c r="B161" s="60"/>
      <c r="C161" s="60"/>
      <c r="D161" s="274"/>
      <c r="E161" s="273"/>
      <c r="F161" s="273"/>
      <c r="G161" s="273"/>
      <c r="H161" s="273"/>
      <c r="I161" s="273"/>
      <c r="J161" s="273"/>
      <c r="K161" s="273"/>
      <c r="L161" s="273"/>
      <c r="M161" s="273"/>
      <c r="N161" s="84"/>
      <c r="O161" s="188" t="s">
        <v>201</v>
      </c>
      <c r="P161" s="188"/>
      <c r="Q161" s="188"/>
      <c r="R161" s="188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 t="s">
        <v>199</v>
      </c>
      <c r="AC161" s="186"/>
      <c r="AD161" s="64"/>
      <c r="AE161" s="179" t="s">
        <v>66</v>
      </c>
    </row>
    <row r="162" spans="1:32" ht="21" customHeight="1">
      <c r="A162" s="108"/>
      <c r="B162" s="60"/>
      <c r="C162" s="60"/>
      <c r="D162" s="274"/>
      <c r="E162" s="273"/>
      <c r="F162" s="273"/>
      <c r="G162" s="273"/>
      <c r="H162" s="273"/>
      <c r="I162" s="273"/>
      <c r="J162" s="273"/>
      <c r="K162" s="273"/>
      <c r="L162" s="273"/>
      <c r="M162" s="273"/>
      <c r="N162" s="84"/>
      <c r="O162" s="188" t="s">
        <v>200</v>
      </c>
      <c r="P162" s="188"/>
      <c r="Q162" s="188"/>
      <c r="R162" s="188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 t="s">
        <v>199</v>
      </c>
      <c r="AC162" s="186"/>
      <c r="AD162" s="64"/>
      <c r="AE162" s="179" t="s">
        <v>66</v>
      </c>
    </row>
    <row r="163" spans="1:32" ht="21" customHeight="1">
      <c r="A163" s="108"/>
      <c r="B163" s="60"/>
      <c r="C163" s="60"/>
      <c r="D163" s="274"/>
      <c r="E163" s="273"/>
      <c r="F163" s="273"/>
      <c r="G163" s="273"/>
      <c r="H163" s="273"/>
      <c r="I163" s="273"/>
      <c r="J163" s="273"/>
      <c r="K163" s="273"/>
      <c r="L163" s="273"/>
      <c r="M163" s="273"/>
      <c r="N163" s="84"/>
      <c r="O163" s="188" t="s">
        <v>198</v>
      </c>
      <c r="P163" s="188"/>
      <c r="Q163" s="188"/>
      <c r="R163" s="188"/>
      <c r="S163" s="186"/>
      <c r="T163" s="186"/>
      <c r="U163" s="186"/>
      <c r="V163" s="186"/>
      <c r="W163" s="186"/>
      <c r="X163" s="186"/>
      <c r="Y163" s="186"/>
      <c r="Z163" s="186"/>
      <c r="AA163" s="186"/>
      <c r="AB163" s="186" t="s">
        <v>196</v>
      </c>
      <c r="AC163" s="186"/>
      <c r="AD163" s="64"/>
      <c r="AE163" s="179" t="s">
        <v>71</v>
      </c>
    </row>
    <row r="164" spans="1:32" ht="21" customHeight="1">
      <c r="A164" s="108"/>
      <c r="B164" s="60"/>
      <c r="C164" s="245"/>
      <c r="D164" s="274"/>
      <c r="E164" s="273"/>
      <c r="F164" s="273"/>
      <c r="G164" s="273"/>
      <c r="H164" s="273"/>
      <c r="I164" s="273"/>
      <c r="J164" s="273"/>
      <c r="K164" s="273"/>
      <c r="L164" s="273"/>
      <c r="M164" s="273"/>
      <c r="N164" s="84"/>
      <c r="O164" s="188" t="s">
        <v>197</v>
      </c>
      <c r="P164" s="188"/>
      <c r="Q164" s="188"/>
      <c r="R164" s="188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 t="s">
        <v>196</v>
      </c>
      <c r="AC164" s="186"/>
      <c r="AD164" s="64"/>
      <c r="AE164" s="179" t="s">
        <v>66</v>
      </c>
    </row>
    <row r="165" spans="1:32" s="291" customFormat="1" ht="21" customHeight="1">
      <c r="A165" s="108"/>
      <c r="B165" s="129"/>
      <c r="C165" s="245"/>
      <c r="D165" s="274"/>
      <c r="E165" s="273"/>
      <c r="F165" s="273"/>
      <c r="G165" s="273"/>
      <c r="H165" s="273"/>
      <c r="I165" s="273"/>
      <c r="J165" s="273"/>
      <c r="K165" s="273"/>
      <c r="L165" s="273"/>
      <c r="M165" s="273"/>
      <c r="N165" s="84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5"/>
      <c r="AE165" s="51"/>
      <c r="AF165" s="97"/>
    </row>
    <row r="166" spans="1:32" s="40" customFormat="1" ht="21" customHeight="1">
      <c r="A166" s="139" t="s">
        <v>195</v>
      </c>
      <c r="B166" s="523" t="s">
        <v>193</v>
      </c>
      <c r="C166" s="524"/>
      <c r="D166" s="290">
        <v>0</v>
      </c>
      <c r="E166" s="290">
        <f t="shared" ref="E166:L166" si="11">E167</f>
        <v>0</v>
      </c>
      <c r="F166" s="290">
        <f t="shared" si="11"/>
        <v>0</v>
      </c>
      <c r="G166" s="290">
        <f t="shared" si="11"/>
        <v>0</v>
      </c>
      <c r="H166" s="290">
        <f t="shared" si="11"/>
        <v>0</v>
      </c>
      <c r="I166" s="290">
        <f t="shared" si="11"/>
        <v>0</v>
      </c>
      <c r="J166" s="290">
        <f t="shared" si="11"/>
        <v>0</v>
      </c>
      <c r="K166" s="290">
        <f t="shared" si="11"/>
        <v>0</v>
      </c>
      <c r="L166" s="290">
        <f t="shared" si="11"/>
        <v>0</v>
      </c>
      <c r="M166" s="290">
        <f>E166-D166</f>
        <v>0</v>
      </c>
      <c r="N166" s="289">
        <f>IF(D166=0,0,M166/D166)</f>
        <v>0</v>
      </c>
      <c r="O166" s="68" t="s">
        <v>195</v>
      </c>
      <c r="P166" s="68"/>
      <c r="Q166" s="68"/>
      <c r="R166" s="6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>
        <f>SUM(AD167)</f>
        <v>0</v>
      </c>
      <c r="AE166" s="288" t="s">
        <v>71</v>
      </c>
      <c r="AF166" s="33"/>
    </row>
    <row r="167" spans="1:32" s="40" customFormat="1" ht="21" customHeight="1">
      <c r="A167" s="108"/>
      <c r="B167" s="60" t="s">
        <v>195</v>
      </c>
      <c r="C167" s="60" t="s">
        <v>195</v>
      </c>
      <c r="D167" s="274">
        <v>0</v>
      </c>
      <c r="E167" s="280">
        <f>AD167/1000</f>
        <v>0</v>
      </c>
      <c r="F167" s="273">
        <f>SUMIF($AB$167:$AB$168,"보조",$AD$167:$AD$168)/1000</f>
        <v>0</v>
      </c>
      <c r="G167" s="273">
        <f>SUMIF($AB$167:$AB$168,"7종",$AD$167:$AD$168)/1000</f>
        <v>0</v>
      </c>
      <c r="H167" s="273">
        <f>SUMIF($AB$167:$AB$168,"시비",$AD$167:$AD$168)/1000</f>
        <v>0</v>
      </c>
      <c r="I167" s="273">
        <f>SUMIF($AB$167:$AB$168,"후원",$AD$167:$AD$168)/1000</f>
        <v>0</v>
      </c>
      <c r="J167" s="273">
        <f>SUMIF($AB$167:$AB$168,"입소",$AD$167:$AD$168)/1000</f>
        <v>0</v>
      </c>
      <c r="K167" s="273">
        <f>SUMIF($AB$167:$AB$168,"법인",$AD$167:$AD$168)/1000</f>
        <v>0</v>
      </c>
      <c r="L167" s="273">
        <f>SUMIF($AB$167:$AB$168,"잡수",$AD$167:$AD$168)/1000</f>
        <v>0</v>
      </c>
      <c r="M167" s="273">
        <f>E167-D167</f>
        <v>0</v>
      </c>
      <c r="N167" s="84">
        <f>IF(D167=0,0,M167/D167)</f>
        <v>0</v>
      </c>
      <c r="O167" s="279" t="s">
        <v>194</v>
      </c>
      <c r="P167" s="87"/>
      <c r="Q167" s="87"/>
      <c r="R167" s="87"/>
      <c r="S167" s="87"/>
      <c r="T167" s="86"/>
      <c r="U167" s="86"/>
      <c r="V167" s="86"/>
      <c r="W167" s="86"/>
      <c r="X167" s="86"/>
      <c r="Y167" s="278" t="s">
        <v>190</v>
      </c>
      <c r="Z167" s="277"/>
      <c r="AA167" s="277"/>
      <c r="AB167" s="277"/>
      <c r="AC167" s="276"/>
      <c r="AD167" s="276"/>
      <c r="AE167" s="275" t="s">
        <v>71</v>
      </c>
      <c r="AF167" s="33"/>
    </row>
    <row r="168" spans="1:32" s="33" customFormat="1" ht="21" customHeight="1" thickBot="1">
      <c r="A168" s="272"/>
      <c r="B168" s="60"/>
      <c r="C168" s="60"/>
      <c r="D168" s="274"/>
      <c r="E168" s="273"/>
      <c r="F168" s="273"/>
      <c r="G168" s="273"/>
      <c r="H168" s="273"/>
      <c r="I168" s="273"/>
      <c r="J168" s="273"/>
      <c r="K168" s="273"/>
      <c r="L168" s="273"/>
      <c r="M168" s="273"/>
      <c r="N168" s="84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287"/>
    </row>
    <row r="169" spans="1:32" s="40" customFormat="1" ht="21" customHeight="1">
      <c r="A169" s="139" t="s">
        <v>192</v>
      </c>
      <c r="B169" s="521" t="s">
        <v>193</v>
      </c>
      <c r="C169" s="522"/>
      <c r="D169" s="286">
        <v>34</v>
      </c>
      <c r="E169" s="286">
        <f t="shared" ref="E169:L169" si="12">SUM(E170)</f>
        <v>25</v>
      </c>
      <c r="F169" s="286">
        <f t="shared" si="12"/>
        <v>0</v>
      </c>
      <c r="G169" s="286">
        <f t="shared" si="12"/>
        <v>0</v>
      </c>
      <c r="H169" s="286">
        <f t="shared" si="12"/>
        <v>0</v>
      </c>
      <c r="I169" s="286">
        <f t="shared" si="12"/>
        <v>3</v>
      </c>
      <c r="J169" s="286">
        <f t="shared" si="12"/>
        <v>19</v>
      </c>
      <c r="K169" s="286">
        <f t="shared" si="12"/>
        <v>0</v>
      </c>
      <c r="L169" s="286">
        <f t="shared" si="12"/>
        <v>3</v>
      </c>
      <c r="M169" s="286">
        <f>E169-D169</f>
        <v>-9</v>
      </c>
      <c r="N169" s="285">
        <f>IF(D169=0,0,M169/D169)</f>
        <v>-0.26470588235294118</v>
      </c>
      <c r="O169" s="284" t="s">
        <v>192</v>
      </c>
      <c r="P169" s="283"/>
      <c r="Q169" s="283"/>
      <c r="R169" s="283"/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>
        <f>AD170</f>
        <v>25000</v>
      </c>
      <c r="AE169" s="281" t="s">
        <v>71</v>
      </c>
      <c r="AF169" s="33"/>
    </row>
    <row r="170" spans="1:32" s="40" customFormat="1" ht="21" customHeight="1">
      <c r="A170" s="108"/>
      <c r="B170" s="60" t="s">
        <v>192</v>
      </c>
      <c r="C170" s="60" t="s">
        <v>192</v>
      </c>
      <c r="D170" s="273">
        <v>34</v>
      </c>
      <c r="E170" s="280">
        <f>AD170/1000</f>
        <v>25</v>
      </c>
      <c r="F170" s="273">
        <f>SUMIF($AB$171:$AB$177,"보조",$AD$171:$AD$177)/1000</f>
        <v>0</v>
      </c>
      <c r="G170" s="273">
        <f>SUMIF($AB$171:$AB$177,"7종",$AD$171:$AD$177)/1000</f>
        <v>0</v>
      </c>
      <c r="H170" s="273">
        <f>SUMIF($AB$171:$AB$177,"시비",$AD$171:$AD$177)/1000</f>
        <v>0</v>
      </c>
      <c r="I170" s="273">
        <f>SUMIF($AB$171:$AB$177,"후원",$AD$171:$AD$177)/1000</f>
        <v>3</v>
      </c>
      <c r="J170" s="273">
        <f>SUMIF($AB$171:$AB$177,"입소",$AD$171:$AD$177)/1000</f>
        <v>19</v>
      </c>
      <c r="K170" s="273">
        <f>SUMIF($AB$171:$AB$177,"법인",$AD$171:$AD$177)/1000</f>
        <v>0</v>
      </c>
      <c r="L170" s="273">
        <f>SUMIF($AB$171:$AB$177,"잡수",$AD$171:$AD$177)/1000</f>
        <v>3</v>
      </c>
      <c r="M170" s="273">
        <f>SUMIF($AB$171:$AB$177,"보조",$AD$171:$AD$177)/1000</f>
        <v>0</v>
      </c>
      <c r="N170" s="84">
        <f>IF(D170=0,0,M170/D170)</f>
        <v>0</v>
      </c>
      <c r="O170" s="279" t="s">
        <v>191</v>
      </c>
      <c r="P170" s="87"/>
      <c r="Q170" s="87"/>
      <c r="R170" s="87"/>
      <c r="S170" s="87"/>
      <c r="T170" s="86"/>
      <c r="U170" s="86"/>
      <c r="V170" s="86"/>
      <c r="W170" s="86"/>
      <c r="X170" s="86"/>
      <c r="Y170" s="278" t="s">
        <v>190</v>
      </c>
      <c r="Z170" s="277"/>
      <c r="AA170" s="277"/>
      <c r="AB170" s="277"/>
      <c r="AC170" s="276"/>
      <c r="AD170" s="276">
        <f>SUM(AD171:AD176)</f>
        <v>25000</v>
      </c>
      <c r="AE170" s="275" t="s">
        <v>71</v>
      </c>
      <c r="AF170" s="33"/>
    </row>
    <row r="171" spans="1:32" s="40" customFormat="1" ht="21" customHeight="1">
      <c r="A171" s="108"/>
      <c r="B171" s="60"/>
      <c r="C171" s="60"/>
      <c r="D171" s="274"/>
      <c r="E171" s="273"/>
      <c r="F171" s="273"/>
      <c r="G171" s="273"/>
      <c r="H171" s="273"/>
      <c r="I171" s="273"/>
      <c r="J171" s="273"/>
      <c r="K171" s="273"/>
      <c r="L171" s="273"/>
      <c r="M171" s="273"/>
      <c r="N171" s="84"/>
      <c r="O171" s="188" t="s">
        <v>189</v>
      </c>
      <c r="P171" s="188"/>
      <c r="Q171" s="188"/>
      <c r="R171" s="188"/>
      <c r="S171" s="188"/>
      <c r="T171" s="186"/>
      <c r="U171" s="186"/>
      <c r="V171" s="186"/>
      <c r="W171" s="186"/>
      <c r="X171" s="186"/>
      <c r="Y171" s="186"/>
      <c r="Z171" s="186"/>
      <c r="AA171" s="186"/>
      <c r="AB171" s="186" t="s">
        <v>187</v>
      </c>
      <c r="AC171" s="155"/>
      <c r="AD171" s="64">
        <v>4000</v>
      </c>
      <c r="AE171" s="179" t="s">
        <v>66</v>
      </c>
      <c r="AF171" s="35"/>
    </row>
    <row r="172" spans="1:32" s="40" customFormat="1" ht="21" customHeight="1">
      <c r="A172" s="108"/>
      <c r="B172" s="60"/>
      <c r="C172" s="60"/>
      <c r="D172" s="274"/>
      <c r="E172" s="273"/>
      <c r="F172" s="273"/>
      <c r="G172" s="273"/>
      <c r="H172" s="273"/>
      <c r="I172" s="273"/>
      <c r="J172" s="273"/>
      <c r="K172" s="273"/>
      <c r="L172" s="273"/>
      <c r="M172" s="273"/>
      <c r="N172" s="84"/>
      <c r="O172" s="188" t="s">
        <v>188</v>
      </c>
      <c r="P172" s="188"/>
      <c r="Q172" s="188"/>
      <c r="R172" s="188"/>
      <c r="S172" s="188"/>
      <c r="T172" s="186"/>
      <c r="U172" s="186"/>
      <c r="V172" s="186"/>
      <c r="W172" s="186"/>
      <c r="X172" s="186"/>
      <c r="Y172" s="186"/>
      <c r="Z172" s="186"/>
      <c r="AA172" s="186"/>
      <c r="AB172" s="186" t="s">
        <v>187</v>
      </c>
      <c r="AC172" s="155"/>
      <c r="AD172" s="64">
        <v>15000</v>
      </c>
      <c r="AE172" s="179" t="s">
        <v>66</v>
      </c>
      <c r="AF172" s="35"/>
    </row>
    <row r="173" spans="1:32" s="40" customFormat="1" ht="21" customHeight="1">
      <c r="A173" s="108"/>
      <c r="B173" s="60"/>
      <c r="C173" s="60"/>
      <c r="D173" s="274"/>
      <c r="E173" s="273"/>
      <c r="F173" s="273"/>
      <c r="G173" s="273"/>
      <c r="H173" s="273"/>
      <c r="I173" s="273"/>
      <c r="J173" s="273"/>
      <c r="K173" s="273"/>
      <c r="L173" s="273"/>
      <c r="M173" s="273"/>
      <c r="N173" s="84"/>
      <c r="O173" s="188" t="s">
        <v>186</v>
      </c>
      <c r="P173" s="188"/>
      <c r="Q173" s="188"/>
      <c r="R173" s="188"/>
      <c r="S173" s="188"/>
      <c r="T173" s="186"/>
      <c r="U173" s="186"/>
      <c r="V173" s="186"/>
      <c r="W173" s="186"/>
      <c r="X173" s="186"/>
      <c r="Y173" s="186"/>
      <c r="Z173" s="186"/>
      <c r="AA173" s="186"/>
      <c r="AB173" s="186" t="s">
        <v>184</v>
      </c>
      <c r="AC173" s="155"/>
      <c r="AD173" s="64">
        <v>1000</v>
      </c>
      <c r="AE173" s="179" t="s">
        <v>66</v>
      </c>
      <c r="AF173" s="35"/>
    </row>
    <row r="174" spans="1:32" s="40" customFormat="1" ht="21" customHeight="1">
      <c r="A174" s="108"/>
      <c r="B174" s="60"/>
      <c r="C174" s="60"/>
      <c r="D174" s="274"/>
      <c r="E174" s="273"/>
      <c r="F174" s="273"/>
      <c r="G174" s="273"/>
      <c r="H174" s="273"/>
      <c r="I174" s="273"/>
      <c r="J174" s="273"/>
      <c r="K174" s="273"/>
      <c r="L174" s="273"/>
      <c r="M174" s="273"/>
      <c r="N174" s="84"/>
      <c r="O174" s="188" t="s">
        <v>185</v>
      </c>
      <c r="P174" s="188"/>
      <c r="Q174" s="188"/>
      <c r="R174" s="188"/>
      <c r="S174" s="188"/>
      <c r="T174" s="186"/>
      <c r="U174" s="186"/>
      <c r="V174" s="186"/>
      <c r="W174" s="186"/>
      <c r="X174" s="186"/>
      <c r="Y174" s="186"/>
      <c r="Z174" s="186"/>
      <c r="AA174" s="186"/>
      <c r="AB174" s="186" t="s">
        <v>184</v>
      </c>
      <c r="AC174" s="155"/>
      <c r="AD174" s="64">
        <v>2000</v>
      </c>
      <c r="AE174" s="179" t="s">
        <v>66</v>
      </c>
      <c r="AF174" s="35"/>
    </row>
    <row r="175" spans="1:32" s="40" customFormat="1" ht="21" customHeight="1">
      <c r="A175" s="108"/>
      <c r="B175" s="60"/>
      <c r="C175" s="60"/>
      <c r="D175" s="274"/>
      <c r="E175" s="273"/>
      <c r="F175" s="273"/>
      <c r="G175" s="273"/>
      <c r="H175" s="273"/>
      <c r="I175" s="273"/>
      <c r="J175" s="273"/>
      <c r="K175" s="273"/>
      <c r="L175" s="273"/>
      <c r="M175" s="273"/>
      <c r="N175" s="84"/>
      <c r="O175" s="188" t="s">
        <v>183</v>
      </c>
      <c r="P175" s="188"/>
      <c r="Q175" s="188"/>
      <c r="R175" s="188"/>
      <c r="S175" s="188"/>
      <c r="T175" s="186"/>
      <c r="U175" s="186"/>
      <c r="V175" s="186"/>
      <c r="W175" s="186"/>
      <c r="X175" s="186"/>
      <c r="Y175" s="186"/>
      <c r="Z175" s="186"/>
      <c r="AA175" s="186"/>
      <c r="AB175" s="186" t="s">
        <v>181</v>
      </c>
      <c r="AC175" s="155"/>
      <c r="AD175" s="64">
        <v>1000</v>
      </c>
      <c r="AE175" s="179" t="s">
        <v>66</v>
      </c>
      <c r="AF175" s="35"/>
    </row>
    <row r="176" spans="1:32" s="40" customFormat="1" ht="21" customHeight="1">
      <c r="A176" s="108"/>
      <c r="B176" s="60"/>
      <c r="C176" s="60"/>
      <c r="D176" s="274"/>
      <c r="E176" s="273"/>
      <c r="F176" s="273"/>
      <c r="G176" s="273"/>
      <c r="H176" s="273"/>
      <c r="I176" s="273"/>
      <c r="J176" s="273"/>
      <c r="K176" s="273"/>
      <c r="L176" s="273"/>
      <c r="M176" s="273"/>
      <c r="N176" s="84"/>
      <c r="O176" s="188" t="s">
        <v>182</v>
      </c>
      <c r="P176" s="188"/>
      <c r="Q176" s="188"/>
      <c r="R176" s="188"/>
      <c r="S176" s="188"/>
      <c r="T176" s="186"/>
      <c r="U176" s="186"/>
      <c r="V176" s="186"/>
      <c r="W176" s="186"/>
      <c r="X176" s="186"/>
      <c r="Y176" s="186"/>
      <c r="Z176" s="186"/>
      <c r="AA176" s="186"/>
      <c r="AB176" s="186" t="s">
        <v>181</v>
      </c>
      <c r="AC176" s="155"/>
      <c r="AD176" s="64">
        <v>2000</v>
      </c>
      <c r="AE176" s="179" t="s">
        <v>66</v>
      </c>
      <c r="AF176" s="35"/>
    </row>
    <row r="177" spans="1:31" s="33" customFormat="1" ht="21" customHeight="1" thickBot="1">
      <c r="A177" s="272"/>
      <c r="B177" s="271"/>
      <c r="C177" s="271"/>
      <c r="D177" s="270"/>
      <c r="E177" s="269"/>
      <c r="F177" s="269"/>
      <c r="G177" s="269"/>
      <c r="H177" s="269"/>
      <c r="I177" s="269"/>
      <c r="J177" s="269"/>
      <c r="K177" s="269"/>
      <c r="L177" s="269"/>
      <c r="M177" s="269"/>
      <c r="N177" s="268"/>
      <c r="O177" s="267"/>
      <c r="P177" s="267"/>
      <c r="Q177" s="267"/>
      <c r="R177" s="267"/>
      <c r="S177" s="266"/>
      <c r="T177" s="266"/>
      <c r="U177" s="266"/>
      <c r="V177" s="266"/>
      <c r="W177" s="266"/>
      <c r="X177" s="266"/>
      <c r="Y177" s="266"/>
      <c r="Z177" s="266"/>
      <c r="AA177" s="266"/>
      <c r="AB177" s="266"/>
      <c r="AC177" s="266"/>
      <c r="AD177" s="266"/>
      <c r="AE177" s="265"/>
    </row>
    <row r="179" spans="1:31" ht="21" customHeight="1">
      <c r="E179" s="264"/>
      <c r="F179" s="264"/>
    </row>
    <row r="180" spans="1:31" ht="21" customHeight="1">
      <c r="E180" s="264"/>
      <c r="F180" s="264"/>
    </row>
    <row r="181" spans="1:31" ht="21" customHeight="1">
      <c r="F181" s="264"/>
    </row>
    <row r="182" spans="1:31" ht="21" customHeight="1">
      <c r="E182" s="264"/>
      <c r="F182" s="264"/>
    </row>
    <row r="183" spans="1:31" ht="21" customHeight="1">
      <c r="E183" s="264"/>
      <c r="F183" s="264"/>
    </row>
    <row r="184" spans="1:31" ht="21" customHeight="1">
      <c r="E184" s="264"/>
      <c r="F184" s="264"/>
    </row>
  </sheetData>
  <mergeCells count="15">
    <mergeCell ref="O2:AE3"/>
    <mergeCell ref="V92:W92"/>
    <mergeCell ref="V67:W67"/>
    <mergeCell ref="B5:C5"/>
    <mergeCell ref="A4:C4"/>
    <mergeCell ref="M2:N2"/>
    <mergeCell ref="A2:C2"/>
    <mergeCell ref="D2:D3"/>
    <mergeCell ref="E2:L2"/>
    <mergeCell ref="A1:E1"/>
    <mergeCell ref="B169:C169"/>
    <mergeCell ref="B166:C166"/>
    <mergeCell ref="B157:C157"/>
    <mergeCell ref="B110:C110"/>
    <mergeCell ref="B96:C96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2020-08-10T03:16:21Z</cp:lastPrinted>
  <dcterms:created xsi:type="dcterms:W3CDTF">2003-12-18T04:11:57Z</dcterms:created>
  <dcterms:modified xsi:type="dcterms:W3CDTF">2020-08-26T16:07:36Z</dcterms:modified>
</cp:coreProperties>
</file>