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마르따의집\Desktop\1차추경예산\홈페이지\"/>
    </mc:Choice>
  </mc:AlternateContent>
  <bookViews>
    <workbookView xWindow="0" yWindow="0" windowWidth="25335" windowHeight="11385" tabRatio="656" activeTab="2"/>
  </bookViews>
  <sheets>
    <sheet name="세입세출총괄표" sheetId="1" r:id="rId1"/>
    <sheet name="세입" sheetId="2" r:id="rId2"/>
    <sheet name="세출" sheetId="3" r:id="rId3"/>
  </sheets>
  <externalReferences>
    <externalReference r:id="rId4"/>
    <externalReference r:id="rId5"/>
    <externalReference r:id="rId6"/>
  </externalReferences>
  <definedNames>
    <definedName name="_xlnm.Print_Area" localSheetId="1">세입!$A$1:$X$87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[2]세입!#REF!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세출!$AD$15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[2]세입!#REF!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[2]세입!#REF!</definedName>
    <definedName name="수정제수당총액">#REF!</definedName>
    <definedName name="연장근로수당" localSheetId="2">세출!$AD$19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1">[1]세입!#REF!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[2]세입!#REF!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[2]세입!#REF!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특수근무수당6" localSheetId="1">[3]세입!#REF!</definedName>
    <definedName name="특수근무수당6" localSheetId="2">[3]세입!#REF!</definedName>
    <definedName name="특수근무수당6">[3]세입!#REF!</definedName>
    <definedName name="프로그램지원금" localSheetId="1">세입!#REF!</definedName>
  </definedNames>
  <calcPr calcId="162913"/>
</workbook>
</file>

<file path=xl/calcChain.xml><?xml version="1.0" encoding="utf-8"?>
<calcChain xmlns="http://schemas.openxmlformats.org/spreadsheetml/2006/main">
  <c r="W4" i="2" l="1"/>
  <c r="F7" i="1" l="1"/>
  <c r="E7" i="1"/>
  <c r="D7" i="1" l="1"/>
  <c r="I23" i="3" l="1"/>
  <c r="D18" i="1"/>
  <c r="F18" i="1"/>
  <c r="E18" i="1"/>
  <c r="D15" i="1"/>
  <c r="E21" i="1"/>
  <c r="F20" i="1"/>
  <c r="D21" i="1"/>
  <c r="F22" i="1"/>
  <c r="F21" i="1" s="1"/>
  <c r="D23" i="1"/>
  <c r="E23" i="1"/>
  <c r="F24" i="1"/>
  <c r="F23" i="1" s="1"/>
  <c r="W46" i="2"/>
  <c r="W51" i="2"/>
  <c r="AD168" i="3" l="1"/>
  <c r="M168" i="3"/>
  <c r="N168" i="3" s="1"/>
  <c r="L168" i="3"/>
  <c r="K168" i="3"/>
  <c r="K167" i="3" s="1"/>
  <c r="J168" i="3"/>
  <c r="I168" i="3"/>
  <c r="H168" i="3"/>
  <c r="G168" i="3"/>
  <c r="G167" i="3" s="1"/>
  <c r="F168" i="3"/>
  <c r="E168" i="3"/>
  <c r="AD167" i="3"/>
  <c r="L167" i="3"/>
  <c r="J167" i="3"/>
  <c r="I167" i="3"/>
  <c r="H167" i="3"/>
  <c r="F167" i="3"/>
  <c r="E167" i="3"/>
  <c r="M167" i="3" s="1"/>
  <c r="N167" i="3" s="1"/>
  <c r="N165" i="3"/>
  <c r="L165" i="3"/>
  <c r="L164" i="3" s="1"/>
  <c r="K165" i="3"/>
  <c r="J165" i="3"/>
  <c r="I165" i="3"/>
  <c r="H165" i="3"/>
  <c r="H164" i="3" s="1"/>
  <c r="G165" i="3"/>
  <c r="F165" i="3"/>
  <c r="E165" i="3"/>
  <c r="M165" i="3" s="1"/>
  <c r="AD164" i="3"/>
  <c r="N164" i="3"/>
  <c r="K164" i="3"/>
  <c r="J164" i="3"/>
  <c r="I164" i="3"/>
  <c r="G164" i="3"/>
  <c r="F164" i="3"/>
  <c r="E164" i="3"/>
  <c r="M164" i="3" s="1"/>
  <c r="AD156" i="3"/>
  <c r="AD155" i="3" s="1"/>
  <c r="L156" i="3"/>
  <c r="K156" i="3"/>
  <c r="K155" i="3" s="1"/>
  <c r="J156" i="3"/>
  <c r="J155" i="3" s="1"/>
  <c r="I156" i="3"/>
  <c r="H156" i="3"/>
  <c r="G156" i="3"/>
  <c r="G155" i="3" s="1"/>
  <c r="F156" i="3"/>
  <c r="F155" i="3" s="1"/>
  <c r="E156" i="3"/>
  <c r="M156" i="3" s="1"/>
  <c r="N156" i="3" s="1"/>
  <c r="L155" i="3"/>
  <c r="I155" i="3"/>
  <c r="H155" i="3"/>
  <c r="E155" i="3"/>
  <c r="M155" i="3" s="1"/>
  <c r="N155" i="3" s="1"/>
  <c r="AD153" i="3"/>
  <c r="J152" i="3" s="1"/>
  <c r="L152" i="3"/>
  <c r="K152" i="3"/>
  <c r="I152" i="3"/>
  <c r="H152" i="3"/>
  <c r="G152" i="3"/>
  <c r="F152" i="3"/>
  <c r="AD150" i="3"/>
  <c r="J149" i="3" s="1"/>
  <c r="L149" i="3"/>
  <c r="K149" i="3"/>
  <c r="I149" i="3"/>
  <c r="H149" i="3"/>
  <c r="G149" i="3"/>
  <c r="F149" i="3"/>
  <c r="AD147" i="3"/>
  <c r="AD145" i="3" s="1"/>
  <c r="E145" i="3" s="1"/>
  <c r="M145" i="3" s="1"/>
  <c r="N145" i="3" s="1"/>
  <c r="AD146" i="3"/>
  <c r="L145" i="3"/>
  <c r="K145" i="3"/>
  <c r="J145" i="3"/>
  <c r="I145" i="3"/>
  <c r="H145" i="3"/>
  <c r="G145" i="3"/>
  <c r="F145" i="3"/>
  <c r="AD143" i="3"/>
  <c r="AD142" i="3"/>
  <c r="L142" i="3"/>
  <c r="K142" i="3"/>
  <c r="J142" i="3"/>
  <c r="I142" i="3"/>
  <c r="H142" i="3"/>
  <c r="G142" i="3"/>
  <c r="F142" i="3"/>
  <c r="E142" i="3"/>
  <c r="M142" i="3" s="1"/>
  <c r="N142" i="3" s="1"/>
  <c r="AD140" i="3"/>
  <c r="AD139" i="3"/>
  <c r="L139" i="3"/>
  <c r="K139" i="3"/>
  <c r="J139" i="3"/>
  <c r="I139" i="3"/>
  <c r="H139" i="3"/>
  <c r="G139" i="3"/>
  <c r="F139" i="3"/>
  <c r="E139" i="3"/>
  <c r="M139" i="3" s="1"/>
  <c r="N139" i="3" s="1"/>
  <c r="AD136" i="3"/>
  <c r="L136" i="3"/>
  <c r="K136" i="3"/>
  <c r="J136" i="3"/>
  <c r="I136" i="3"/>
  <c r="H136" i="3"/>
  <c r="G136" i="3"/>
  <c r="F136" i="3"/>
  <c r="E136" i="3"/>
  <c r="M136" i="3" s="1"/>
  <c r="N136" i="3" s="1"/>
  <c r="AD134" i="3"/>
  <c r="AD132" i="3" s="1"/>
  <c r="AD133" i="3"/>
  <c r="L132" i="3"/>
  <c r="K132" i="3"/>
  <c r="K131" i="3" s="1"/>
  <c r="K108" i="3" s="1"/>
  <c r="J132" i="3"/>
  <c r="J131" i="3" s="1"/>
  <c r="I132" i="3"/>
  <c r="H132" i="3"/>
  <c r="G132" i="3"/>
  <c r="G131" i="3" s="1"/>
  <c r="G108" i="3" s="1"/>
  <c r="F132" i="3"/>
  <c r="F131" i="3" s="1"/>
  <c r="L131" i="3"/>
  <c r="I131" i="3"/>
  <c r="H131" i="3"/>
  <c r="AD129" i="3"/>
  <c r="J128" i="3" s="1"/>
  <c r="L128" i="3"/>
  <c r="K128" i="3"/>
  <c r="I128" i="3"/>
  <c r="H128" i="3"/>
  <c r="G128" i="3"/>
  <c r="AD125" i="3"/>
  <c r="AD124" i="3" s="1"/>
  <c r="E124" i="3" s="1"/>
  <c r="M124" i="3" s="1"/>
  <c r="N124" i="3" s="1"/>
  <c r="L124" i="3"/>
  <c r="K124" i="3"/>
  <c r="I124" i="3"/>
  <c r="H124" i="3"/>
  <c r="G124" i="3"/>
  <c r="AD122" i="3"/>
  <c r="I121" i="3" s="1"/>
  <c r="AD121" i="3"/>
  <c r="E121" i="3" s="1"/>
  <c r="M121" i="3" s="1"/>
  <c r="N121" i="3" s="1"/>
  <c r="L121" i="3"/>
  <c r="K121" i="3"/>
  <c r="J121" i="3"/>
  <c r="H121" i="3"/>
  <c r="G121" i="3"/>
  <c r="AD118" i="3"/>
  <c r="AD117" i="3"/>
  <c r="L117" i="3"/>
  <c r="K117" i="3"/>
  <c r="J117" i="3"/>
  <c r="I117" i="3"/>
  <c r="H117" i="3"/>
  <c r="G117" i="3"/>
  <c r="E117" i="3"/>
  <c r="M117" i="3" s="1"/>
  <c r="N117" i="3" s="1"/>
  <c r="AD115" i="3"/>
  <c r="AD114" i="3"/>
  <c r="AD113" i="3"/>
  <c r="AD112" i="3"/>
  <c r="J110" i="3" s="1"/>
  <c r="AD111" i="3"/>
  <c r="F110" i="3" s="1"/>
  <c r="F109" i="3" s="1"/>
  <c r="F108" i="3" s="1"/>
  <c r="L110" i="3"/>
  <c r="K110" i="3"/>
  <c r="I110" i="3"/>
  <c r="H110" i="3"/>
  <c r="G110" i="3"/>
  <c r="L109" i="3"/>
  <c r="L108" i="3" s="1"/>
  <c r="K109" i="3"/>
  <c r="H109" i="3"/>
  <c r="H108" i="3" s="1"/>
  <c r="G109" i="3"/>
  <c r="AD106" i="3"/>
  <c r="AD105" i="3"/>
  <c r="AD102" i="3" s="1"/>
  <c r="E102" i="3" s="1"/>
  <c r="M102" i="3" s="1"/>
  <c r="N102" i="3" s="1"/>
  <c r="L102" i="3"/>
  <c r="K102" i="3"/>
  <c r="I102" i="3"/>
  <c r="H102" i="3"/>
  <c r="G102" i="3"/>
  <c r="F102" i="3"/>
  <c r="AD98" i="3"/>
  <c r="E98" i="3" s="1"/>
  <c r="L98" i="3"/>
  <c r="K98" i="3"/>
  <c r="J98" i="3"/>
  <c r="I98" i="3"/>
  <c r="H98" i="3"/>
  <c r="G98" i="3"/>
  <c r="F98" i="3"/>
  <c r="AD96" i="3"/>
  <c r="N96" i="3"/>
  <c r="L96" i="3"/>
  <c r="K96" i="3"/>
  <c r="K95" i="3" s="1"/>
  <c r="K94" i="3" s="1"/>
  <c r="J96" i="3"/>
  <c r="I96" i="3"/>
  <c r="H96" i="3"/>
  <c r="G96" i="3"/>
  <c r="G95" i="3" s="1"/>
  <c r="G94" i="3" s="1"/>
  <c r="F96" i="3"/>
  <c r="F95" i="3" s="1"/>
  <c r="F94" i="3" s="1"/>
  <c r="E96" i="3"/>
  <c r="M96" i="3" s="1"/>
  <c r="L95" i="3"/>
  <c r="I95" i="3"/>
  <c r="I94" i="3" s="1"/>
  <c r="H95" i="3"/>
  <c r="L94" i="3"/>
  <c r="H94" i="3"/>
  <c r="AD91" i="3"/>
  <c r="E91" i="3" s="1"/>
  <c r="M91" i="3" s="1"/>
  <c r="N91" i="3" s="1"/>
  <c r="L91" i="3"/>
  <c r="K91" i="3"/>
  <c r="J91" i="3"/>
  <c r="I91" i="3"/>
  <c r="H91" i="3"/>
  <c r="G91" i="3"/>
  <c r="F91" i="3"/>
  <c r="AD88" i="3"/>
  <c r="AD87" i="3"/>
  <c r="E87" i="3" s="1"/>
  <c r="M87" i="3" s="1"/>
  <c r="N87" i="3" s="1"/>
  <c r="L87" i="3"/>
  <c r="K87" i="3"/>
  <c r="J87" i="3"/>
  <c r="I87" i="3"/>
  <c r="H87" i="3"/>
  <c r="G87" i="3"/>
  <c r="AD84" i="3"/>
  <c r="AD83" i="3"/>
  <c r="AD82" i="3"/>
  <c r="AD81" i="3" s="1"/>
  <c r="E81" i="3" s="1"/>
  <c r="M81" i="3" s="1"/>
  <c r="N81" i="3" s="1"/>
  <c r="L81" i="3"/>
  <c r="K81" i="3"/>
  <c r="I81" i="3"/>
  <c r="H81" i="3"/>
  <c r="G81" i="3"/>
  <c r="AD78" i="3"/>
  <c r="L74" i="3" s="1"/>
  <c r="AD77" i="3"/>
  <c r="AD76" i="3"/>
  <c r="AD74" i="3" s="1"/>
  <c r="E74" i="3" s="1"/>
  <c r="M74" i="3" s="1"/>
  <c r="N74" i="3" s="1"/>
  <c r="AD75" i="3"/>
  <c r="K74" i="3"/>
  <c r="J74" i="3"/>
  <c r="I74" i="3"/>
  <c r="H74" i="3"/>
  <c r="G74" i="3"/>
  <c r="F74" i="3"/>
  <c r="AD70" i="3"/>
  <c r="AD69" i="3"/>
  <c r="J66" i="3" s="1"/>
  <c r="AD68" i="3"/>
  <c r="AD66" i="3" s="1"/>
  <c r="E66" i="3" s="1"/>
  <c r="M66" i="3" s="1"/>
  <c r="N66" i="3" s="1"/>
  <c r="L66" i="3"/>
  <c r="K66" i="3"/>
  <c r="I66" i="3"/>
  <c r="H66" i="3"/>
  <c r="G66" i="3"/>
  <c r="AD64" i="3"/>
  <c r="AD63" i="3" s="1"/>
  <c r="L63" i="3"/>
  <c r="L62" i="3" s="1"/>
  <c r="L5" i="3" s="1"/>
  <c r="L4" i="3" s="1"/>
  <c r="K63" i="3"/>
  <c r="J63" i="3"/>
  <c r="I63" i="3"/>
  <c r="I62" i="3" s="1"/>
  <c r="H63" i="3"/>
  <c r="H62" i="3" s="1"/>
  <c r="G63" i="3"/>
  <c r="F63" i="3"/>
  <c r="K62" i="3"/>
  <c r="G62" i="3"/>
  <c r="AD59" i="3"/>
  <c r="AD58" i="3"/>
  <c r="AD57" i="3" s="1"/>
  <c r="L57" i="3"/>
  <c r="L52" i="3" s="1"/>
  <c r="K57" i="3"/>
  <c r="K52" i="3" s="1"/>
  <c r="J57" i="3"/>
  <c r="I57" i="3"/>
  <c r="H57" i="3"/>
  <c r="H52" i="3" s="1"/>
  <c r="G57" i="3"/>
  <c r="F57" i="3"/>
  <c r="N55" i="3"/>
  <c r="M55" i="3"/>
  <c r="E55" i="3"/>
  <c r="AD53" i="3"/>
  <c r="N53" i="3"/>
  <c r="L53" i="3"/>
  <c r="K53" i="3"/>
  <c r="J53" i="3"/>
  <c r="J52" i="3" s="1"/>
  <c r="I53" i="3"/>
  <c r="H53" i="3"/>
  <c r="G53" i="3"/>
  <c r="G52" i="3" s="1"/>
  <c r="F53" i="3"/>
  <c r="F52" i="3" s="1"/>
  <c r="E53" i="3"/>
  <c r="M53" i="3" s="1"/>
  <c r="I52" i="3"/>
  <c r="AD50" i="3"/>
  <c r="AD49" i="3"/>
  <c r="AD48" i="3"/>
  <c r="AD47" i="3"/>
  <c r="AD46" i="3" s="1"/>
  <c r="E46" i="3" s="1"/>
  <c r="M46" i="3" s="1"/>
  <c r="N46" i="3" s="1"/>
  <c r="L46" i="3"/>
  <c r="K46" i="3"/>
  <c r="I46" i="3"/>
  <c r="H46" i="3"/>
  <c r="G46" i="3"/>
  <c r="AD43" i="3"/>
  <c r="L26" i="3"/>
  <c r="K26" i="3"/>
  <c r="J26" i="3"/>
  <c r="I26" i="3"/>
  <c r="H26" i="3"/>
  <c r="G26" i="3"/>
  <c r="L23" i="3"/>
  <c r="J23" i="3"/>
  <c r="H23" i="3"/>
  <c r="G23" i="3"/>
  <c r="AD21" i="3"/>
  <c r="AD20" i="3"/>
  <c r="AD19" i="3"/>
  <c r="AD17" i="3"/>
  <c r="AD15" i="3" s="1"/>
  <c r="AD16" i="3"/>
  <c r="AD14" i="3"/>
  <c r="E14" i="3" s="1"/>
  <c r="M14" i="3" s="1"/>
  <c r="N14" i="3" s="1"/>
  <c r="L14" i="3"/>
  <c r="K14" i="3"/>
  <c r="J14" i="3"/>
  <c r="I14" i="3"/>
  <c r="H14" i="3"/>
  <c r="G14" i="3"/>
  <c r="F14" i="3"/>
  <c r="AD12" i="3"/>
  <c r="AD11" i="3"/>
  <c r="N11" i="3"/>
  <c r="L11" i="3"/>
  <c r="K11" i="3"/>
  <c r="J11" i="3"/>
  <c r="I11" i="3"/>
  <c r="H11" i="3"/>
  <c r="G11" i="3"/>
  <c r="G6" i="3" s="1"/>
  <c r="G5" i="3" s="1"/>
  <c r="G4" i="3" s="1"/>
  <c r="F11" i="3"/>
  <c r="AD9" i="3"/>
  <c r="AD8" i="3"/>
  <c r="F7" i="3" s="1"/>
  <c r="L7" i="3"/>
  <c r="K7" i="3"/>
  <c r="K6" i="3" s="1"/>
  <c r="K5" i="3" s="1"/>
  <c r="K4" i="3" s="1"/>
  <c r="J7" i="3"/>
  <c r="I7" i="3"/>
  <c r="L6" i="3"/>
  <c r="I6" i="3"/>
  <c r="I5" i="3" s="1"/>
  <c r="H6" i="3"/>
  <c r="H5" i="3"/>
  <c r="H4" i="3"/>
  <c r="W86" i="2"/>
  <c r="W82" i="2" s="1"/>
  <c r="W75" i="2"/>
  <c r="W74" i="2" s="1"/>
  <c r="W72" i="2"/>
  <c r="E72" i="2"/>
  <c r="F72" i="2" s="1"/>
  <c r="D72" i="2"/>
  <c r="G72" i="2" s="1"/>
  <c r="W71" i="2"/>
  <c r="D71" i="2"/>
  <c r="G71" i="2" s="1"/>
  <c r="W68" i="2"/>
  <c r="G68" i="2"/>
  <c r="E68" i="2"/>
  <c r="E67" i="2" s="1"/>
  <c r="F67" i="2" s="1"/>
  <c r="D68" i="2"/>
  <c r="W67" i="2"/>
  <c r="D67" i="2"/>
  <c r="G67" i="2" s="1"/>
  <c r="W64" i="2"/>
  <c r="E64" i="2"/>
  <c r="F64" i="2" s="1"/>
  <c r="G64" i="2" s="1"/>
  <c r="W63" i="2"/>
  <c r="W60" i="2"/>
  <c r="E60" i="2" s="1"/>
  <c r="F60" i="2" s="1"/>
  <c r="G60" i="2" s="1"/>
  <c r="W57" i="2"/>
  <c r="G57" i="2"/>
  <c r="E57" i="2"/>
  <c r="F57" i="2" s="1"/>
  <c r="D57" i="2"/>
  <c r="W54" i="2"/>
  <c r="G54" i="2"/>
  <c r="F54" i="2"/>
  <c r="E54" i="2"/>
  <c r="D54" i="2"/>
  <c r="G46" i="2"/>
  <c r="E46" i="2"/>
  <c r="E45" i="2" s="1"/>
  <c r="F45" i="2" s="1"/>
  <c r="D46" i="2"/>
  <c r="W45" i="2"/>
  <c r="W41" i="2" s="1"/>
  <c r="D45" i="2"/>
  <c r="G45" i="2" s="1"/>
  <c r="E43" i="2"/>
  <c r="D43" i="2"/>
  <c r="G43" i="2" s="1"/>
  <c r="W42" i="2"/>
  <c r="E42" i="2"/>
  <c r="W39" i="2"/>
  <c r="W38" i="2"/>
  <c r="E38" i="2" s="1"/>
  <c r="W37" i="2"/>
  <c r="W35" i="2"/>
  <c r="E35" i="2" s="1"/>
  <c r="F35" i="2" s="1"/>
  <c r="D35" i="2"/>
  <c r="G35" i="2" s="1"/>
  <c r="W33" i="2"/>
  <c r="G33" i="2"/>
  <c r="E33" i="2"/>
  <c r="F33" i="2" s="1"/>
  <c r="G32" i="2"/>
  <c r="E32" i="2"/>
  <c r="F32" i="2" s="1"/>
  <c r="E29" i="2"/>
  <c r="D29" i="2"/>
  <c r="G29" i="2" s="1"/>
  <c r="W28" i="2"/>
  <c r="E28" i="2"/>
  <c r="W22" i="2"/>
  <c r="F22" i="2"/>
  <c r="G22" i="2" s="1"/>
  <c r="E22" i="2"/>
  <c r="W21" i="2"/>
  <c r="E21" i="2"/>
  <c r="F21" i="2" s="1"/>
  <c r="G21" i="2" s="1"/>
  <c r="W16" i="2"/>
  <c r="F16" i="2"/>
  <c r="G16" i="2" s="1"/>
  <c r="E16" i="2"/>
  <c r="W15" i="2"/>
  <c r="E15" i="2"/>
  <c r="F15" i="2" s="1"/>
  <c r="G15" i="2" s="1"/>
  <c r="E12" i="2"/>
  <c r="F12" i="2" s="1"/>
  <c r="D12" i="2"/>
  <c r="G12" i="2" s="1"/>
  <c r="W9" i="2"/>
  <c r="F9" i="2"/>
  <c r="E9" i="2"/>
  <c r="D9" i="2"/>
  <c r="G9" i="2" s="1"/>
  <c r="W7" i="2"/>
  <c r="G7" i="2"/>
  <c r="E7" i="2"/>
  <c r="F7" i="2" s="1"/>
  <c r="D7" i="2"/>
  <c r="W6" i="2"/>
  <c r="W5" i="2" s="1"/>
  <c r="K28" i="1"/>
  <c r="K27" i="1" s="1"/>
  <c r="J27" i="1"/>
  <c r="I27" i="1"/>
  <c r="K26" i="1"/>
  <c r="K25" i="1" s="1"/>
  <c r="J25" i="1"/>
  <c r="I25" i="1"/>
  <c r="K24" i="1"/>
  <c r="K23" i="1" s="1"/>
  <c r="J23" i="1"/>
  <c r="I23" i="1"/>
  <c r="K22" i="1"/>
  <c r="K21" i="1"/>
  <c r="K20" i="1"/>
  <c r="K16" i="1" s="1"/>
  <c r="K19" i="1"/>
  <c r="K18" i="1"/>
  <c r="K17" i="1"/>
  <c r="F17" i="1"/>
  <c r="J16" i="1"/>
  <c r="I16" i="1"/>
  <c r="F16" i="1"/>
  <c r="K15" i="1"/>
  <c r="F15" i="1"/>
  <c r="E15" i="1"/>
  <c r="K14" i="1"/>
  <c r="F14" i="1"/>
  <c r="K13" i="1"/>
  <c r="F13" i="1"/>
  <c r="K12" i="1"/>
  <c r="J12" i="1"/>
  <c r="I12" i="1"/>
  <c r="F12" i="1"/>
  <c r="K11" i="1"/>
  <c r="F11" i="1"/>
  <c r="F10" i="1" s="1"/>
  <c r="K10" i="1"/>
  <c r="E10" i="1"/>
  <c r="D10" i="1"/>
  <c r="K9" i="1"/>
  <c r="F9" i="1"/>
  <c r="K8" i="1"/>
  <c r="K7" i="1" s="1"/>
  <c r="J8" i="1"/>
  <c r="J7" i="1" s="1"/>
  <c r="I8" i="1"/>
  <c r="F8" i="1"/>
  <c r="E8" i="1"/>
  <c r="D8" i="1"/>
  <c r="I7" i="1"/>
  <c r="F46" i="2" l="1"/>
  <c r="W11" i="2"/>
  <c r="E71" i="2"/>
  <c r="F71" i="2" s="1"/>
  <c r="E82" i="2"/>
  <c r="W81" i="2"/>
  <c r="W70" i="2" s="1"/>
  <c r="E5" i="2"/>
  <c r="F28" i="2"/>
  <c r="E37" i="2"/>
  <c r="F37" i="2" s="1"/>
  <c r="G37" i="2" s="1"/>
  <c r="F38" i="2"/>
  <c r="G38" i="2" s="1"/>
  <c r="F29" i="2"/>
  <c r="F43" i="2"/>
  <c r="E75" i="2"/>
  <c r="E11" i="3"/>
  <c r="M11" i="3" s="1"/>
  <c r="E11" i="2"/>
  <c r="F11" i="2" s="1"/>
  <c r="G11" i="2" s="1"/>
  <c r="D28" i="2"/>
  <c r="G28" i="2" s="1"/>
  <c r="W32" i="2"/>
  <c r="W31" i="2" s="1"/>
  <c r="E51" i="2" s="1"/>
  <c r="E50" i="2" s="1"/>
  <c r="E41" i="2"/>
  <c r="D42" i="2"/>
  <c r="AD7" i="3"/>
  <c r="E132" i="3"/>
  <c r="E63" i="3"/>
  <c r="AD62" i="3"/>
  <c r="I109" i="3"/>
  <c r="I108" i="3" s="1"/>
  <c r="I4" i="3" s="1"/>
  <c r="E31" i="2"/>
  <c r="F31" i="2" s="1"/>
  <c r="G31" i="2" s="1"/>
  <c r="E63" i="2"/>
  <c r="F63" i="2" s="1"/>
  <c r="G63" i="2" s="1"/>
  <c r="F68" i="2"/>
  <c r="E57" i="3"/>
  <c r="AD52" i="3"/>
  <c r="E95" i="3"/>
  <c r="M98" i="3"/>
  <c r="N98" i="3" s="1"/>
  <c r="J46" i="3"/>
  <c r="J6" i="3" s="1"/>
  <c r="F66" i="3"/>
  <c r="F62" i="3" s="1"/>
  <c r="J81" i="3"/>
  <c r="J62" i="3" s="1"/>
  <c r="AD95" i="3"/>
  <c r="AD94" i="3" s="1"/>
  <c r="J102" i="3"/>
  <c r="J95" i="3" s="1"/>
  <c r="J94" i="3" s="1"/>
  <c r="AD110" i="3"/>
  <c r="J124" i="3"/>
  <c r="J109" i="3" s="1"/>
  <c r="J108" i="3" s="1"/>
  <c r="AD128" i="3"/>
  <c r="E128" i="3" s="1"/>
  <c r="M128" i="3" s="1"/>
  <c r="N128" i="3" s="1"/>
  <c r="AD149" i="3"/>
  <c r="E149" i="3" s="1"/>
  <c r="M149" i="3" s="1"/>
  <c r="N149" i="3" s="1"/>
  <c r="AD152" i="3"/>
  <c r="E152" i="3" s="1"/>
  <c r="M152" i="3" s="1"/>
  <c r="N152" i="3" s="1"/>
  <c r="F51" i="2" l="1"/>
  <c r="G51" i="2" s="1"/>
  <c r="W50" i="2"/>
  <c r="W49" i="2" s="1"/>
  <c r="E110" i="3"/>
  <c r="AD109" i="3"/>
  <c r="AD131" i="3"/>
  <c r="J5" i="3"/>
  <c r="J4" i="3" s="1"/>
  <c r="E131" i="3"/>
  <c r="M131" i="3" s="1"/>
  <c r="N131" i="3" s="1"/>
  <c r="M132" i="3"/>
  <c r="N132" i="3" s="1"/>
  <c r="G42" i="2"/>
  <c r="D41" i="2"/>
  <c r="G41" i="2" s="1"/>
  <c r="F75" i="2"/>
  <c r="G75" i="2" s="1"/>
  <c r="E74" i="2"/>
  <c r="F82" i="2"/>
  <c r="G82" i="2" s="1"/>
  <c r="E81" i="2"/>
  <c r="F81" i="2" s="1"/>
  <c r="G81" i="2" s="1"/>
  <c r="M57" i="3"/>
  <c r="N57" i="3" s="1"/>
  <c r="E52" i="3"/>
  <c r="M52" i="3" s="1"/>
  <c r="N52" i="3" s="1"/>
  <c r="F42" i="2"/>
  <c r="E94" i="3"/>
  <c r="M94" i="3" s="1"/>
  <c r="N94" i="3" s="1"/>
  <c r="M95" i="3"/>
  <c r="N95" i="3" s="1"/>
  <c r="M63" i="3"/>
  <c r="N63" i="3" s="1"/>
  <c r="E62" i="3"/>
  <c r="M62" i="3" s="1"/>
  <c r="N62" i="3" s="1"/>
  <c r="S24" i="3"/>
  <c r="E7" i="3"/>
  <c r="F5" i="2"/>
  <c r="E49" i="2"/>
  <c r="F49" i="2" s="1"/>
  <c r="G49" i="2" s="1"/>
  <c r="F50" i="2"/>
  <c r="G50" i="2" s="1"/>
  <c r="E4" i="2" l="1"/>
  <c r="S29" i="3"/>
  <c r="AD24" i="3"/>
  <c r="F74" i="2"/>
  <c r="G74" i="2" s="1"/>
  <c r="E70" i="2"/>
  <c r="F70" i="2" s="1"/>
  <c r="G70" i="2" s="1"/>
  <c r="AD108" i="3"/>
  <c r="M7" i="3"/>
  <c r="N7" i="3" s="1"/>
  <c r="F41" i="2"/>
  <c r="F4" i="2" s="1"/>
  <c r="G4" i="2" s="1"/>
  <c r="G5" i="2"/>
  <c r="E109" i="3"/>
  <c r="M110" i="3"/>
  <c r="N110" i="3" s="1"/>
  <c r="AD23" i="3" l="1"/>
  <c r="F23" i="3"/>
  <c r="M109" i="3"/>
  <c r="N109" i="3" s="1"/>
  <c r="E108" i="3"/>
  <c r="M108" i="3" s="1"/>
  <c r="N108" i="3" s="1"/>
  <c r="S32" i="3"/>
  <c r="AD29" i="3"/>
  <c r="AD28" i="3" l="1"/>
  <c r="AD32" i="3"/>
  <c r="S38" i="3"/>
  <c r="E23" i="3"/>
  <c r="S35" i="3" l="1"/>
  <c r="AD35" i="3" s="1"/>
  <c r="AD31" i="3"/>
  <c r="M23" i="3"/>
  <c r="N23" i="3" s="1"/>
  <c r="AD38" i="3"/>
  <c r="AD37" i="3" s="1"/>
  <c r="S41" i="3"/>
  <c r="AD41" i="3" s="1"/>
  <c r="AD40" i="3" s="1"/>
  <c r="AD34" i="3" l="1"/>
  <c r="AD26" i="3" s="1"/>
  <c r="F26" i="3"/>
  <c r="F6" i="3" s="1"/>
  <c r="F5" i="3" s="1"/>
  <c r="F4" i="3" s="1"/>
  <c r="E26" i="3" l="1"/>
  <c r="AD6" i="3"/>
  <c r="AD5" i="3" s="1"/>
  <c r="AD4" i="3" s="1"/>
  <c r="M26" i="3" l="1"/>
  <c r="N26" i="3" s="1"/>
  <c r="E6" i="3"/>
  <c r="E5" i="3" l="1"/>
  <c r="M6" i="3"/>
  <c r="N6" i="3" s="1"/>
  <c r="E4" i="3" l="1"/>
  <c r="M4" i="3" s="1"/>
  <c r="N4" i="3" s="1"/>
  <c r="M5" i="3"/>
  <c r="N5" i="3" s="1"/>
</calcChain>
</file>

<file path=xl/comments1.xml><?xml version="1.0" encoding="utf-8"?>
<comments xmlns="http://schemas.openxmlformats.org/spreadsheetml/2006/main">
  <authors>
    <author>ADMIN</author>
  </authors>
  <commentList>
    <comment ref="AB12" authorId="0" shapeId="0">
      <text>
        <r>
          <rPr>
            <b/>
            <sz val="9"/>
            <color rgb="FF000000"/>
            <rFont val="Tahoma"/>
            <family val="2"/>
          </rPr>
          <t>ADMIN: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<sst xmlns="http://schemas.openxmlformats.org/spreadsheetml/2006/main" count="1017" uniqueCount="330">
  <si>
    <t>산               출                기               초</t>
  </si>
  <si>
    <t>2.연장근로수당</t>
  </si>
  <si>
    <t>* 직원 건강진단비</t>
  </si>
  <si>
    <t>* 월동대책비(김장)</t>
  </si>
  <si>
    <t>* 독감예방접종</t>
  </si>
  <si>
    <t>6. 사회보험정산금</t>
  </si>
  <si>
    <t>□ 2021년도 1차추경 세 입 · 세 출 총  괄  표</t>
  </si>
  <si>
    <t>2021년 본예산</t>
  </si>
  <si>
    <t>* 가을 나들이</t>
  </si>
  <si>
    <t>* 밥솥, 등 구입</t>
  </si>
  <si>
    <t>* 퇴사자이O진퇴직금</t>
  </si>
  <si>
    <t>4. 후원금 이자수입</t>
  </si>
  <si>
    <t>3. 잡수입 이자수입</t>
  </si>
  <si>
    <t>* 복사기 대여료</t>
  </si>
  <si>
    <t>※ 체크카드환급 및 직원급식비</t>
  </si>
  <si>
    <t>* 우편물발송료 등 기타 공공요금</t>
  </si>
  <si>
    <t>* 정수기 대여료 및 수질검사 등</t>
  </si>
  <si>
    <t>산              출               기              초</t>
  </si>
  <si>
    <t>* 시설안전종합보험(화재보험 포함)</t>
  </si>
  <si>
    <t>사   무   비</t>
  </si>
  <si>
    <t>* 입소비용수입</t>
  </si>
  <si>
    <t>* 후원금 예금이자</t>
  </si>
  <si>
    <t>세       출</t>
  </si>
  <si>
    <t>증      감</t>
  </si>
  <si>
    <t>※ 보조금수입 합계</t>
  </si>
  <si>
    <t>합        계</t>
  </si>
  <si>
    <t>* 입소비용 예금이자</t>
  </si>
  <si>
    <t>잡    수    입</t>
  </si>
  <si>
    <t>업 무   추 진 비</t>
  </si>
  <si>
    <t>구        분</t>
  </si>
  <si>
    <t>수용기관   경비</t>
  </si>
  <si>
    <t>이    월    금</t>
  </si>
  <si>
    <t>예   비   비</t>
  </si>
  <si>
    <t>* 아파트관리비</t>
  </si>
  <si>
    <t>* 특수건강검진</t>
  </si>
  <si>
    <t>※ 수용기관경비</t>
  </si>
  <si>
    <t>비지정   후원금</t>
  </si>
  <si>
    <t>입소비용   수입</t>
  </si>
  <si>
    <t>* 가스안전점검비</t>
  </si>
  <si>
    <t>법인      전입금</t>
  </si>
  <si>
    <t>세       입</t>
  </si>
  <si>
    <t>※ 기타후생경비</t>
  </si>
  <si>
    <t>※ 직원 교육훈련비</t>
  </si>
  <si>
    <t>* 전기안전점검비</t>
  </si>
  <si>
    <t>* 신원보증보험갱신</t>
  </si>
  <si>
    <t>* 7종 보조금 잔액</t>
  </si>
  <si>
    <t>소      계</t>
  </si>
  <si>
    <t>※ 수용비및수수료</t>
  </si>
  <si>
    <t>* 이용인 생일</t>
  </si>
  <si>
    <t>4.고용보험부담금</t>
  </si>
  <si>
    <t>※ 사회보험부담금</t>
  </si>
  <si>
    <t>* 주부식비(부식)</t>
  </si>
  <si>
    <t>1.국민연금부담금</t>
  </si>
  <si>
    <t>* 취사용 연료비</t>
  </si>
  <si>
    <t>사   업   비</t>
  </si>
  <si>
    <t xml:space="preserve"> &lt;불용품매각대&gt;</t>
  </si>
  <si>
    <t>* 잡수입 예금이자</t>
  </si>
  <si>
    <t>* 인건비 지원금</t>
  </si>
  <si>
    <t>* 입소자 건강진단비</t>
  </si>
  <si>
    <t>* 회의 다과비</t>
  </si>
  <si>
    <t>※ 시설장비유지비</t>
  </si>
  <si>
    <t>* 사회재활교사</t>
  </si>
  <si>
    <t xml:space="preserve"> &lt;이월 사업비&gt;</t>
  </si>
  <si>
    <t>보조금
(시비)</t>
  </si>
  <si>
    <t>총         계</t>
  </si>
  <si>
    <t xml:space="preserve"> &lt;잡수입이월금&gt;</t>
  </si>
  <si>
    <t>3.장기요양보험부담금</t>
  </si>
  <si>
    <t>5.산업재해보험부담금</t>
  </si>
  <si>
    <t>잡   지   출</t>
  </si>
  <si>
    <t>※ 예금이자수입</t>
  </si>
  <si>
    <t>합    계 :</t>
  </si>
  <si>
    <t xml:space="preserve"> &lt;후원금이월금&gt;</t>
  </si>
  <si>
    <t xml:space="preserve"> &lt;법인 전입금&gt;</t>
  </si>
  <si>
    <t>경      비</t>
  </si>
  <si>
    <t xml:space="preserve"> * 후원금이월액</t>
  </si>
  <si>
    <t xml:space="preserve"> &lt;전년도 이월금&gt;</t>
  </si>
  <si>
    <t xml:space="preserve"> &lt;기타예금이자수입&gt;</t>
  </si>
  <si>
    <t>자 산   취 득 비</t>
  </si>
  <si>
    <t xml:space="preserve"> &lt;보조금이월금&gt;</t>
  </si>
  <si>
    <t>전년도   이월금</t>
  </si>
  <si>
    <t xml:space="preserve"> * 잡수입이월액</t>
  </si>
  <si>
    <t xml:space="preserve"> &lt;법인전입금이월금&gt;</t>
  </si>
  <si>
    <t>※ 과년도 수입</t>
  </si>
  <si>
    <t>보조금   반납금</t>
  </si>
  <si>
    <t xml:space="preserve">  *후원금 수입</t>
  </si>
  <si>
    <t xml:space="preserve"> * 입소비용이월액</t>
  </si>
  <si>
    <t>금액
(B-A)</t>
  </si>
  <si>
    <t>전    입    금</t>
  </si>
  <si>
    <t>* 기타 수용기관경비</t>
  </si>
  <si>
    <t>1. 보조금 이자수입</t>
  </si>
  <si>
    <t>※ 입소비용수입</t>
  </si>
  <si>
    <t xml:space="preserve"> &lt;기타잡수입&gt;</t>
  </si>
  <si>
    <t xml:space="preserve"> * 법인전입금이월액</t>
  </si>
  <si>
    <t xml:space="preserve"> &lt;입소비용이월금&gt;</t>
  </si>
  <si>
    <t>&lt;비지정후원금&gt;</t>
  </si>
  <si>
    <t>* 시설당 기본지원</t>
  </si>
  <si>
    <t>지 정</t>
  </si>
  <si>
    <t>유지비</t>
  </si>
  <si>
    <t>관</t>
  </si>
  <si>
    <t>잡수입</t>
  </si>
  <si>
    <t>추진비</t>
  </si>
  <si>
    <t>명</t>
  </si>
  <si>
    <t>생계비</t>
  </si>
  <si>
    <t>기타예</t>
  </si>
  <si>
    <t>예비비</t>
  </si>
  <si>
    <t>급여</t>
  </si>
  <si>
    <t>사업비</t>
  </si>
  <si>
    <t>시군구</t>
  </si>
  <si>
    <t>월</t>
  </si>
  <si>
    <t>연료비</t>
  </si>
  <si>
    <t>보조</t>
  </si>
  <si>
    <t>조성비</t>
  </si>
  <si>
    <t>나들이</t>
  </si>
  <si>
    <t>7종</t>
  </si>
  <si>
    <t>사 업</t>
  </si>
  <si>
    <t>사무비</t>
  </si>
  <si>
    <t>시 도</t>
  </si>
  <si>
    <t>비지정</t>
  </si>
  <si>
    <t>과년도</t>
  </si>
  <si>
    <t>합계:</t>
  </si>
  <si>
    <t>매각대</t>
  </si>
  <si>
    <t>후원</t>
  </si>
  <si>
    <t>금이자</t>
  </si>
  <si>
    <t>경비</t>
  </si>
  <si>
    <t>목</t>
  </si>
  <si>
    <t>전입금</t>
  </si>
  <si>
    <t>후원금</t>
  </si>
  <si>
    <t>=</t>
  </si>
  <si>
    <t>×</t>
  </si>
  <si>
    <t>운영비</t>
  </si>
  <si>
    <t>증감</t>
  </si>
  <si>
    <t>의료비</t>
  </si>
  <si>
    <t>부담금</t>
  </si>
  <si>
    <t>인건비</t>
  </si>
  <si>
    <t>법인</t>
  </si>
  <si>
    <t>수수료</t>
  </si>
  <si>
    <t>잡지출</t>
  </si>
  <si>
    <t>피복비</t>
  </si>
  <si>
    <t>잡수</t>
  </si>
  <si>
    <t>기 타</t>
  </si>
  <si>
    <t>회</t>
  </si>
  <si>
    <t>계:</t>
  </si>
  <si>
    <t>국 고</t>
  </si>
  <si>
    <t>제수당</t>
  </si>
  <si>
    <t>시비</t>
  </si>
  <si>
    <t>반환금</t>
  </si>
  <si>
    <t>원</t>
  </si>
  <si>
    <t>불용품</t>
  </si>
  <si>
    <t>항</t>
  </si>
  <si>
    <t>수 입</t>
  </si>
  <si>
    <t>기타</t>
  </si>
  <si>
    <t>시설비</t>
  </si>
  <si>
    <t>전년도</t>
  </si>
  <si>
    <t>소계:</t>
  </si>
  <si>
    <t xml:space="preserve"> </t>
  </si>
  <si>
    <t>÷</t>
  </si>
  <si>
    <t>보조금</t>
  </si>
  <si>
    <t>이월금</t>
  </si>
  <si>
    <t>소계</t>
  </si>
  <si>
    <t>입소</t>
  </si>
  <si>
    <t>이 월</t>
  </si>
  <si>
    <t>계</t>
  </si>
  <si>
    <t>* 명절선물(설,추석)</t>
  </si>
  <si>
    <t>* 법인전입금 예금이자</t>
  </si>
  <si>
    <t>* 전화료 및 인터넷 요금</t>
  </si>
  <si>
    <t xml:space="preserve"> &lt;전년도이월금(후원금)&gt;</t>
  </si>
  <si>
    <t>피      복      비</t>
  </si>
  <si>
    <t>* 환경개선사업(7종)</t>
  </si>
  <si>
    <t>* 주방식기류 및 그릇 보강</t>
  </si>
  <si>
    <t>※ 보조금 반환금(수원시)</t>
  </si>
  <si>
    <t>* 사무용품비(문구류 )</t>
  </si>
  <si>
    <t xml:space="preserve"> &lt;시도 보조금 합계&gt;</t>
  </si>
  <si>
    <t xml:space="preserve"> &lt;시군구 보조금 합계&gt;</t>
  </si>
  <si>
    <t>* 보조금 운영비 잔액</t>
  </si>
  <si>
    <t>* 외래 진료비 및 의약품비</t>
  </si>
  <si>
    <t>총          계</t>
  </si>
  <si>
    <t>예      비      비</t>
  </si>
  <si>
    <t xml:space="preserve"> &lt;비지정 후원금 합계&gt;</t>
  </si>
  <si>
    <t>* 운영위원회 참석수당</t>
  </si>
  <si>
    <t>시      설      비</t>
  </si>
  <si>
    <t xml:space="preserve"> &lt;기타 보조금 합계&gt;</t>
  </si>
  <si>
    <t>* 보조금 운영비 예금이자</t>
  </si>
  <si>
    <t>* 주부식비(직원급식)</t>
  </si>
  <si>
    <t>잡      수      입</t>
  </si>
  <si>
    <t>생      계      비</t>
  </si>
  <si>
    <t xml:space="preserve"> * 운영비보조금이월액</t>
  </si>
  <si>
    <t>의      료      비</t>
  </si>
  <si>
    <t>인      건      비</t>
  </si>
  <si>
    <t>* 7종 보조금 예금이자</t>
  </si>
  <si>
    <t>* 기타 시설물 관리유지비</t>
  </si>
  <si>
    <t>과            목</t>
  </si>
  <si>
    <t>* 기타 수용비 및 수수료</t>
  </si>
  <si>
    <t xml:space="preserve"> &lt;국고 보조금 합계&gt;</t>
  </si>
  <si>
    <t>* 환경개선사업비(7종)</t>
  </si>
  <si>
    <t xml:space="preserve"> &lt;법인 전입금(후원금)&gt;</t>
  </si>
  <si>
    <t xml:space="preserve"> * 교육 및 출장여비</t>
  </si>
  <si>
    <t>잡      지      출</t>
  </si>
  <si>
    <t>운      영      비</t>
  </si>
  <si>
    <t xml:space="preserve"> &lt;지정 후원금 합계&gt;</t>
  </si>
  <si>
    <t>연      료      비</t>
  </si>
  <si>
    <t xml:space="preserve">* 요리프로그램 </t>
  </si>
  <si>
    <t>* 등산프로그램</t>
  </si>
  <si>
    <t>일용잡급</t>
  </si>
  <si>
    <t>후원금  수입</t>
  </si>
  <si>
    <t>기타 보조금</t>
  </si>
  <si>
    <t>(단위:원)</t>
  </si>
  <si>
    <t>시군구보조금</t>
  </si>
  <si>
    <t>입소비용수입</t>
  </si>
  <si>
    <t>보조금  수입</t>
  </si>
  <si>
    <t>국고보조금</t>
  </si>
  <si>
    <t>시설장비유지비</t>
  </si>
  <si>
    <t>공공요금</t>
  </si>
  <si>
    <t>프로그램사업비</t>
  </si>
  <si>
    <t>시도보조금</t>
  </si>
  <si>
    <t>소  계</t>
  </si>
  <si>
    <t>(후원)</t>
  </si>
  <si>
    <t>&lt;지정후원금&gt;</t>
  </si>
  <si>
    <t>※이 월 금</t>
  </si>
  <si>
    <t>※ 사업수입</t>
  </si>
  <si>
    <t>&lt;운영비&gt;</t>
  </si>
  <si>
    <t>보조금반환</t>
  </si>
  <si>
    <t>업무추진비</t>
  </si>
  <si>
    <t>총  계 :</t>
  </si>
  <si>
    <t>※후원금수입</t>
  </si>
  <si>
    <t>수  입</t>
  </si>
  <si>
    <t>※ 잡 수 입</t>
  </si>
  <si>
    <t>재산조성비</t>
  </si>
  <si>
    <t>소계 :</t>
  </si>
  <si>
    <t>입  소</t>
  </si>
  <si>
    <t>교육지원</t>
  </si>
  <si>
    <t>※ 총 계</t>
  </si>
  <si>
    <t>※ 피복비</t>
  </si>
  <si>
    <t>운동지원</t>
  </si>
  <si>
    <t>보조금 반환금</t>
  </si>
  <si>
    <t>자치회의</t>
  </si>
  <si>
    <t>비율(%)</t>
  </si>
  <si>
    <t>소     계</t>
  </si>
  <si>
    <t>* 송년회</t>
  </si>
  <si>
    <t>※ 예비비</t>
  </si>
  <si>
    <t>※ 의료비</t>
  </si>
  <si>
    <t>입   소</t>
  </si>
  <si>
    <t>합  계 :</t>
  </si>
  <si>
    <t>※ 자산취득비</t>
  </si>
  <si>
    <t>※ 시설비</t>
  </si>
  <si>
    <t>수용기관</t>
  </si>
  <si>
    <t xml:space="preserve">총  괄 : </t>
  </si>
  <si>
    <t>문화생활</t>
  </si>
  <si>
    <t>시설장비</t>
  </si>
  <si>
    <t>* 자치회의</t>
  </si>
  <si>
    <t>프로그램</t>
  </si>
  <si>
    <t>소  계 :</t>
  </si>
  <si>
    <t>자산취득비</t>
  </si>
  <si>
    <t>※ 잡지출</t>
  </si>
  <si>
    <t>비  용</t>
  </si>
  <si>
    <t>일상생활</t>
  </si>
  <si>
    <t>※ 연료비</t>
  </si>
  <si>
    <t>※법인 전입금</t>
  </si>
  <si>
    <t>※ 생계비</t>
  </si>
  <si>
    <t>수용비및</t>
  </si>
  <si>
    <t>※ 제수당</t>
  </si>
  <si>
    <t>기타후생</t>
  </si>
  <si>
    <t>※ 기관운영비</t>
  </si>
  <si>
    <t>보조금(7종)</t>
  </si>
  <si>
    <t>※기본급</t>
  </si>
  <si>
    <t>업   무</t>
  </si>
  <si>
    <t>회  의  비</t>
  </si>
  <si>
    <t>※ 여비</t>
  </si>
  <si>
    <t>여    비</t>
  </si>
  <si>
    <t>계
(B)</t>
  </si>
  <si>
    <t>1.명절휴가비</t>
  </si>
  <si>
    <t>지원사업비</t>
  </si>
  <si>
    <t>※ 차량비</t>
  </si>
  <si>
    <t>입소자
부담금</t>
  </si>
  <si>
    <t>* 피복비</t>
  </si>
  <si>
    <t>재   산</t>
  </si>
  <si>
    <t>※ 직책보조비</t>
  </si>
  <si>
    <t>법인
전입금</t>
  </si>
  <si>
    <t>차  량  비</t>
  </si>
  <si>
    <t>기관운영비</t>
  </si>
  <si>
    <t>사회보험</t>
  </si>
  <si>
    <t>직책보조비</t>
  </si>
  <si>
    <t>* 차량유류대</t>
  </si>
  <si>
    <t>※ 제세공과금</t>
  </si>
  <si>
    <t>퇴직적립금</t>
  </si>
  <si>
    <t>※ 공공요금</t>
  </si>
  <si>
    <t>기타운영비</t>
  </si>
  <si>
    <t>※ 퇴직적립금</t>
  </si>
  <si>
    <t>※ 회의비</t>
  </si>
  <si>
    <t>※ 일용잡급</t>
  </si>
  <si>
    <t>제세공과금</t>
  </si>
  <si>
    <t>* 차량보험료</t>
  </si>
  <si>
    <t>세출총계</t>
  </si>
  <si>
    <t>2021년
본예산액(A)
(단위:천원)</t>
  </si>
  <si>
    <t>* 직원 축일 및 생일 축하 문화상품권</t>
  </si>
  <si>
    <t>2021년 1차추경예산액(B)(단위:천원)</t>
  </si>
  <si>
    <t>법 인</t>
  </si>
  <si>
    <t>3호봉</t>
  </si>
  <si>
    <t>4호봉</t>
  </si>
  <si>
    <t>* 간식비</t>
  </si>
  <si>
    <t>* 차량 정기검사/ 차량수리 및 정비비</t>
  </si>
  <si>
    <t>* 홈캉스</t>
  </si>
  <si>
    <t>2021년 1차추경예산</t>
  </si>
  <si>
    <t>3. 후원금 체크카드환급금</t>
  </si>
  <si>
    <t>* 보조금(시비) 예금이자</t>
  </si>
  <si>
    <t xml:space="preserve">  *법인 전입금(후원금)</t>
  </si>
  <si>
    <t>* 잡수입 체크카드 환급액</t>
  </si>
  <si>
    <t>* 입소비용 체크카드 환급액</t>
  </si>
  <si>
    <t>2. 입소비용 이자수입</t>
  </si>
  <si>
    <t>* 주민세 등 기타 공과금</t>
  </si>
  <si>
    <t>1. 입소비용 체크카드환급액</t>
  </si>
  <si>
    <t>* 후원금 체크카드 환급액</t>
  </si>
  <si>
    <t>5. 법인전입금 이자수입</t>
  </si>
  <si>
    <t>2. 잡수입 체크카드환급금</t>
  </si>
  <si>
    <t>* 보조금(시비) 잔액</t>
  </si>
  <si>
    <t>2.국민건강보험부담금</t>
  </si>
  <si>
    <t>지정      후원금</t>
  </si>
  <si>
    <t>4. 직원 급식비</t>
  </si>
  <si>
    <t>&lt;결연후원금&gt;</t>
  </si>
  <si>
    <t>* 성교육</t>
  </si>
  <si>
    <t>보조금(도비)</t>
  </si>
  <si>
    <t xml:space="preserve"> *법인전입금</t>
  </si>
  <si>
    <t>* 영화관람</t>
  </si>
  <si>
    <t>* 생활용품구입비(비누,치약, 화장지 등)</t>
  </si>
  <si>
    <t>* 환경개선사업(7종) 냉장고 등 구입</t>
  </si>
  <si>
    <t>&lt;몬띠의 집 2021년도 1차추경 세입내역</t>
  </si>
  <si>
    <t>2021년
1차추경예산(B)
(단위:천원)</t>
  </si>
  <si>
    <t>&lt;몬띠의 집 2021년도 1차추경 세출내역&gt;</t>
  </si>
  <si>
    <t>2021년
본예산(A)
(단위:천원)</t>
    <phoneticPr fontId="28" type="noConversion"/>
  </si>
  <si>
    <t>법인전입금(후원금)</t>
    <phoneticPr fontId="28" type="noConversion"/>
  </si>
  <si>
    <t>후원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</si>
</sst>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&quot;▼&quot;* #,##0_-;_-* &quot;-&quot;_-;_-@_-"/>
    <numFmt numFmtId="178" formatCode="#,##0;[Red]#,##0"/>
    <numFmt numFmtId="179" formatCode="#,##0_ "/>
    <numFmt numFmtId="180" formatCode="#,##0_);[Red]\(#,##0\)"/>
    <numFmt numFmtId="181" formatCode="_-* #,##0.0_-;\-* #,##0.0_-;_-* &quot;-&quot;_-;_-@_-"/>
    <numFmt numFmtId="182" formatCode="&quot;×&quot;0%"/>
    <numFmt numFmtId="183" formatCode="&quot;×&quot;General"/>
    <numFmt numFmtId="184" formatCode="#,##0&quot;명&quot;;[Red]#,##0\ &quot;명&quot;"/>
    <numFmt numFmtId="185" formatCode="0.0%"/>
    <numFmt numFmtId="186" formatCode="0_ "/>
    <numFmt numFmtId="187" formatCode="#,##0_ ;[Red]\-#,##0\ "/>
    <numFmt numFmtId="188" formatCode="#,##0&quot;회&quot;;[Red]#,##0"/>
    <numFmt numFmtId="189" formatCode="#,##0&quot;명&quot;;[Red]#,##0"/>
    <numFmt numFmtId="190" formatCode="0_);[Red]\(0\)"/>
    <numFmt numFmtId="191" formatCode="#,##0&quot;월&quot;;\-#,##0&quot;월&quot;"/>
    <numFmt numFmtId="192" formatCode="#,##0&quot;h×&quot;;\-#,##0&quot;h×&quot;"/>
    <numFmt numFmtId="193" formatCode="#,##0.0;[Red]#,##0.0"/>
    <numFmt numFmtId="194" formatCode="#,##0&quot;×&quot;;\-#,##0&quot;원×&quot;"/>
  </numFmts>
  <fonts count="30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3"/>
      <charset val="129"/>
    </font>
    <font>
      <b/>
      <sz val="11"/>
      <color rgb="FF000099"/>
      <name val="돋움"/>
      <family val="3"/>
      <charset val="129"/>
    </font>
    <font>
      <sz val="10"/>
      <color rgb="FF000000"/>
      <name val="바탕체"/>
      <family val="1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1212F6"/>
      <name val="맑은 고딕"/>
      <family val="3"/>
      <charset val="129"/>
    </font>
    <font>
      <b/>
      <sz val="10"/>
      <color rgb="FF0033CC"/>
      <name val="맑은 고딕"/>
      <family val="3"/>
      <charset val="129"/>
    </font>
    <font>
      <sz val="10"/>
      <color rgb="FF0033CC"/>
      <name val="맑은 고딕"/>
      <family val="3"/>
      <charset val="129"/>
    </font>
    <font>
      <sz val="10"/>
      <color rgb="FF000099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10"/>
      <color rgb="FFFF0000"/>
      <name val="바탕체"/>
      <family val="1"/>
      <charset val="129"/>
    </font>
    <font>
      <b/>
      <sz val="10"/>
      <color rgb="FFC00000"/>
      <name val="맑은 고딕"/>
      <family val="3"/>
      <charset val="129"/>
    </font>
    <font>
      <sz val="10"/>
      <color rgb="FFC00000"/>
      <name val="맑은 고딕"/>
      <family val="3"/>
      <charset val="129"/>
    </font>
    <font>
      <sz val="10"/>
      <color rgb="FF993300"/>
      <name val="바탕체"/>
      <family val="1"/>
      <charset val="129"/>
    </font>
    <font>
      <sz val="10"/>
      <color rgb="FF0000FF"/>
      <name val="맑은 고딕"/>
      <family val="3"/>
      <charset val="129"/>
    </font>
    <font>
      <b/>
      <sz val="10"/>
      <color rgb="FFC0504D"/>
      <name val="맑은 고딕"/>
      <family val="3"/>
      <charset val="129"/>
    </font>
    <font>
      <sz val="10"/>
      <color rgb="FFC0504D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9">
    <xf numFmtId="0" fontId="0" fillId="0" borderId="0">
      <alignment vertical="center"/>
    </xf>
    <xf numFmtId="9" fontId="27" fillId="0" borderId="0">
      <alignment vertical="center"/>
    </xf>
    <xf numFmtId="41" fontId="27" fillId="0" borderId="0">
      <alignment vertical="center"/>
    </xf>
    <xf numFmtId="42" fontId="27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7" fillId="0" borderId="0"/>
    <xf numFmtId="9" fontId="27" fillId="0" borderId="0">
      <alignment vertical="center"/>
    </xf>
    <xf numFmtId="0" fontId="27" fillId="0" borderId="0"/>
  </cellStyleXfs>
  <cellXfs count="571">
    <xf numFmtId="0" fontId="0" fillId="0" borderId="0" xfId="0">
      <alignment vertical="center"/>
    </xf>
    <xf numFmtId="0" fontId="1" fillId="0" borderId="0" xfId="4" applyNumberFormat="1">
      <alignment vertical="center"/>
    </xf>
    <xf numFmtId="0" fontId="2" fillId="0" borderId="0" xfId="4" applyNumberFormat="1" applyFont="1">
      <alignment vertical="center"/>
    </xf>
    <xf numFmtId="0" fontId="3" fillId="0" borderId="0" xfId="4" applyNumberFormat="1" applyFont="1" applyAlignment="1">
      <alignment horizontal="right"/>
    </xf>
    <xf numFmtId="0" fontId="1" fillId="0" borderId="1" xfId="4" applyNumberFormat="1" applyBorder="1" applyAlignment="1">
      <alignment horizontal="center" vertical="center"/>
    </xf>
    <xf numFmtId="41" fontId="0" fillId="0" borderId="1" xfId="5" applyNumberFormat="1" applyFont="1" applyBorder="1">
      <alignment vertical="center"/>
    </xf>
    <xf numFmtId="176" fontId="0" fillId="0" borderId="2" xfId="5" applyNumberFormat="1" applyFont="1" applyBorder="1">
      <alignment vertical="center"/>
    </xf>
    <xf numFmtId="176" fontId="0" fillId="0" borderId="3" xfId="5" applyNumberFormat="1" applyFont="1" applyBorder="1">
      <alignment vertical="center"/>
    </xf>
    <xf numFmtId="0" fontId="1" fillId="0" borderId="4" xfId="4" applyNumberFormat="1" applyBorder="1" applyAlignment="1">
      <alignment horizontal="center" vertical="center"/>
    </xf>
    <xf numFmtId="41" fontId="0" fillId="0" borderId="4" xfId="5" applyNumberFormat="1" applyFont="1" applyBorder="1">
      <alignment vertical="center"/>
    </xf>
    <xf numFmtId="176" fontId="0" fillId="0" borderId="5" xfId="5" applyNumberFormat="1" applyFont="1" applyBorder="1">
      <alignment vertical="center"/>
    </xf>
    <xf numFmtId="0" fontId="1" fillId="0" borderId="1" xfId="4" applyNumberFormat="1" applyFont="1" applyBorder="1" applyAlignment="1">
      <alignment horizontal="center" vertical="center"/>
    </xf>
    <xf numFmtId="41" fontId="4" fillId="0" borderId="8" xfId="5" applyNumberFormat="1" applyFont="1" applyBorder="1" applyAlignment="1">
      <alignment vertical="center"/>
    </xf>
    <xf numFmtId="176" fontId="4" fillId="0" borderId="23" xfId="5" applyNumberFormat="1" applyFont="1" applyBorder="1" applyAlignment="1">
      <alignment vertical="center"/>
    </xf>
    <xf numFmtId="176" fontId="4" fillId="0" borderId="15" xfId="5" applyNumberFormat="1" applyFont="1" applyBorder="1" applyAlignment="1">
      <alignment vertical="center"/>
    </xf>
    <xf numFmtId="0" fontId="5" fillId="0" borderId="8" xfId="4" applyNumberFormat="1" applyFont="1" applyBorder="1" applyAlignment="1">
      <alignment horizontal="center" vertical="center"/>
    </xf>
    <xf numFmtId="41" fontId="6" fillId="0" borderId="8" xfId="5" applyNumberFormat="1" applyFont="1" applyBorder="1" applyAlignment="1">
      <alignment vertical="center"/>
    </xf>
    <xf numFmtId="176" fontId="6" fillId="0" borderId="23" xfId="5" applyNumberFormat="1" applyFont="1" applyBorder="1" applyAlignment="1">
      <alignment vertical="center"/>
    </xf>
    <xf numFmtId="0" fontId="5" fillId="0" borderId="1" xfId="4" applyNumberFormat="1" applyFont="1" applyBorder="1" applyAlignment="1">
      <alignment horizontal="center" vertical="center"/>
    </xf>
    <xf numFmtId="41" fontId="6" fillId="0" borderId="1" xfId="5" applyNumberFormat="1" applyFont="1" applyBorder="1">
      <alignment vertical="center"/>
    </xf>
    <xf numFmtId="176" fontId="6" fillId="0" borderId="2" xfId="5" applyNumberFormat="1" applyFont="1" applyBorder="1">
      <alignment vertical="center"/>
    </xf>
    <xf numFmtId="176" fontId="6" fillId="0" borderId="15" xfId="5" applyNumberFormat="1" applyFont="1" applyBorder="1" applyAlignment="1">
      <alignment vertical="center"/>
    </xf>
    <xf numFmtId="176" fontId="6" fillId="0" borderId="3" xfId="5" applyNumberFormat="1" applyFont="1" applyBorder="1">
      <alignment vertical="center"/>
    </xf>
    <xf numFmtId="0" fontId="1" fillId="0" borderId="1" xfId="4" applyNumberFormat="1" applyFont="1" applyBorder="1" applyAlignment="1">
      <alignment horizontal="center" vertical="center"/>
    </xf>
    <xf numFmtId="0" fontId="1" fillId="0" borderId="25" xfId="4" applyNumberFormat="1" applyBorder="1" applyAlignment="1">
      <alignment vertical="center"/>
    </xf>
    <xf numFmtId="0" fontId="1" fillId="0" borderId="0" xfId="4" applyNumberFormat="1" applyBorder="1" applyAlignment="1">
      <alignment vertical="center"/>
    </xf>
    <xf numFmtId="0" fontId="1" fillId="0" borderId="26" xfId="4" applyNumberFormat="1" applyBorder="1" applyAlignment="1">
      <alignment vertical="center"/>
    </xf>
    <xf numFmtId="0" fontId="1" fillId="0" borderId="13" xfId="4" applyNumberFormat="1" applyBorder="1" applyAlignment="1">
      <alignment vertical="center"/>
    </xf>
    <xf numFmtId="41" fontId="6" fillId="0" borderId="1" xfId="5" applyNumberFormat="1" applyFont="1" applyBorder="1">
      <alignment vertical="center"/>
    </xf>
    <xf numFmtId="41" fontId="0" fillId="0" borderId="1" xfId="5" applyNumberFormat="1" applyFont="1" applyBorder="1">
      <alignment vertical="center"/>
    </xf>
    <xf numFmtId="41" fontId="0" fillId="0" borderId="1" xfId="5" applyNumberFormat="1" applyFont="1" applyBorder="1">
      <alignment vertical="center"/>
    </xf>
    <xf numFmtId="0" fontId="7" fillId="0" borderId="0" xfId="6" applyNumberFormat="1" applyFont="1" applyFill="1" applyAlignment="1">
      <alignment vertical="center"/>
    </xf>
    <xf numFmtId="41" fontId="7" fillId="0" borderId="0" xfId="2" applyNumberFormat="1" applyFont="1" applyFill="1" applyAlignment="1">
      <alignment vertical="center"/>
    </xf>
    <xf numFmtId="178" fontId="7" fillId="0" borderId="0" xfId="6" applyNumberFormat="1" applyFont="1" applyFill="1" applyAlignment="1">
      <alignment vertical="center"/>
    </xf>
    <xf numFmtId="9" fontId="7" fillId="0" borderId="0" xfId="6" applyNumberFormat="1" applyFont="1" applyFill="1" applyAlignment="1">
      <alignment horizontal="center" vertical="center"/>
    </xf>
    <xf numFmtId="179" fontId="7" fillId="0" borderId="0" xfId="6" applyNumberFormat="1" applyFont="1" applyFill="1" applyAlignment="1">
      <alignment vertical="center"/>
    </xf>
    <xf numFmtId="180" fontId="7" fillId="0" borderId="0" xfId="6" applyNumberFormat="1" applyFont="1" applyFill="1" applyAlignment="1">
      <alignment vertical="center"/>
    </xf>
    <xf numFmtId="0" fontId="7" fillId="0" borderId="0" xfId="6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vertical="center"/>
    </xf>
    <xf numFmtId="178" fontId="8" fillId="0" borderId="30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vertical="center"/>
    </xf>
    <xf numFmtId="0" fontId="8" fillId="0" borderId="13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horizontal="center" vertical="center"/>
    </xf>
    <xf numFmtId="0" fontId="8" fillId="0" borderId="31" xfId="6" applyNumberFormat="1" applyFont="1" applyFill="1" applyBorder="1" applyAlignment="1">
      <alignment vertical="center"/>
    </xf>
    <xf numFmtId="9" fontId="8" fillId="0" borderId="19" xfId="6" applyNumberFormat="1" applyFont="1" applyFill="1" applyBorder="1" applyAlignment="1">
      <alignment horizontal="center" vertical="center"/>
    </xf>
    <xf numFmtId="179" fontId="8" fillId="0" borderId="19" xfId="6" applyNumberFormat="1" applyFont="1" applyFill="1" applyBorder="1" applyAlignment="1">
      <alignment vertical="center"/>
    </xf>
    <xf numFmtId="180" fontId="8" fillId="0" borderId="19" xfId="6" applyNumberFormat="1" applyFont="1" applyFill="1" applyBorder="1" applyAlignment="1">
      <alignment vertical="center"/>
    </xf>
    <xf numFmtId="0" fontId="8" fillId="0" borderId="19" xfId="6" applyNumberFormat="1" applyFont="1" applyFill="1" applyBorder="1" applyAlignment="1">
      <alignment horizontal="center" vertical="center"/>
    </xf>
    <xf numFmtId="0" fontId="8" fillId="0" borderId="12" xfId="6" applyNumberFormat="1" applyFont="1" applyFill="1" applyBorder="1" applyAlignment="1">
      <alignment vertical="center" wrapText="1"/>
    </xf>
    <xf numFmtId="178" fontId="8" fillId="0" borderId="32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vertical="center"/>
    </xf>
    <xf numFmtId="0" fontId="8" fillId="0" borderId="33" xfId="6" applyNumberFormat="1" applyFont="1" applyFill="1" applyBorder="1" applyAlignment="1">
      <alignment vertical="center"/>
    </xf>
    <xf numFmtId="9" fontId="8" fillId="0" borderId="7" xfId="6" applyNumberFormat="1" applyFont="1" applyFill="1" applyBorder="1" applyAlignment="1">
      <alignment horizontal="center" vertical="center"/>
    </xf>
    <xf numFmtId="179" fontId="8" fillId="0" borderId="7" xfId="6" applyNumberFormat="1" applyFont="1" applyFill="1" applyBorder="1" applyAlignment="1">
      <alignment vertical="center"/>
    </xf>
    <xf numFmtId="180" fontId="8" fillId="0" borderId="7" xfId="6" applyNumberFormat="1" applyFont="1" applyFill="1" applyBorder="1" applyAlignment="1">
      <alignment vertical="center"/>
    </xf>
    <xf numFmtId="0" fontId="8" fillId="0" borderId="7" xfId="6" applyNumberFormat="1" applyFont="1" applyFill="1" applyBorder="1" applyAlignment="1">
      <alignment horizontal="center" vertical="center" wrapText="1"/>
    </xf>
    <xf numFmtId="0" fontId="8" fillId="0" borderId="7" xfId="6" applyNumberFormat="1" applyFont="1" applyFill="1" applyBorder="1" applyAlignment="1">
      <alignment horizontal="center" vertical="center"/>
    </xf>
    <xf numFmtId="0" fontId="8" fillId="0" borderId="11" xfId="6" applyNumberFormat="1" applyFont="1" applyFill="1" applyBorder="1" applyAlignment="1">
      <alignment vertical="center" wrapText="1"/>
    </xf>
    <xf numFmtId="178" fontId="8" fillId="0" borderId="0" xfId="6" applyNumberFormat="1" applyFont="1" applyFill="1" applyBorder="1" applyAlignment="1">
      <alignment horizontal="right" vertical="center"/>
    </xf>
    <xf numFmtId="178" fontId="8" fillId="0" borderId="0" xfId="6" applyNumberFormat="1" applyFont="1" applyFill="1" applyBorder="1" applyAlignment="1">
      <alignment horizontal="right" vertical="center"/>
    </xf>
    <xf numFmtId="178" fontId="8" fillId="0" borderId="28" xfId="6" applyNumberFormat="1" applyFont="1" applyFill="1" applyBorder="1" applyAlignment="1">
      <alignment vertical="center"/>
    </xf>
    <xf numFmtId="178" fontId="8" fillId="0" borderId="34" xfId="6" applyNumberFormat="1" applyFont="1" applyFill="1" applyBorder="1" applyAlignment="1">
      <alignment horizontal="right" vertical="center"/>
    </xf>
    <xf numFmtId="178" fontId="9" fillId="0" borderId="24" xfId="6" applyNumberFormat="1" applyFont="1" applyFill="1" applyBorder="1" applyAlignment="1">
      <alignment vertical="center"/>
    </xf>
    <xf numFmtId="0" fontId="9" fillId="0" borderId="34" xfId="6" applyNumberFormat="1" applyFont="1" applyFill="1" applyBorder="1" applyAlignment="1">
      <alignment vertical="center"/>
    </xf>
    <xf numFmtId="0" fontId="9" fillId="0" borderId="2" xfId="6" applyNumberFormat="1" applyFont="1" applyFill="1" applyBorder="1" applyAlignment="1">
      <alignment vertical="center"/>
    </xf>
    <xf numFmtId="9" fontId="8" fillId="0" borderId="22" xfId="6" applyNumberFormat="1" applyFont="1" applyFill="1" applyBorder="1" applyAlignment="1">
      <alignment horizontal="center" vertical="center"/>
    </xf>
    <xf numFmtId="179" fontId="8" fillId="0" borderId="22" xfId="6" applyNumberFormat="1" applyFont="1" applyFill="1" applyBorder="1" applyAlignment="1">
      <alignment vertical="center"/>
    </xf>
    <xf numFmtId="178" fontId="10" fillId="0" borderId="28" xfId="6" applyNumberFormat="1" applyFont="1" applyFill="1" applyBorder="1" applyAlignment="1">
      <alignment vertical="center"/>
    </xf>
    <xf numFmtId="178" fontId="10" fillId="0" borderId="34" xfId="6" applyNumberFormat="1" applyFont="1" applyFill="1" applyBorder="1" applyAlignment="1">
      <alignment horizontal="right" vertical="center"/>
    </xf>
    <xf numFmtId="178" fontId="10" fillId="0" borderId="34" xfId="6" applyNumberFormat="1" applyFont="1" applyFill="1" applyBorder="1" applyAlignment="1">
      <alignment vertical="center"/>
    </xf>
    <xf numFmtId="178" fontId="11" fillId="0" borderId="34" xfId="6" applyNumberFormat="1" applyFont="1" applyFill="1" applyBorder="1" applyAlignment="1">
      <alignment vertical="center"/>
    </xf>
    <xf numFmtId="178" fontId="12" fillId="0" borderId="34" xfId="6" applyNumberFormat="1" applyFont="1" applyFill="1" applyBorder="1" applyAlignment="1">
      <alignment vertical="center"/>
    </xf>
    <xf numFmtId="0" fontId="12" fillId="0" borderId="34" xfId="6" applyNumberFormat="1" applyFont="1" applyFill="1" applyBorder="1" applyAlignment="1">
      <alignment vertical="center"/>
    </xf>
    <xf numFmtId="0" fontId="11" fillId="0" borderId="2" xfId="6" applyNumberFormat="1" applyFont="1" applyFill="1" applyBorder="1" applyAlignment="1">
      <alignment vertical="center"/>
    </xf>
    <xf numFmtId="9" fontId="13" fillId="0" borderId="1" xfId="7" applyNumberFormat="1" applyFont="1" applyFill="1" applyBorder="1" applyAlignment="1">
      <alignment horizontal="center" vertical="center"/>
    </xf>
    <xf numFmtId="179" fontId="13" fillId="0" borderId="1" xfId="6" applyNumberFormat="1" applyFont="1" applyFill="1" applyBorder="1" applyAlignment="1">
      <alignment vertical="center"/>
    </xf>
    <xf numFmtId="180" fontId="13" fillId="0" borderId="1" xfId="6" applyNumberFormat="1" applyFont="1" applyFill="1" applyBorder="1" applyAlignment="1">
      <alignment vertical="center"/>
    </xf>
    <xf numFmtId="0" fontId="8" fillId="0" borderId="22" xfId="6" applyNumberFormat="1" applyFont="1" applyFill="1" applyBorder="1" applyAlignment="1">
      <alignment horizontal="center" vertical="center" wrapText="1"/>
    </xf>
    <xf numFmtId="178" fontId="8" fillId="0" borderId="0" xfId="6" applyNumberFormat="1" applyFont="1" applyFill="1" applyBorder="1" applyAlignment="1">
      <alignment horizontal="left" vertical="center"/>
    </xf>
    <xf numFmtId="9" fontId="8" fillId="0" borderId="7" xfId="7" applyNumberFormat="1" applyFont="1" applyFill="1" applyBorder="1" applyAlignment="1">
      <alignment horizontal="center" vertical="center"/>
    </xf>
    <xf numFmtId="0" fontId="8" fillId="0" borderId="35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0" fontId="9" fillId="0" borderId="0" xfId="6" applyNumberFormat="1" applyFont="1" applyFill="1" applyBorder="1" applyAlignment="1">
      <alignment vertical="center"/>
    </xf>
    <xf numFmtId="0" fontId="9" fillId="0" borderId="23" xfId="6" applyNumberFormat="1" applyFont="1" applyFill="1" applyBorder="1" applyAlignment="1">
      <alignment vertical="center"/>
    </xf>
    <xf numFmtId="180" fontId="1" fillId="0" borderId="0" xfId="0" applyNumberFormat="1" applyFont="1" applyBorder="1">
      <alignment vertical="center"/>
    </xf>
    <xf numFmtId="181" fontId="8" fillId="0" borderId="0" xfId="2" applyNumberFormat="1" applyFont="1" applyFill="1" applyBorder="1" applyAlignment="1">
      <alignment horizontal="center" vertical="center"/>
    </xf>
    <xf numFmtId="42" fontId="8" fillId="0" borderId="0" xfId="6" applyNumberFormat="1" applyFont="1" applyFill="1" applyBorder="1" applyAlignment="1">
      <alignment horizontal="center" vertical="center"/>
    </xf>
    <xf numFmtId="180" fontId="8" fillId="0" borderId="0" xfId="6" applyNumberFormat="1" applyFont="1" applyFill="1" applyBorder="1" applyAlignment="1">
      <alignment horizontal="center" vertical="center"/>
    </xf>
    <xf numFmtId="178" fontId="8" fillId="0" borderId="24" xfId="6" applyNumberFormat="1" applyFont="1" applyFill="1" applyBorder="1" applyAlignment="1">
      <alignment vertical="center"/>
    </xf>
    <xf numFmtId="0" fontId="8" fillId="0" borderId="24" xfId="6" applyNumberFormat="1" applyFont="1" applyFill="1" applyBorder="1" applyAlignment="1">
      <alignment vertical="center"/>
    </xf>
    <xf numFmtId="0" fontId="8" fillId="0" borderId="2" xfId="6" applyNumberFormat="1" applyFont="1" applyFill="1" applyBorder="1" applyAlignment="1">
      <alignment vertical="center"/>
    </xf>
    <xf numFmtId="0" fontId="8" fillId="0" borderId="16" xfId="6" applyNumberFormat="1" applyFont="1" applyFill="1" applyBorder="1" applyAlignment="1">
      <alignment vertical="center"/>
    </xf>
    <xf numFmtId="0" fontId="7" fillId="0" borderId="0" xfId="6" applyNumberFormat="1" applyFont="1" applyFill="1" applyBorder="1" applyAlignment="1">
      <alignment vertical="center"/>
    </xf>
    <xf numFmtId="178" fontId="14" fillId="0" borderId="0" xfId="6" applyNumberFormat="1" applyFont="1" applyFill="1" applyBorder="1" applyAlignment="1">
      <alignment vertical="center"/>
    </xf>
    <xf numFmtId="178" fontId="14" fillId="0" borderId="0" xfId="6" applyNumberFormat="1" applyFont="1" applyFill="1" applyBorder="1" applyAlignment="1">
      <alignment horizontal="right" vertical="center"/>
    </xf>
    <xf numFmtId="0" fontId="14" fillId="0" borderId="0" xfId="6" applyNumberFormat="1" applyFont="1" applyFill="1" applyBorder="1" applyAlignment="1">
      <alignment vertical="center"/>
    </xf>
    <xf numFmtId="0" fontId="14" fillId="0" borderId="0" xfId="6" applyNumberFormat="1" applyFont="1" applyFill="1" applyBorder="1" applyAlignment="1">
      <alignment horizontal="center" vertical="center"/>
    </xf>
    <xf numFmtId="9" fontId="15" fillId="0" borderId="0" xfId="7" applyNumberFormat="1" applyFont="1" applyFill="1" applyBorder="1" applyAlignment="1">
      <alignment horizontal="center" vertical="center"/>
    </xf>
    <xf numFmtId="179" fontId="15" fillId="0" borderId="0" xfId="6" applyNumberFormat="1" applyFont="1" applyFill="1" applyBorder="1" applyAlignment="1">
      <alignment vertical="center"/>
    </xf>
    <xf numFmtId="180" fontId="15" fillId="0" borderId="0" xfId="6" applyNumberFormat="1" applyFont="1" applyFill="1" applyBorder="1" applyAlignment="1">
      <alignment vertical="center"/>
    </xf>
    <xf numFmtId="0" fontId="15" fillId="0" borderId="0" xfId="6" applyNumberFormat="1" applyFont="1" applyFill="1" applyBorder="1" applyAlignment="1">
      <alignment vertical="center" wrapText="1"/>
    </xf>
    <xf numFmtId="178" fontId="10" fillId="0" borderId="36" xfId="6" applyNumberFormat="1" applyFont="1" applyFill="1" applyBorder="1" applyAlignment="1">
      <alignment horizontal="right" vertical="center"/>
    </xf>
    <xf numFmtId="0" fontId="8" fillId="0" borderId="16" xfId="6" applyNumberFormat="1" applyFont="1" applyFill="1" applyBorder="1" applyAlignment="1">
      <alignment horizontal="center" vertical="center"/>
    </xf>
    <xf numFmtId="0" fontId="8" fillId="0" borderId="11" xfId="6" applyNumberFormat="1" applyFont="1" applyFill="1" applyBorder="1" applyAlignment="1">
      <alignment horizontal="center" vertical="center" wrapText="1"/>
    </xf>
    <xf numFmtId="0" fontId="15" fillId="0" borderId="28" xfId="6" applyNumberFormat="1" applyFont="1" applyFill="1" applyBorder="1" applyAlignment="1">
      <alignment vertical="center" wrapText="1"/>
    </xf>
    <xf numFmtId="178" fontId="14" fillId="0" borderId="34" xfId="6" applyNumberFormat="1" applyFont="1" applyFill="1" applyBorder="1" applyAlignment="1">
      <alignment horizontal="right" vertical="center"/>
    </xf>
    <xf numFmtId="0" fontId="14" fillId="0" borderId="34" xfId="6" applyNumberFormat="1" applyFont="1" applyFill="1" applyBorder="1" applyAlignment="1">
      <alignment vertical="center"/>
    </xf>
    <xf numFmtId="178" fontId="14" fillId="0" borderId="34" xfId="6" applyNumberFormat="1" applyFont="1" applyFill="1" applyBorder="1" applyAlignment="1">
      <alignment vertical="center"/>
    </xf>
    <xf numFmtId="0" fontId="14" fillId="0" borderId="34" xfId="6" applyNumberFormat="1" applyFont="1" applyFill="1" applyBorder="1" applyAlignment="1">
      <alignment horizontal="center" vertical="center"/>
    </xf>
    <xf numFmtId="0" fontId="14" fillId="0" borderId="2" xfId="6" applyNumberFormat="1" applyFont="1" applyFill="1" applyBorder="1" applyAlignment="1">
      <alignment vertical="center"/>
    </xf>
    <xf numFmtId="9" fontId="15" fillId="0" borderId="1" xfId="7" applyNumberFormat="1" applyFont="1" applyFill="1" applyBorder="1" applyAlignment="1">
      <alignment horizontal="center" vertical="center"/>
    </xf>
    <xf numFmtId="179" fontId="15" fillId="0" borderId="1" xfId="6" applyNumberFormat="1" applyFont="1" applyFill="1" applyBorder="1" applyAlignment="1">
      <alignment vertical="center"/>
    </xf>
    <xf numFmtId="180" fontId="15" fillId="0" borderId="1" xfId="6" applyNumberFormat="1" applyFont="1" applyFill="1" applyBorder="1" applyAlignment="1">
      <alignment vertical="center"/>
    </xf>
    <xf numFmtId="0" fontId="15" fillId="0" borderId="2" xfId="6" applyNumberFormat="1" applyFont="1" applyFill="1" applyBorder="1" applyAlignment="1">
      <alignment horizontal="center" vertical="center" wrapText="1"/>
    </xf>
    <xf numFmtId="0" fontId="8" fillId="0" borderId="22" xfId="6" applyNumberFormat="1" applyFont="1" applyFill="1" applyBorder="1" applyAlignment="1">
      <alignment horizontal="center" vertical="center"/>
    </xf>
    <xf numFmtId="178" fontId="8" fillId="0" borderId="37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right" vertical="center"/>
    </xf>
    <xf numFmtId="178" fontId="8" fillId="0" borderId="36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left" vertical="center"/>
    </xf>
    <xf numFmtId="0" fontId="8" fillId="0" borderId="36" xfId="6" applyNumberFormat="1" applyFont="1" applyFill="1" applyBorder="1" applyAlignment="1">
      <alignment vertical="center"/>
    </xf>
    <xf numFmtId="0" fontId="8" fillId="0" borderId="23" xfId="6" applyNumberFormat="1" applyFont="1" applyFill="1" applyBorder="1" applyAlignment="1">
      <alignment vertical="center"/>
    </xf>
    <xf numFmtId="9" fontId="8" fillId="0" borderId="8" xfId="7" applyNumberFormat="1" applyFont="1" applyFill="1" applyBorder="1" applyAlignment="1">
      <alignment horizontal="center" vertical="center"/>
    </xf>
    <xf numFmtId="179" fontId="8" fillId="0" borderId="8" xfId="6" applyNumberFormat="1" applyFont="1" applyFill="1" applyBorder="1" applyAlignment="1">
      <alignment vertical="center"/>
    </xf>
    <xf numFmtId="180" fontId="8" fillId="0" borderId="8" xfId="6" applyNumberFormat="1" applyFont="1" applyFill="1" applyBorder="1" applyAlignment="1">
      <alignment vertical="center"/>
    </xf>
    <xf numFmtId="0" fontId="8" fillId="0" borderId="8" xfId="6" applyNumberFormat="1" applyFont="1" applyFill="1" applyBorder="1" applyAlignment="1">
      <alignment horizontal="center" vertical="center" wrapText="1"/>
    </xf>
    <xf numFmtId="0" fontId="8" fillId="0" borderId="38" xfId="6" applyNumberFormat="1" applyFont="1" applyFill="1" applyBorder="1" applyAlignment="1">
      <alignment horizontal="center" vertical="center" wrapText="1"/>
    </xf>
    <xf numFmtId="0" fontId="8" fillId="0" borderId="33" xfId="6" applyNumberFormat="1" applyFont="1" applyFill="1" applyBorder="1" applyAlignment="1">
      <alignment vertical="center"/>
    </xf>
    <xf numFmtId="0" fontId="8" fillId="0" borderId="2" xfId="6" applyNumberFormat="1" applyFont="1" applyFill="1" applyBorder="1" applyAlignment="1">
      <alignment vertical="center"/>
    </xf>
    <xf numFmtId="180" fontId="8" fillId="0" borderId="22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center" vertical="center"/>
    </xf>
    <xf numFmtId="9" fontId="8" fillId="0" borderId="8" xfId="6" applyNumberFormat="1" applyFont="1" applyFill="1" applyBorder="1" applyAlignment="1">
      <alignment horizontal="center" vertical="center"/>
    </xf>
    <xf numFmtId="0" fontId="8" fillId="0" borderId="23" xfId="6" applyNumberFormat="1" applyFont="1" applyFill="1" applyBorder="1" applyAlignment="1">
      <alignment vertical="center"/>
    </xf>
    <xf numFmtId="178" fontId="14" fillId="0" borderId="28" xfId="6" applyNumberFormat="1" applyFont="1" applyFill="1" applyBorder="1" applyAlignment="1">
      <alignment vertical="center"/>
    </xf>
    <xf numFmtId="178" fontId="14" fillId="0" borderId="36" xfId="6" applyNumberFormat="1" applyFont="1" applyFill="1" applyBorder="1" applyAlignment="1">
      <alignment horizontal="right" vertical="center"/>
    </xf>
    <xf numFmtId="0" fontId="8" fillId="0" borderId="39" xfId="6" applyNumberFormat="1" applyFont="1" applyFill="1" applyBorder="1" applyAlignment="1">
      <alignment horizontal="center" vertical="center" wrapText="1"/>
    </xf>
    <xf numFmtId="0" fontId="16" fillId="0" borderId="0" xfId="6" applyNumberFormat="1" applyFont="1" applyFill="1" applyAlignment="1">
      <alignment vertical="center"/>
    </xf>
    <xf numFmtId="41" fontId="16" fillId="0" borderId="0" xfId="2" applyNumberFormat="1" applyFont="1" applyFill="1" applyAlignment="1">
      <alignment vertical="center"/>
    </xf>
    <xf numFmtId="0" fontId="8" fillId="0" borderId="34" xfId="6" applyNumberFormat="1" applyFont="1" applyFill="1" applyBorder="1" applyAlignment="1">
      <alignment vertical="center"/>
    </xf>
    <xf numFmtId="180" fontId="1" fillId="0" borderId="36" xfId="0" applyNumberFormat="1" applyFont="1" applyBorder="1">
      <alignment vertical="center"/>
    </xf>
    <xf numFmtId="181" fontId="8" fillId="0" borderId="36" xfId="2" applyNumberFormat="1" applyFont="1" applyFill="1" applyBorder="1" applyAlignment="1">
      <alignment horizontal="center" vertical="center"/>
    </xf>
    <xf numFmtId="42" fontId="8" fillId="0" borderId="36" xfId="6" applyNumberFormat="1" applyFont="1" applyFill="1" applyBorder="1" applyAlignment="1">
      <alignment horizontal="center" vertical="center"/>
    </xf>
    <xf numFmtId="180" fontId="8" fillId="0" borderId="36" xfId="6" applyNumberFormat="1" applyFont="1" applyFill="1" applyBorder="1" applyAlignment="1">
      <alignment horizontal="center" vertical="center"/>
    </xf>
    <xf numFmtId="178" fontId="8" fillId="0" borderId="32" xfId="6" applyNumberFormat="1" applyFont="1" applyFill="1" applyBorder="1" applyAlignment="1">
      <alignment vertical="center"/>
    </xf>
    <xf numFmtId="180" fontId="8" fillId="0" borderId="0" xfId="6" applyNumberFormat="1" applyFont="1" applyFill="1" applyBorder="1" applyAlignment="1">
      <alignment horizontal="center" vertical="center"/>
    </xf>
    <xf numFmtId="182" fontId="8" fillId="0" borderId="0" xfId="7" applyNumberFormat="1" applyFont="1" applyFill="1" applyBorder="1" applyAlignment="1">
      <alignment horizontal="center" vertical="center"/>
    </xf>
    <xf numFmtId="180" fontId="8" fillId="0" borderId="0" xfId="6" applyNumberFormat="1" applyFont="1" applyFill="1" applyBorder="1" applyAlignment="1">
      <alignment vertical="center"/>
    </xf>
    <xf numFmtId="9" fontId="8" fillId="0" borderId="7" xfId="7" applyNumberFormat="1" applyFont="1" applyFill="1" applyBorder="1" applyAlignment="1">
      <alignment horizontal="center" vertical="center"/>
    </xf>
    <xf numFmtId="179" fontId="8" fillId="0" borderId="7" xfId="6" applyNumberFormat="1" applyFont="1" applyFill="1" applyBorder="1" applyAlignment="1">
      <alignment vertical="center"/>
    </xf>
    <xf numFmtId="9" fontId="8" fillId="0" borderId="22" xfId="7" applyNumberFormat="1" applyFont="1" applyFill="1" applyBorder="1" applyAlignment="1">
      <alignment horizontal="center" vertical="center"/>
    </xf>
    <xf numFmtId="179" fontId="8" fillId="0" borderId="22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right" vertical="center"/>
    </xf>
    <xf numFmtId="0" fontId="8" fillId="0" borderId="36" xfId="6" applyNumberFormat="1" applyFont="1" applyFill="1" applyBorder="1" applyAlignment="1">
      <alignment horizontal="center" vertical="center"/>
    </xf>
    <xf numFmtId="0" fontId="8" fillId="0" borderId="36" xfId="0" applyNumberFormat="1" applyFont="1" applyFill="1" applyBorder="1" applyAlignment="1">
      <alignment vertical="center"/>
    </xf>
    <xf numFmtId="0" fontId="8" fillId="0" borderId="8" xfId="6" applyNumberFormat="1" applyFont="1" applyFill="1" applyBorder="1" applyAlignment="1">
      <alignment vertical="center" wrapText="1"/>
    </xf>
    <xf numFmtId="0" fontId="8" fillId="0" borderId="38" xfId="6" applyNumberFormat="1" applyFont="1" applyFill="1" applyBorder="1" applyAlignment="1">
      <alignment vertical="center" wrapText="1"/>
    </xf>
    <xf numFmtId="9" fontId="8" fillId="0" borderId="0" xfId="7" applyNumberFormat="1" applyFont="1" applyFill="1" applyBorder="1" applyAlignment="1">
      <alignment horizontal="center" vertical="center"/>
    </xf>
    <xf numFmtId="10" fontId="8" fillId="0" borderId="0" xfId="7" applyNumberFormat="1" applyFont="1" applyFill="1" applyBorder="1" applyAlignment="1">
      <alignment horizontal="center" vertical="center"/>
    </xf>
    <xf numFmtId="41" fontId="7" fillId="0" borderId="0" xfId="2" applyNumberFormat="1" applyFont="1" applyFill="1" applyAlignment="1">
      <alignment vertical="center"/>
    </xf>
    <xf numFmtId="183" fontId="8" fillId="0" borderId="0" xfId="6" applyNumberFormat="1" applyFont="1" applyFill="1" applyBorder="1" applyAlignment="1">
      <alignment vertical="center"/>
    </xf>
    <xf numFmtId="184" fontId="8" fillId="0" borderId="0" xfId="6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vertical="center"/>
    </xf>
    <xf numFmtId="0" fontId="8" fillId="0" borderId="33" xfId="6" applyNumberFormat="1" applyFont="1" applyFill="1" applyBorder="1" applyAlignment="1">
      <alignment vertical="center"/>
    </xf>
    <xf numFmtId="9" fontId="8" fillId="0" borderId="22" xfId="7" applyNumberFormat="1" applyFont="1" applyFill="1" applyBorder="1" applyAlignment="1">
      <alignment horizontal="center" vertical="center"/>
    </xf>
    <xf numFmtId="0" fontId="8" fillId="0" borderId="7" xfId="6" applyNumberFormat="1" applyFont="1" applyFill="1" applyBorder="1" applyAlignment="1">
      <alignment vertical="center" wrapText="1"/>
    </xf>
    <xf numFmtId="178" fontId="8" fillId="0" borderId="0" xfId="6" applyNumberFormat="1" applyFont="1" applyFill="1" applyBorder="1" applyAlignment="1">
      <alignment horizontal="center" vertical="center"/>
    </xf>
    <xf numFmtId="180" fontId="1" fillId="0" borderId="0" xfId="0" applyNumberFormat="1" applyFont="1" applyBorder="1">
      <alignment vertical="center"/>
    </xf>
    <xf numFmtId="185" fontId="8" fillId="0" borderId="0" xfId="7" applyNumberFormat="1" applyFont="1" applyFill="1" applyBorder="1" applyAlignment="1">
      <alignment horizontal="center" vertical="center"/>
    </xf>
    <xf numFmtId="42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left" vertical="center"/>
    </xf>
    <xf numFmtId="186" fontId="8" fillId="0" borderId="0" xfId="7" applyNumberFormat="1" applyFont="1" applyFill="1" applyBorder="1" applyAlignment="1">
      <alignment horizontal="right" vertical="center"/>
    </xf>
    <xf numFmtId="42" fontId="8" fillId="0" borderId="0" xfId="6" applyNumberFormat="1" applyFont="1" applyFill="1" applyBorder="1" applyAlignment="1">
      <alignment horizontal="left" vertical="center"/>
    </xf>
    <xf numFmtId="179" fontId="8" fillId="0" borderId="0" xfId="6" applyNumberFormat="1" applyFont="1" applyFill="1" applyBorder="1" applyAlignment="1">
      <alignment vertical="center"/>
    </xf>
    <xf numFmtId="9" fontId="8" fillId="0" borderId="0" xfId="7" applyNumberFormat="1" applyFont="1" applyFill="1" applyBorder="1" applyAlignment="1">
      <alignment horizontal="left" vertical="center"/>
    </xf>
    <xf numFmtId="41" fontId="16" fillId="0" borderId="0" xfId="2" applyNumberFormat="1" applyFont="1" applyFill="1" applyAlignment="1">
      <alignment vertical="center"/>
    </xf>
    <xf numFmtId="178" fontId="8" fillId="0" borderId="32" xfId="6" applyNumberFormat="1" applyFont="1" applyFill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85" fontId="8" fillId="0" borderId="0" xfId="7" applyNumberFormat="1" applyFont="1" applyFill="1" applyBorder="1" applyAlignment="1">
      <alignment horizontal="center" vertical="center"/>
    </xf>
    <xf numFmtId="42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left" vertical="center"/>
    </xf>
    <xf numFmtId="186" fontId="8" fillId="0" borderId="0" xfId="7" applyNumberFormat="1" applyFont="1" applyFill="1" applyBorder="1" applyAlignment="1">
      <alignment horizontal="right" vertical="center"/>
    </xf>
    <xf numFmtId="42" fontId="8" fillId="0" borderId="0" xfId="6" applyNumberFormat="1" applyFont="1" applyFill="1" applyBorder="1" applyAlignment="1">
      <alignment horizontal="left" vertical="center"/>
    </xf>
    <xf numFmtId="178" fontId="8" fillId="0" borderId="0" xfId="6" applyNumberFormat="1" applyFont="1" applyFill="1" applyBorder="1" applyAlignment="1">
      <alignment vertical="center"/>
    </xf>
    <xf numFmtId="179" fontId="8" fillId="0" borderId="0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vertical="center"/>
    </xf>
    <xf numFmtId="178" fontId="8" fillId="0" borderId="29" xfId="6" applyNumberFormat="1" applyFont="1" applyFill="1" applyBorder="1" applyAlignment="1">
      <alignment vertical="center"/>
    </xf>
    <xf numFmtId="178" fontId="8" fillId="0" borderId="40" xfId="6" applyNumberFormat="1" applyFont="1" applyFill="1" applyBorder="1" applyAlignment="1">
      <alignment horizontal="right" vertical="center"/>
    </xf>
    <xf numFmtId="9" fontId="8" fillId="0" borderId="40" xfId="7" applyNumberFormat="1" applyFont="1" applyFill="1" applyBorder="1" applyAlignment="1">
      <alignment vertical="center"/>
    </xf>
    <xf numFmtId="178" fontId="8" fillId="0" borderId="24" xfId="6" applyNumberFormat="1" applyFont="1" applyFill="1" applyBorder="1" applyAlignment="1">
      <alignment horizontal="center" vertical="center"/>
    </xf>
    <xf numFmtId="41" fontId="8" fillId="0" borderId="24" xfId="2" applyNumberFormat="1" applyFont="1" applyFill="1" applyBorder="1" applyAlignment="1">
      <alignment vertical="center"/>
    </xf>
    <xf numFmtId="181" fontId="8" fillId="0" borderId="24" xfId="2" applyNumberFormat="1" applyFont="1" applyFill="1" applyBorder="1" applyAlignment="1">
      <alignment vertical="center"/>
    </xf>
    <xf numFmtId="178" fontId="8" fillId="0" borderId="24" xfId="6" applyNumberFormat="1" applyFont="1" applyFill="1" applyBorder="1" applyAlignment="1">
      <alignment horizontal="left" vertical="center"/>
    </xf>
    <xf numFmtId="42" fontId="8" fillId="0" borderId="24" xfId="6" applyNumberFormat="1" applyFont="1" applyFill="1" applyBorder="1" applyAlignment="1">
      <alignment horizontal="left" vertical="center"/>
    </xf>
    <xf numFmtId="179" fontId="8" fillId="0" borderId="24" xfId="6" applyNumberFormat="1" applyFont="1" applyFill="1" applyBorder="1" applyAlignment="1">
      <alignment vertical="center"/>
    </xf>
    <xf numFmtId="178" fontId="8" fillId="0" borderId="24" xfId="6" applyNumberFormat="1" applyFont="1" applyFill="1" applyBorder="1" applyAlignment="1">
      <alignment horizontal="right" vertical="center"/>
    </xf>
    <xf numFmtId="0" fontId="8" fillId="0" borderId="41" xfId="6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right" vertical="center"/>
    </xf>
    <xf numFmtId="0" fontId="8" fillId="0" borderId="36" xfId="6" applyNumberFormat="1" applyFont="1" applyFill="1" applyBorder="1" applyAlignment="1">
      <alignment vertical="center"/>
    </xf>
    <xf numFmtId="9" fontId="8" fillId="0" borderId="36" xfId="7" applyNumberFormat="1" applyFont="1" applyFill="1" applyBorder="1" applyAlignment="1">
      <alignment horizontal="left" vertical="center"/>
    </xf>
    <xf numFmtId="178" fontId="8" fillId="0" borderId="36" xfId="6" applyNumberFormat="1" applyFont="1" applyFill="1" applyBorder="1" applyAlignment="1">
      <alignment horizontal="center" vertical="center"/>
    </xf>
    <xf numFmtId="41" fontId="8" fillId="0" borderId="36" xfId="2" applyNumberFormat="1" applyFont="1" applyFill="1" applyBorder="1" applyAlignment="1">
      <alignment vertical="center"/>
    </xf>
    <xf numFmtId="181" fontId="8" fillId="0" borderId="36" xfId="2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left" vertical="center"/>
    </xf>
    <xf numFmtId="178" fontId="8" fillId="0" borderId="36" xfId="6" applyNumberFormat="1" applyFont="1" applyFill="1" applyBorder="1" applyAlignment="1">
      <alignment vertical="center"/>
    </xf>
    <xf numFmtId="42" fontId="8" fillId="0" borderId="36" xfId="6" applyNumberFormat="1" applyFont="1" applyFill="1" applyBorder="1" applyAlignment="1">
      <alignment horizontal="left" vertical="center"/>
    </xf>
    <xf numFmtId="179" fontId="8" fillId="0" borderId="36" xfId="6" applyNumberFormat="1" applyFont="1" applyFill="1" applyBorder="1" applyAlignment="1">
      <alignment vertical="center"/>
    </xf>
    <xf numFmtId="0" fontId="8" fillId="0" borderId="23" xfId="6" applyNumberFormat="1" applyFont="1" applyFill="1" applyBorder="1" applyAlignment="1">
      <alignment vertical="center"/>
    </xf>
    <xf numFmtId="178" fontId="10" fillId="0" borderId="42" xfId="6" applyNumberFormat="1" applyFont="1" applyFill="1" applyBorder="1" applyAlignment="1">
      <alignment vertical="center"/>
    </xf>
    <xf numFmtId="178" fontId="10" fillId="0" borderId="24" xfId="6" applyNumberFormat="1" applyFont="1" applyFill="1" applyBorder="1" applyAlignment="1">
      <alignment horizontal="right" vertical="center"/>
    </xf>
    <xf numFmtId="178" fontId="10" fillId="0" borderId="24" xfId="6" applyNumberFormat="1" applyFont="1" applyFill="1" applyBorder="1" applyAlignment="1">
      <alignment vertical="center"/>
    </xf>
    <xf numFmtId="178" fontId="11" fillId="0" borderId="24" xfId="6" applyNumberFormat="1" applyFont="1" applyFill="1" applyBorder="1" applyAlignment="1">
      <alignment vertical="center"/>
    </xf>
    <xf numFmtId="178" fontId="12" fillId="0" borderId="24" xfId="6" applyNumberFormat="1" applyFont="1" applyFill="1" applyBorder="1" applyAlignment="1">
      <alignment vertical="center"/>
    </xf>
    <xf numFmtId="0" fontId="12" fillId="0" borderId="24" xfId="6" applyNumberFormat="1" applyFont="1" applyFill="1" applyBorder="1" applyAlignment="1">
      <alignment vertical="center"/>
    </xf>
    <xf numFmtId="0" fontId="11" fillId="0" borderId="35" xfId="6" applyNumberFormat="1" applyFont="1" applyFill="1" applyBorder="1" applyAlignment="1">
      <alignment vertical="center"/>
    </xf>
    <xf numFmtId="9" fontId="13" fillId="0" borderId="22" xfId="7" applyNumberFormat="1" applyFont="1" applyFill="1" applyBorder="1" applyAlignment="1">
      <alignment horizontal="center" vertical="center"/>
    </xf>
    <xf numFmtId="179" fontId="13" fillId="0" borderId="22" xfId="6" applyNumberFormat="1" applyFont="1" applyFill="1" applyBorder="1" applyAlignment="1">
      <alignment vertical="center"/>
    </xf>
    <xf numFmtId="180" fontId="13" fillId="0" borderId="22" xfId="6" applyNumberFormat="1" applyFont="1" applyFill="1" applyBorder="1" applyAlignment="1">
      <alignment vertical="center"/>
    </xf>
    <xf numFmtId="178" fontId="17" fillId="0" borderId="37" xfId="6" applyNumberFormat="1" applyFont="1" applyFill="1" applyBorder="1" applyAlignment="1">
      <alignment vertical="center"/>
    </xf>
    <xf numFmtId="178" fontId="17" fillId="0" borderId="36" xfId="6" applyNumberFormat="1" applyFont="1" applyFill="1" applyBorder="1" applyAlignment="1">
      <alignment horizontal="right" vertical="center"/>
    </xf>
    <xf numFmtId="178" fontId="17" fillId="0" borderId="36" xfId="6" applyNumberFormat="1" applyFont="1" applyFill="1" applyBorder="1" applyAlignment="1">
      <alignment vertical="center"/>
    </xf>
    <xf numFmtId="178" fontId="18" fillId="0" borderId="36" xfId="6" applyNumberFormat="1" applyFont="1" applyFill="1" applyBorder="1" applyAlignment="1">
      <alignment vertical="center"/>
    </xf>
    <xf numFmtId="0" fontId="18" fillId="0" borderId="36" xfId="6" applyNumberFormat="1" applyFont="1" applyFill="1" applyBorder="1" applyAlignment="1">
      <alignment vertical="center"/>
    </xf>
    <xf numFmtId="0" fontId="17" fillId="0" borderId="23" xfId="6" applyNumberFormat="1" applyFont="1" applyFill="1" applyBorder="1" applyAlignment="1">
      <alignment vertical="center"/>
    </xf>
    <xf numFmtId="9" fontId="18" fillId="0" borderId="8" xfId="6" applyNumberFormat="1" applyFont="1" applyFill="1" applyBorder="1" applyAlignment="1">
      <alignment horizontal="center" vertical="center"/>
    </xf>
    <xf numFmtId="179" fontId="18" fillId="0" borderId="8" xfId="6" applyNumberFormat="1" applyFont="1" applyFill="1" applyBorder="1" applyAlignment="1">
      <alignment vertical="center"/>
    </xf>
    <xf numFmtId="178" fontId="17" fillId="0" borderId="42" xfId="6" applyNumberFormat="1" applyFont="1" applyFill="1" applyBorder="1" applyAlignment="1">
      <alignment vertical="center"/>
    </xf>
    <xf numFmtId="178" fontId="17" fillId="0" borderId="24" xfId="6" applyNumberFormat="1" applyFont="1" applyFill="1" applyBorder="1" applyAlignment="1">
      <alignment horizontal="right" vertical="center"/>
    </xf>
    <xf numFmtId="178" fontId="17" fillId="0" borderId="24" xfId="6" applyNumberFormat="1" applyFont="1" applyFill="1" applyBorder="1" applyAlignment="1">
      <alignment vertical="center"/>
    </xf>
    <xf numFmtId="178" fontId="18" fillId="0" borderId="24" xfId="6" applyNumberFormat="1" applyFont="1" applyFill="1" applyBorder="1" applyAlignment="1">
      <alignment vertical="center"/>
    </xf>
    <xf numFmtId="0" fontId="18" fillId="0" borderId="24" xfId="6" applyNumberFormat="1" applyFont="1" applyFill="1" applyBorder="1" applyAlignment="1">
      <alignment vertical="center"/>
    </xf>
    <xf numFmtId="0" fontId="17" fillId="0" borderId="41" xfId="6" applyNumberFormat="1" applyFont="1" applyFill="1" applyBorder="1" applyAlignment="1">
      <alignment vertical="center"/>
    </xf>
    <xf numFmtId="9" fontId="18" fillId="0" borderId="22" xfId="6" applyNumberFormat="1" applyFont="1" applyFill="1" applyBorder="1" applyAlignment="1">
      <alignment horizontal="center" vertical="center"/>
    </xf>
    <xf numFmtId="179" fontId="18" fillId="0" borderId="22" xfId="6" applyNumberFormat="1" applyFont="1" applyFill="1" applyBorder="1" applyAlignment="1">
      <alignment vertical="center"/>
    </xf>
    <xf numFmtId="180" fontId="18" fillId="0" borderId="22" xfId="6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center" vertical="center"/>
    </xf>
    <xf numFmtId="0" fontId="8" fillId="0" borderId="33" xfId="6" applyNumberFormat="1" applyFont="1" applyFill="1" applyBorder="1" applyAlignment="1">
      <alignment horizontal="left" vertical="center"/>
    </xf>
    <xf numFmtId="0" fontId="8" fillId="0" borderId="33" xfId="6" applyNumberFormat="1" applyFont="1" applyFill="1" applyBorder="1" applyAlignment="1">
      <alignment horizontal="left" vertical="center"/>
    </xf>
    <xf numFmtId="0" fontId="8" fillId="0" borderId="16" xfId="6" applyNumberFormat="1" applyFont="1" applyFill="1" applyBorder="1" applyAlignment="1">
      <alignment horizontal="center" vertical="center" wrapText="1"/>
    </xf>
    <xf numFmtId="0" fontId="8" fillId="0" borderId="9" xfId="6" applyNumberFormat="1" applyFont="1" applyFill="1" applyBorder="1" applyAlignment="1">
      <alignment horizontal="center" vertical="center" wrapText="1"/>
    </xf>
    <xf numFmtId="0" fontId="7" fillId="0" borderId="0" xfId="6" applyNumberFormat="1" applyFont="1" applyFill="1" applyAlignment="1">
      <alignment horizontal="center" vertical="center"/>
    </xf>
    <xf numFmtId="41" fontId="7" fillId="0" borderId="0" xfId="2" applyNumberFormat="1" applyFont="1" applyFill="1" applyAlignment="1">
      <alignment horizontal="center" vertical="center"/>
    </xf>
    <xf numFmtId="178" fontId="17" fillId="0" borderId="27" xfId="6" applyNumberFormat="1" applyFont="1" applyFill="1" applyBorder="1" applyAlignment="1">
      <alignment vertical="center"/>
    </xf>
    <xf numFmtId="180" fontId="17" fillId="0" borderId="43" xfId="6" applyNumberFormat="1" applyFont="1" applyFill="1" applyBorder="1" applyAlignment="1">
      <alignment vertical="center"/>
    </xf>
    <xf numFmtId="178" fontId="17" fillId="0" borderId="44" xfId="6" applyNumberFormat="1" applyFont="1" applyFill="1" applyBorder="1" applyAlignment="1">
      <alignment horizontal="center" vertical="center"/>
    </xf>
    <xf numFmtId="0" fontId="17" fillId="0" borderId="44" xfId="6" applyNumberFormat="1" applyFont="1" applyFill="1" applyBorder="1" applyAlignment="1">
      <alignment vertical="center"/>
    </xf>
    <xf numFmtId="9" fontId="17" fillId="0" borderId="18" xfId="6" applyNumberFormat="1" applyFont="1" applyFill="1" applyBorder="1" applyAlignment="1">
      <alignment horizontal="center" vertical="center"/>
    </xf>
    <xf numFmtId="187" fontId="17" fillId="0" borderId="18" xfId="6" applyNumberFormat="1" applyFont="1" applyFill="1" applyBorder="1" applyAlignment="1">
      <alignment vertical="center"/>
    </xf>
    <xf numFmtId="180" fontId="17" fillId="0" borderId="18" xfId="6" applyNumberFormat="1" applyFont="1" applyFill="1" applyBorder="1" applyAlignment="1">
      <alignment vertical="center"/>
    </xf>
    <xf numFmtId="9" fontId="3" fillId="0" borderId="4" xfId="6" applyNumberFormat="1" applyFont="1" applyFill="1" applyBorder="1" applyAlignment="1">
      <alignment horizontal="center" vertical="center"/>
    </xf>
    <xf numFmtId="179" fontId="8" fillId="0" borderId="4" xfId="6" applyNumberFormat="1" applyFont="1" applyFill="1" applyBorder="1" applyAlignment="1">
      <alignment horizontal="center" vertical="center" wrapText="1"/>
    </xf>
    <xf numFmtId="0" fontId="8" fillId="0" borderId="4" xfId="6" applyNumberFormat="1" applyFont="1" applyFill="1" applyBorder="1" applyAlignment="1">
      <alignment horizontal="center" vertical="center" wrapText="1"/>
    </xf>
    <xf numFmtId="0" fontId="8" fillId="0" borderId="10" xfId="6" applyNumberFormat="1" applyFont="1" applyFill="1" applyBorder="1" applyAlignment="1">
      <alignment horizontal="center" vertical="center" wrapText="1"/>
    </xf>
    <xf numFmtId="178" fontId="7" fillId="0" borderId="0" xfId="6" applyNumberFormat="1" applyFont="1" applyFill="1" applyBorder="1" applyAlignment="1">
      <alignment vertical="center"/>
    </xf>
    <xf numFmtId="9" fontId="7" fillId="0" borderId="0" xfId="7" applyNumberFormat="1" applyFont="1" applyFill="1" applyBorder="1" applyAlignment="1">
      <alignment horizontal="center" vertical="center"/>
    </xf>
    <xf numFmtId="38" fontId="7" fillId="0" borderId="0" xfId="6" applyNumberFormat="1" applyFont="1" applyFill="1" applyBorder="1" applyAlignment="1">
      <alignment vertical="center"/>
    </xf>
    <xf numFmtId="0" fontId="7" fillId="0" borderId="0" xfId="6" applyNumberFormat="1" applyFont="1" applyFill="1" applyBorder="1" applyAlignment="1">
      <alignment horizontal="center" vertical="center" wrapText="1"/>
    </xf>
    <xf numFmtId="38" fontId="16" fillId="0" borderId="0" xfId="6" applyNumberFormat="1" applyFont="1" applyFill="1" applyBorder="1" applyAlignment="1">
      <alignment vertical="center"/>
    </xf>
    <xf numFmtId="178" fontId="8" fillId="0" borderId="30" xfId="6" applyNumberFormat="1" applyFont="1" applyFill="1" applyBorder="1" applyAlignment="1">
      <alignment vertical="center"/>
    </xf>
    <xf numFmtId="178" fontId="8" fillId="0" borderId="13" xfId="6" applyNumberFormat="1" applyFont="1" applyFill="1" applyBorder="1" applyAlignment="1">
      <alignment vertical="center"/>
    </xf>
    <xf numFmtId="0" fontId="8" fillId="0" borderId="13" xfId="6" applyNumberFormat="1" applyFont="1" applyFill="1" applyBorder="1" applyAlignment="1">
      <alignment vertical="center"/>
    </xf>
    <xf numFmtId="9" fontId="8" fillId="0" borderId="19" xfId="7" applyNumberFormat="1" applyFont="1" applyFill="1" applyBorder="1" applyAlignment="1">
      <alignment horizontal="center" vertical="center"/>
    </xf>
    <xf numFmtId="38" fontId="8" fillId="0" borderId="19" xfId="6" applyNumberFormat="1" applyFont="1" applyFill="1" applyBorder="1" applyAlignment="1">
      <alignment vertical="center"/>
    </xf>
    <xf numFmtId="0" fontId="8" fillId="0" borderId="19" xfId="6" applyNumberFormat="1" applyFont="1" applyFill="1" applyBorder="1" applyAlignment="1">
      <alignment horizontal="center" vertical="center" wrapText="1"/>
    </xf>
    <xf numFmtId="0" fontId="8" fillId="0" borderId="12" xfId="6" applyNumberFormat="1" applyFont="1" applyFill="1" applyBorder="1" applyAlignment="1">
      <alignment horizontal="center" vertical="center" wrapText="1"/>
    </xf>
    <xf numFmtId="38" fontId="8" fillId="0" borderId="7" xfId="6" applyNumberFormat="1" applyFont="1" applyFill="1" applyBorder="1" applyAlignment="1">
      <alignment vertical="center"/>
    </xf>
    <xf numFmtId="178" fontId="9" fillId="0" borderId="37" xfId="6" applyNumberFormat="1" applyFont="1" applyFill="1" applyBorder="1" applyAlignment="1">
      <alignment vertical="center"/>
    </xf>
    <xf numFmtId="178" fontId="9" fillId="0" borderId="36" xfId="6" applyNumberFormat="1" applyFont="1" applyFill="1" applyBorder="1" applyAlignment="1">
      <alignment horizontal="right" vertical="center"/>
    </xf>
    <xf numFmtId="178" fontId="9" fillId="0" borderId="36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vertical="center"/>
    </xf>
    <xf numFmtId="0" fontId="9" fillId="0" borderId="36" xfId="6" applyNumberFormat="1" applyFont="1" applyFill="1" applyBorder="1" applyAlignment="1">
      <alignment vertical="center"/>
    </xf>
    <xf numFmtId="178" fontId="8" fillId="0" borderId="22" xfId="0" applyNumberFormat="1" applyFont="1" applyFill="1" applyBorder="1" applyAlignment="1">
      <alignment vertical="center"/>
    </xf>
    <xf numFmtId="178" fontId="9" fillId="0" borderId="45" xfId="6" applyNumberFormat="1" applyFont="1" applyFill="1" applyBorder="1" applyAlignment="1">
      <alignment vertical="center"/>
    </xf>
    <xf numFmtId="178" fontId="9" fillId="0" borderId="43" xfId="6" applyNumberFormat="1" applyFont="1" applyFill="1" applyBorder="1" applyAlignment="1">
      <alignment vertical="center"/>
    </xf>
    <xf numFmtId="0" fontId="9" fillId="0" borderId="43" xfId="6" applyNumberFormat="1" applyFont="1" applyFill="1" applyBorder="1" applyAlignment="1">
      <alignment vertical="center"/>
    </xf>
    <xf numFmtId="0" fontId="9" fillId="0" borderId="46" xfId="6" applyNumberFormat="1" applyFont="1" applyFill="1" applyBorder="1" applyAlignment="1">
      <alignment vertical="center"/>
    </xf>
    <xf numFmtId="9" fontId="8" fillId="0" borderId="47" xfId="7" applyNumberFormat="1" applyFont="1" applyFill="1" applyBorder="1" applyAlignment="1">
      <alignment horizontal="center" vertical="center"/>
    </xf>
    <xf numFmtId="38" fontId="8" fillId="0" borderId="47" xfId="6" applyNumberFormat="1" applyFont="1" applyFill="1" applyBorder="1" applyAlignment="1">
      <alignment vertical="center"/>
    </xf>
    <xf numFmtId="0" fontId="8" fillId="0" borderId="30" xfId="6" applyNumberFormat="1" applyFont="1" applyFill="1" applyBorder="1" applyAlignment="1">
      <alignment vertical="center"/>
    </xf>
    <xf numFmtId="178" fontId="9" fillId="0" borderId="28" xfId="6" applyNumberFormat="1" applyFont="1" applyFill="1" applyBorder="1" applyAlignment="1">
      <alignment vertical="center"/>
    </xf>
    <xf numFmtId="9" fontId="8" fillId="0" borderId="1" xfId="7" applyNumberFormat="1" applyFont="1" applyFill="1" applyBorder="1" applyAlignment="1">
      <alignment horizontal="center" vertical="center"/>
    </xf>
    <xf numFmtId="38" fontId="8" fillId="0" borderId="1" xfId="6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9" fillId="0" borderId="36" xfId="6" applyNumberFormat="1" applyFont="1" applyFill="1" applyBorder="1" applyAlignment="1">
      <alignment vertical="center"/>
    </xf>
    <xf numFmtId="0" fontId="9" fillId="0" borderId="11" xfId="6" applyNumberFormat="1" applyFont="1" applyFill="1" applyBorder="1" applyAlignment="1">
      <alignment horizontal="center" vertical="center" wrapText="1"/>
    </xf>
    <xf numFmtId="178" fontId="9" fillId="0" borderId="34" xfId="6" applyNumberFormat="1" applyFont="1" applyFill="1" applyBorder="1" applyAlignment="1">
      <alignment vertical="center"/>
    </xf>
    <xf numFmtId="0" fontId="9" fillId="0" borderId="39" xfId="6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>
      <alignment vertical="center"/>
    </xf>
    <xf numFmtId="178" fontId="7" fillId="0" borderId="0" xfId="0" applyNumberFormat="1" applyFont="1" applyFill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36" xfId="6" applyNumberFormat="1" applyFont="1" applyFill="1" applyBorder="1" applyAlignment="1">
      <alignment vertical="center" wrapText="1"/>
    </xf>
    <xf numFmtId="38" fontId="8" fillId="0" borderId="8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vertical="center" wrapText="1"/>
    </xf>
    <xf numFmtId="0" fontId="9" fillId="0" borderId="0" xfId="6" applyNumberFormat="1" applyFont="1" applyFill="1" applyBorder="1" applyAlignment="1">
      <alignment vertical="center"/>
    </xf>
    <xf numFmtId="178" fontId="8" fillId="0" borderId="28" xfId="6" applyNumberFormat="1" applyFont="1" applyFill="1" applyBorder="1" applyAlignment="1">
      <alignment vertical="center"/>
    </xf>
    <xf numFmtId="178" fontId="8" fillId="0" borderId="34" xfId="6" applyNumberFormat="1" applyFont="1" applyFill="1" applyBorder="1" applyAlignment="1">
      <alignment horizontal="right" vertical="center"/>
    </xf>
    <xf numFmtId="178" fontId="8" fillId="0" borderId="34" xfId="6" applyNumberFormat="1" applyFont="1" applyFill="1" applyBorder="1" applyAlignment="1">
      <alignment vertical="center"/>
    </xf>
    <xf numFmtId="0" fontId="8" fillId="0" borderId="24" xfId="6" applyNumberFormat="1" applyFont="1" applyFill="1" applyBorder="1" applyAlignment="1">
      <alignment vertical="center" wrapText="1"/>
    </xf>
    <xf numFmtId="0" fontId="8" fillId="0" borderId="24" xfId="6" applyNumberFormat="1" applyFont="1" applyFill="1" applyBorder="1" applyAlignment="1">
      <alignment vertical="center" wrapText="1"/>
    </xf>
    <xf numFmtId="0" fontId="9" fillId="0" borderId="24" xfId="6" applyNumberFormat="1" applyFont="1" applyFill="1" applyBorder="1" applyAlignment="1">
      <alignment vertical="center"/>
    </xf>
    <xf numFmtId="0" fontId="8" fillId="0" borderId="35" xfId="6" applyNumberFormat="1" applyFont="1" applyFill="1" applyBorder="1" applyAlignment="1">
      <alignment vertical="center"/>
    </xf>
    <xf numFmtId="38" fontId="8" fillId="0" borderId="22" xfId="6" applyNumberFormat="1" applyFont="1" applyFill="1" applyBorder="1" applyAlignment="1">
      <alignment vertical="center"/>
    </xf>
    <xf numFmtId="0" fontId="8" fillId="0" borderId="37" xfId="0" applyNumberFormat="1" applyFont="1" applyFill="1" applyBorder="1">
      <alignment vertical="center"/>
    </xf>
    <xf numFmtId="180" fontId="8" fillId="0" borderId="36" xfId="0" applyNumberFormat="1" applyFont="1" applyFill="1" applyBorder="1" applyAlignment="1">
      <alignment horizontal="right" vertical="center"/>
    </xf>
    <xf numFmtId="0" fontId="8" fillId="0" borderId="36" xfId="0" applyNumberFormat="1" applyFont="1" applyFill="1" applyBorder="1">
      <alignment vertical="center"/>
    </xf>
    <xf numFmtId="0" fontId="8" fillId="0" borderId="36" xfId="0" applyNumberFormat="1" applyFont="1" applyFill="1" applyBorder="1">
      <alignment vertical="center"/>
    </xf>
    <xf numFmtId="0" fontId="8" fillId="0" borderId="0" xfId="0" applyNumberFormat="1" applyFont="1" applyFill="1" applyBorder="1">
      <alignment vertical="center"/>
    </xf>
    <xf numFmtId="178" fontId="8" fillId="0" borderId="24" xfId="6" applyNumberFormat="1" applyFont="1" applyFill="1" applyBorder="1" applyAlignment="1">
      <alignment vertical="center"/>
    </xf>
    <xf numFmtId="0" fontId="8" fillId="0" borderId="24" xfId="6" applyNumberFormat="1" applyFont="1" applyFill="1" applyBorder="1" applyAlignment="1">
      <alignment vertical="center"/>
    </xf>
    <xf numFmtId="0" fontId="8" fillId="0" borderId="24" xfId="6" applyNumberFormat="1" applyFont="1" applyFill="1" applyBorder="1" applyAlignment="1">
      <alignment vertical="center"/>
    </xf>
    <xf numFmtId="178" fontId="8" fillId="0" borderId="37" xfId="6" applyNumberFormat="1" applyFont="1" applyFill="1" applyBorder="1" applyAlignment="1">
      <alignment vertical="center"/>
    </xf>
    <xf numFmtId="180" fontId="8" fillId="0" borderId="36" xfId="6" applyNumberFormat="1" applyFont="1" applyFill="1" applyBorder="1" applyAlignment="1">
      <alignment horizontal="right" vertical="center"/>
    </xf>
    <xf numFmtId="178" fontId="8" fillId="0" borderId="36" xfId="6" applyNumberFormat="1" applyFont="1" applyFill="1" applyBorder="1" applyAlignment="1">
      <alignment horizontal="right" vertical="center"/>
    </xf>
    <xf numFmtId="178" fontId="8" fillId="0" borderId="36" xfId="6" applyNumberFormat="1" applyFont="1" applyFill="1" applyBorder="1" applyAlignment="1">
      <alignment vertical="center"/>
    </xf>
    <xf numFmtId="0" fontId="8" fillId="0" borderId="36" xfId="6" applyNumberFormat="1" applyFont="1" applyFill="1" applyBorder="1" applyAlignment="1">
      <alignment vertical="center"/>
    </xf>
    <xf numFmtId="0" fontId="8" fillId="0" borderId="32" xfId="0" applyNumberFormat="1" applyFont="1" applyFill="1" applyBorder="1">
      <alignment vertical="center"/>
    </xf>
    <xf numFmtId="180" fontId="8" fillId="0" borderId="0" xfId="0" applyNumberFormat="1" applyFont="1" applyFill="1" applyAlignment="1">
      <alignment horizontal="right" vertical="center"/>
    </xf>
    <xf numFmtId="0" fontId="8" fillId="0" borderId="0" xfId="0" applyNumberFormat="1" applyFont="1" applyFill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right" vertical="center"/>
    </xf>
    <xf numFmtId="0" fontId="8" fillId="0" borderId="0" xfId="6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>
      <alignment vertical="center"/>
    </xf>
    <xf numFmtId="0" fontId="8" fillId="0" borderId="0" xfId="0" applyNumberFormat="1" applyFont="1" applyFill="1" applyBorder="1">
      <alignment vertical="center"/>
    </xf>
    <xf numFmtId="41" fontId="8" fillId="0" borderId="0" xfId="2" applyNumberFormat="1" applyFont="1" applyFill="1" applyBorder="1" applyAlignment="1">
      <alignment horizontal="center" vertical="center"/>
    </xf>
    <xf numFmtId="0" fontId="8" fillId="0" borderId="36" xfId="6" applyNumberFormat="1" applyFont="1" applyFill="1" applyBorder="1" applyAlignment="1">
      <alignment horizontal="center" vertical="center"/>
    </xf>
    <xf numFmtId="178" fontId="8" fillId="0" borderId="0" xfId="8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178" fontId="8" fillId="0" borderId="0" xfId="8" applyNumberFormat="1" applyFont="1" applyFill="1" applyBorder="1" applyAlignment="1">
      <alignment vertical="center"/>
    </xf>
    <xf numFmtId="178" fontId="8" fillId="0" borderId="34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horizontal="right" vertical="center"/>
    </xf>
    <xf numFmtId="0" fontId="9" fillId="0" borderId="34" xfId="6" applyNumberFormat="1" applyFont="1" applyFill="1" applyBorder="1" applyAlignment="1">
      <alignment vertical="center"/>
    </xf>
    <xf numFmtId="0" fontId="8" fillId="0" borderId="1" xfId="6" applyNumberFormat="1" applyFont="1" applyFill="1" applyBorder="1" applyAlignment="1">
      <alignment horizontal="center" vertical="center" wrapText="1"/>
    </xf>
    <xf numFmtId="178" fontId="9" fillId="0" borderId="28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horizontal="right" vertical="center"/>
    </xf>
    <xf numFmtId="178" fontId="9" fillId="0" borderId="34" xfId="6" applyNumberFormat="1" applyFont="1" applyFill="1" applyBorder="1" applyAlignment="1">
      <alignment vertical="center"/>
    </xf>
    <xf numFmtId="178" fontId="9" fillId="0" borderId="24" xfId="6" applyNumberFormat="1" applyFont="1" applyFill="1" applyBorder="1" applyAlignment="1">
      <alignment vertical="center"/>
    </xf>
    <xf numFmtId="0" fontId="9" fillId="0" borderId="24" xfId="6" applyNumberFormat="1" applyFont="1" applyFill="1" applyBorder="1" applyAlignment="1">
      <alignment vertical="center"/>
    </xf>
    <xf numFmtId="0" fontId="9" fillId="0" borderId="2" xfId="6" applyNumberFormat="1" applyFont="1" applyFill="1" applyBorder="1" applyAlignment="1">
      <alignment vertical="center"/>
    </xf>
    <xf numFmtId="0" fontId="8" fillId="0" borderId="0" xfId="8" applyNumberFormat="1" applyFont="1" applyFill="1" applyBorder="1" applyAlignment="1">
      <alignment horizontal="center" vertical="center"/>
    </xf>
    <xf numFmtId="38" fontId="8" fillId="0" borderId="8" xfId="8" applyNumberFormat="1" applyFont="1" applyFill="1" applyBorder="1" applyAlignment="1">
      <alignment vertical="center"/>
    </xf>
    <xf numFmtId="38" fontId="8" fillId="0" borderId="8" xfId="8" applyNumberFormat="1" applyFont="1" applyFill="1" applyBorder="1" applyAlignment="1">
      <alignment horizontal="center" vertical="center" wrapText="1"/>
    </xf>
    <xf numFmtId="9" fontId="8" fillId="0" borderId="33" xfId="7" applyNumberFormat="1" applyFont="1" applyFill="1" applyBorder="1" applyAlignment="1">
      <alignment horizontal="center" vertical="center"/>
    </xf>
    <xf numFmtId="0" fontId="9" fillId="0" borderId="34" xfId="6" applyNumberFormat="1" applyFont="1" applyFill="1" applyBorder="1" applyAlignment="1">
      <alignment vertical="center"/>
    </xf>
    <xf numFmtId="178" fontId="8" fillId="0" borderId="7" xfId="0" applyNumberFormat="1" applyFont="1" applyFill="1" applyBorder="1" applyAlignment="1">
      <alignment vertical="center"/>
    </xf>
    <xf numFmtId="38" fontId="8" fillId="0" borderId="7" xfId="6" applyNumberFormat="1" applyFont="1" applyFill="1" applyBorder="1" applyAlignment="1">
      <alignment vertical="center"/>
    </xf>
    <xf numFmtId="0" fontId="16" fillId="0" borderId="0" xfId="0" applyNumberFormat="1" applyFont="1" applyFill="1" applyAlignment="1">
      <alignment vertical="center"/>
    </xf>
    <xf numFmtId="178" fontId="3" fillId="0" borderId="0" xfId="6" applyNumberFormat="1" applyFont="1" applyFill="1" applyBorder="1" applyAlignment="1">
      <alignment vertical="center"/>
    </xf>
    <xf numFmtId="0" fontId="3" fillId="0" borderId="0" xfId="6" applyNumberFormat="1" applyFont="1" applyFill="1" applyBorder="1" applyAlignment="1">
      <alignment vertical="center"/>
    </xf>
    <xf numFmtId="178" fontId="8" fillId="0" borderId="22" xfId="0" applyNumberFormat="1" applyFont="1" applyFill="1" applyBorder="1" applyAlignment="1">
      <alignment vertical="center"/>
    </xf>
    <xf numFmtId="0" fontId="8" fillId="0" borderId="37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38" fontId="8" fillId="0" borderId="8" xfId="6" applyNumberFormat="1" applyFont="1" applyFill="1" applyBorder="1" applyAlignment="1">
      <alignment vertical="center"/>
    </xf>
    <xf numFmtId="178" fontId="9" fillId="0" borderId="42" xfId="6" applyNumberFormat="1" applyFont="1" applyFill="1" applyBorder="1" applyAlignment="1">
      <alignment vertical="center"/>
    </xf>
    <xf numFmtId="178" fontId="9" fillId="0" borderId="24" xfId="6" applyNumberFormat="1" applyFont="1" applyFill="1" applyBorder="1" applyAlignment="1">
      <alignment horizontal="right" vertical="center"/>
    </xf>
    <xf numFmtId="0" fontId="9" fillId="0" borderId="24" xfId="6" applyNumberFormat="1" applyFont="1" applyFill="1" applyBorder="1" applyAlignment="1">
      <alignment vertical="center"/>
    </xf>
    <xf numFmtId="178" fontId="7" fillId="0" borderId="0" xfId="0" applyNumberFormat="1" applyFont="1" applyFill="1" applyAlignment="1">
      <alignment vertical="center"/>
    </xf>
    <xf numFmtId="9" fontId="9" fillId="0" borderId="22" xfId="7" applyNumberFormat="1" applyFont="1" applyFill="1" applyBorder="1" applyAlignment="1">
      <alignment horizontal="center" vertical="center"/>
    </xf>
    <xf numFmtId="38" fontId="9" fillId="0" borderId="22" xfId="6" applyNumberFormat="1" applyFont="1" applyFill="1" applyBorder="1" applyAlignment="1">
      <alignment vertical="center"/>
    </xf>
    <xf numFmtId="0" fontId="9" fillId="0" borderId="22" xfId="6" applyNumberFormat="1" applyFont="1" applyFill="1" applyBorder="1" applyAlignment="1">
      <alignment horizontal="center" vertical="center" wrapText="1"/>
    </xf>
    <xf numFmtId="0" fontId="3" fillId="0" borderId="0" xfId="6" applyNumberFormat="1" applyFont="1" applyFill="1" applyBorder="1" applyAlignment="1">
      <alignment horizontal="center" vertical="center"/>
    </xf>
    <xf numFmtId="178" fontId="3" fillId="0" borderId="0" xfId="6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0" borderId="0" xfId="6" applyNumberFormat="1" applyFont="1" applyFill="1" applyBorder="1" applyAlignment="1">
      <alignment vertical="center" wrapText="1"/>
    </xf>
    <xf numFmtId="0" fontId="8" fillId="0" borderId="0" xfId="0" applyNumberFormat="1" applyFont="1" applyFill="1" applyAlignment="1">
      <alignment vertical="center"/>
    </xf>
    <xf numFmtId="178" fontId="9" fillId="0" borderId="0" xfId="6" applyNumberFormat="1" applyFont="1" applyFill="1" applyBorder="1" applyAlignment="1">
      <alignment horizontal="right" vertical="center"/>
    </xf>
    <xf numFmtId="0" fontId="9" fillId="0" borderId="0" xfId="6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left" vertical="center"/>
    </xf>
    <xf numFmtId="38" fontId="8" fillId="0" borderId="22" xfId="6" applyNumberFormat="1" applyFont="1" applyFill="1" applyBorder="1" applyAlignment="1">
      <alignment vertical="center"/>
    </xf>
    <xf numFmtId="178" fontId="9" fillId="0" borderId="32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9" fontId="9" fillId="0" borderId="1" xfId="7" applyNumberFormat="1" applyFont="1" applyFill="1" applyBorder="1" applyAlignment="1">
      <alignment horizontal="center" vertical="center"/>
    </xf>
    <xf numFmtId="38" fontId="9" fillId="0" borderId="1" xfId="6" applyNumberFormat="1" applyFont="1" applyFill="1" applyBorder="1" applyAlignment="1">
      <alignment vertical="center"/>
    </xf>
    <xf numFmtId="178" fontId="8" fillId="0" borderId="36" xfId="6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left" vertical="center" wrapText="1"/>
    </xf>
    <xf numFmtId="0" fontId="7" fillId="0" borderId="0" xfId="6" applyNumberFormat="1" applyFont="1" applyFill="1" applyAlignment="1">
      <alignment vertical="center"/>
    </xf>
    <xf numFmtId="0" fontId="7" fillId="0" borderId="0" xfId="0" applyNumberFormat="1" applyFont="1" applyFill="1" applyAlignment="1">
      <alignment vertical="center"/>
    </xf>
    <xf numFmtId="178" fontId="8" fillId="0" borderId="0" xfId="6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center" vertical="center"/>
    </xf>
    <xf numFmtId="0" fontId="3" fillId="0" borderId="0" xfId="6" applyNumberFormat="1" applyFont="1" applyFill="1" applyBorder="1" applyAlignment="1">
      <alignment vertical="center"/>
    </xf>
    <xf numFmtId="0" fontId="3" fillId="0" borderId="0" xfId="6" applyNumberFormat="1" applyFont="1" applyFill="1" applyBorder="1" applyAlignment="1">
      <alignment horizontal="center" vertical="center"/>
    </xf>
    <xf numFmtId="178" fontId="9" fillId="0" borderId="28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horizontal="right" vertical="center"/>
    </xf>
    <xf numFmtId="178" fontId="9" fillId="0" borderId="24" xfId="6" applyNumberFormat="1" applyFont="1" applyFill="1" applyBorder="1" applyAlignment="1">
      <alignment vertical="center"/>
    </xf>
    <xf numFmtId="0" fontId="9" fillId="0" borderId="2" xfId="6" applyNumberFormat="1" applyFont="1" applyFill="1" applyBorder="1" applyAlignment="1">
      <alignment vertical="center"/>
    </xf>
    <xf numFmtId="178" fontId="9" fillId="0" borderId="0" xfId="6" applyNumberFormat="1" applyFont="1" applyFill="1" applyBorder="1" applyAlignment="1">
      <alignment vertical="center"/>
    </xf>
    <xf numFmtId="38" fontId="8" fillId="0" borderId="7" xfId="6" applyNumberFormat="1" applyFont="1" applyFill="1" applyBorder="1" applyAlignment="1">
      <alignment vertical="center"/>
    </xf>
    <xf numFmtId="178" fontId="3" fillId="0" borderId="37" xfId="6" applyNumberFormat="1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0" fontId="3" fillId="0" borderId="36" xfId="0" applyNumberFormat="1" applyFont="1" applyFill="1" applyBorder="1" applyAlignment="1">
      <alignment vertical="center"/>
    </xf>
    <xf numFmtId="0" fontId="19" fillId="0" borderId="0" xfId="6" applyNumberFormat="1" applyFont="1" applyFill="1" applyAlignment="1">
      <alignment vertical="center"/>
    </xf>
    <xf numFmtId="178" fontId="8" fillId="0" borderId="42" xfId="6" applyNumberFormat="1" applyFont="1" applyFill="1" applyBorder="1" applyAlignment="1">
      <alignment vertical="center"/>
    </xf>
    <xf numFmtId="178" fontId="8" fillId="0" borderId="24" xfId="6" applyNumberFormat="1" applyFont="1" applyFill="1" applyBorder="1" applyAlignment="1">
      <alignment vertical="center"/>
    </xf>
    <xf numFmtId="38" fontId="8" fillId="0" borderId="22" xfId="6" applyNumberFormat="1" applyFont="1" applyFill="1" applyBorder="1" applyAlignment="1">
      <alignment vertical="center"/>
    </xf>
    <xf numFmtId="0" fontId="19" fillId="0" borderId="0" xfId="0" applyNumberFormat="1" applyFont="1" applyFill="1" applyAlignment="1">
      <alignment vertical="center"/>
    </xf>
    <xf numFmtId="0" fontId="9" fillId="0" borderId="34" xfId="6" applyNumberFormat="1" applyFont="1" applyFill="1" applyBorder="1" applyAlignment="1">
      <alignment horizontal="center" vertical="center"/>
    </xf>
    <xf numFmtId="188" fontId="8" fillId="0" borderId="0" xfId="6" applyNumberFormat="1" applyFont="1" applyFill="1" applyBorder="1" applyAlignment="1">
      <alignment vertical="center"/>
    </xf>
    <xf numFmtId="189" fontId="8" fillId="0" borderId="0" xfId="6" applyNumberFormat="1" applyFont="1" applyFill="1" applyBorder="1" applyAlignment="1">
      <alignment vertical="center"/>
    </xf>
    <xf numFmtId="178" fontId="9" fillId="0" borderId="37" xfId="6" applyNumberFormat="1" applyFont="1" applyFill="1" applyBorder="1" applyAlignment="1">
      <alignment vertical="center"/>
    </xf>
    <xf numFmtId="178" fontId="9" fillId="0" borderId="36" xfId="6" applyNumberFormat="1" applyFont="1" applyFill="1" applyBorder="1" applyAlignment="1">
      <alignment horizontal="right" vertical="center"/>
    </xf>
    <xf numFmtId="178" fontId="9" fillId="0" borderId="36" xfId="6" applyNumberFormat="1" applyFont="1" applyFill="1" applyBorder="1" applyAlignment="1">
      <alignment vertical="center"/>
    </xf>
    <xf numFmtId="0" fontId="9" fillId="0" borderId="23" xfId="6" applyNumberFormat="1" applyFont="1" applyFill="1" applyBorder="1" applyAlignment="1">
      <alignment vertical="center"/>
    </xf>
    <xf numFmtId="0" fontId="8" fillId="0" borderId="34" xfId="6" applyNumberFormat="1" applyFont="1" applyFill="1" applyBorder="1" applyAlignment="1">
      <alignment vertical="center"/>
    </xf>
    <xf numFmtId="178" fontId="9" fillId="0" borderId="42" xfId="6" applyNumberFormat="1" applyFont="1" applyFill="1" applyBorder="1" applyAlignment="1">
      <alignment vertical="center"/>
    </xf>
    <xf numFmtId="178" fontId="9" fillId="0" borderId="24" xfId="6" applyNumberFormat="1" applyFont="1" applyFill="1" applyBorder="1" applyAlignment="1">
      <alignment horizontal="right" vertical="center"/>
    </xf>
    <xf numFmtId="0" fontId="8" fillId="0" borderId="36" xfId="0" applyNumberFormat="1" applyFont="1" applyFill="1" applyBorder="1" applyAlignment="1">
      <alignment vertical="center"/>
    </xf>
    <xf numFmtId="178" fontId="7" fillId="0" borderId="0" xfId="6" applyNumberFormat="1" applyFont="1" applyFill="1" applyAlignment="1">
      <alignment vertical="center"/>
    </xf>
    <xf numFmtId="181" fontId="8" fillId="0" borderId="0" xfId="2" applyNumberFormat="1" applyFont="1" applyFill="1" applyBorder="1" applyAlignment="1">
      <alignment horizontal="center" vertical="center"/>
    </xf>
    <xf numFmtId="181" fontId="8" fillId="0" borderId="0" xfId="2" applyNumberFormat="1" applyFont="1" applyFill="1" applyBorder="1" applyAlignment="1">
      <alignment horizontal="center" vertical="center"/>
    </xf>
    <xf numFmtId="180" fontId="8" fillId="0" borderId="0" xfId="6" applyNumberFormat="1" applyFont="1" applyFill="1" applyBorder="1" applyAlignment="1">
      <alignment horizontal="center" vertical="center"/>
    </xf>
    <xf numFmtId="0" fontId="8" fillId="0" borderId="0" xfId="7" applyNumberFormat="1" applyFont="1" applyFill="1" applyBorder="1" applyAlignment="1">
      <alignment horizontal="center" vertical="center"/>
    </xf>
    <xf numFmtId="10" fontId="8" fillId="0" borderId="0" xfId="7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vertical="center"/>
    </xf>
    <xf numFmtId="10" fontId="8" fillId="0" borderId="0" xfId="7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vertical="center"/>
    </xf>
    <xf numFmtId="41" fontId="8" fillId="0" borderId="0" xfId="2" applyNumberFormat="1" applyFont="1" applyFill="1" applyAlignment="1">
      <alignment vertical="center"/>
    </xf>
    <xf numFmtId="41" fontId="8" fillId="0" borderId="0" xfId="2" applyNumberFormat="1" applyFont="1" applyFill="1" applyBorder="1" applyAlignment="1">
      <alignment horizontal="center" vertical="center"/>
    </xf>
    <xf numFmtId="41" fontId="8" fillId="0" borderId="0" xfId="2" applyNumberFormat="1" applyFont="1" applyFill="1" applyBorder="1" applyAlignment="1">
      <alignment horizontal="left" vertical="center"/>
    </xf>
    <xf numFmtId="0" fontId="8" fillId="0" borderId="22" xfId="6" applyNumberFormat="1" applyFont="1" applyFill="1" applyBorder="1" applyAlignment="1">
      <alignment horizontal="center" vertical="center" wrapText="1"/>
    </xf>
    <xf numFmtId="190" fontId="8" fillId="0" borderId="0" xfId="7" applyNumberFormat="1" applyFont="1" applyFill="1" applyBorder="1" applyAlignment="1">
      <alignment vertical="center"/>
    </xf>
    <xf numFmtId="38" fontId="20" fillId="0" borderId="7" xfId="6" applyNumberFormat="1" applyFont="1" applyFill="1" applyBorder="1" applyAlignment="1">
      <alignment vertical="center"/>
    </xf>
    <xf numFmtId="191" fontId="8" fillId="0" borderId="0" xfId="6" applyNumberFormat="1" applyFont="1" applyFill="1" applyBorder="1" applyAlignment="1">
      <alignment vertical="center"/>
    </xf>
    <xf numFmtId="192" fontId="8" fillId="0" borderId="0" xfId="6" applyNumberFormat="1" applyFont="1" applyFill="1" applyBorder="1" applyAlignment="1">
      <alignment horizontal="left" vertical="center"/>
    </xf>
    <xf numFmtId="193" fontId="8" fillId="0" borderId="0" xfId="6" applyNumberFormat="1" applyFont="1" applyFill="1" applyBorder="1" applyAlignment="1">
      <alignment vertical="center"/>
    </xf>
    <xf numFmtId="194" fontId="8" fillId="0" borderId="0" xfId="6" applyNumberFormat="1" applyFont="1" applyFill="1" applyBorder="1" applyAlignment="1">
      <alignment horizontal="left" vertical="center"/>
    </xf>
    <xf numFmtId="41" fontId="8" fillId="0" borderId="0" xfId="2" applyNumberFormat="1" applyFont="1" applyFill="1" applyAlignment="1">
      <alignment vertical="center"/>
    </xf>
    <xf numFmtId="178" fontId="19" fillId="0" borderId="0" xfId="6" applyNumberFormat="1" applyFont="1" applyFill="1" applyAlignment="1">
      <alignment vertical="center"/>
    </xf>
    <xf numFmtId="9" fontId="8" fillId="0" borderId="0" xfId="7" applyNumberFormat="1" applyFont="1" applyFill="1" applyBorder="1" applyAlignment="1">
      <alignment horizontal="center" vertical="center"/>
    </xf>
    <xf numFmtId="186" fontId="8" fillId="0" borderId="0" xfId="7" applyNumberFormat="1" applyFont="1" applyFill="1" applyBorder="1" applyAlignment="1">
      <alignment vertical="center"/>
    </xf>
    <xf numFmtId="0" fontId="8" fillId="0" borderId="36" xfId="6" applyNumberFormat="1" applyFont="1" applyFill="1" applyBorder="1" applyAlignment="1">
      <alignment horizontal="left" vertical="center"/>
    </xf>
    <xf numFmtId="0" fontId="8" fillId="0" borderId="23" xfId="6" applyNumberFormat="1" applyFont="1" applyFill="1" applyBorder="1" applyAlignment="1">
      <alignment horizontal="left" vertical="center"/>
    </xf>
    <xf numFmtId="0" fontId="8" fillId="0" borderId="0" xfId="6" applyNumberFormat="1" applyFont="1" applyFill="1" applyBorder="1" applyAlignment="1">
      <alignment horizontal="left" vertical="center"/>
    </xf>
    <xf numFmtId="0" fontId="8" fillId="0" borderId="33" xfId="6" applyNumberFormat="1" applyFont="1" applyFill="1" applyBorder="1" applyAlignment="1">
      <alignment horizontal="left" vertical="center"/>
    </xf>
    <xf numFmtId="9" fontId="8" fillId="0" borderId="22" xfId="7" applyNumberFormat="1" applyFont="1" applyFill="1" applyBorder="1" applyAlignment="1">
      <alignment horizontal="center" vertical="center"/>
    </xf>
    <xf numFmtId="178" fontId="21" fillId="0" borderId="28" xfId="6" applyNumberFormat="1" applyFont="1" applyFill="1" applyBorder="1" applyAlignment="1">
      <alignment vertical="center"/>
    </xf>
    <xf numFmtId="178" fontId="21" fillId="0" borderId="34" xfId="6" applyNumberFormat="1" applyFont="1" applyFill="1" applyBorder="1" applyAlignment="1">
      <alignment vertical="center"/>
    </xf>
    <xf numFmtId="0" fontId="21" fillId="0" borderId="34" xfId="6" applyNumberFormat="1" applyFont="1" applyFill="1" applyBorder="1" applyAlignment="1">
      <alignment vertical="center"/>
    </xf>
    <xf numFmtId="9" fontId="22" fillId="0" borderId="1" xfId="7" applyNumberFormat="1" applyFont="1" applyFill="1" applyBorder="1" applyAlignment="1">
      <alignment horizontal="center" vertical="center"/>
    </xf>
    <xf numFmtId="38" fontId="22" fillId="0" borderId="1" xfId="6" applyNumberFormat="1" applyFont="1" applyFill="1" applyBorder="1" applyAlignment="1">
      <alignment vertical="center"/>
    </xf>
    <xf numFmtId="178" fontId="22" fillId="0" borderId="1" xfId="0" applyNumberFormat="1" applyFont="1" applyFill="1" applyBorder="1" applyAlignment="1">
      <alignment vertical="center"/>
    </xf>
    <xf numFmtId="0" fontId="22" fillId="0" borderId="1" xfId="6" applyNumberFormat="1" applyFont="1" applyFill="1" applyBorder="1" applyAlignment="1">
      <alignment horizontal="center" vertical="center" wrapText="1"/>
    </xf>
    <xf numFmtId="178" fontId="10" fillId="0" borderId="32" xfId="6" applyNumberFormat="1" applyFont="1" applyFill="1" applyBorder="1" applyAlignment="1">
      <alignment vertical="center"/>
    </xf>
    <xf numFmtId="178" fontId="10" fillId="0" borderId="0" xfId="6" applyNumberFormat="1" applyFont="1" applyFill="1" applyBorder="1" applyAlignment="1">
      <alignment vertical="center"/>
    </xf>
    <xf numFmtId="0" fontId="10" fillId="0" borderId="0" xfId="6" applyNumberFormat="1" applyFont="1" applyFill="1" applyBorder="1" applyAlignment="1">
      <alignment vertical="center"/>
    </xf>
    <xf numFmtId="9" fontId="10" fillId="0" borderId="1" xfId="7" applyNumberFormat="1" applyFont="1" applyFill="1" applyBorder="1" applyAlignment="1">
      <alignment horizontal="center" vertical="center"/>
    </xf>
    <xf numFmtId="38" fontId="10" fillId="0" borderId="7" xfId="6" applyNumberFormat="1" applyFont="1" applyFill="1" applyBorder="1" applyAlignment="1">
      <alignment vertical="center"/>
    </xf>
    <xf numFmtId="41" fontId="10" fillId="0" borderId="7" xfId="0" applyNumberFormat="1" applyFont="1" applyFill="1" applyBorder="1" applyAlignment="1">
      <alignment vertical="center"/>
    </xf>
    <xf numFmtId="178" fontId="14" fillId="0" borderId="45" xfId="6" applyNumberFormat="1" applyFont="1" applyFill="1" applyBorder="1" applyAlignment="1">
      <alignment vertical="center"/>
    </xf>
    <xf numFmtId="178" fontId="14" fillId="0" borderId="43" xfId="6" applyNumberFormat="1" applyFont="1" applyFill="1" applyBorder="1" applyAlignment="1">
      <alignment vertical="center"/>
    </xf>
    <xf numFmtId="0" fontId="14" fillId="0" borderId="43" xfId="6" applyNumberFormat="1" applyFont="1" applyFill="1" applyBorder="1" applyAlignment="1">
      <alignment vertical="center"/>
    </xf>
    <xf numFmtId="0" fontId="14" fillId="0" borderId="46" xfId="6" applyNumberFormat="1" applyFont="1" applyFill="1" applyBorder="1" applyAlignment="1">
      <alignment vertical="center"/>
    </xf>
    <xf numFmtId="9" fontId="14" fillId="0" borderId="47" xfId="6" applyNumberFormat="1" applyFont="1" applyFill="1" applyBorder="1" applyAlignment="1">
      <alignment horizontal="center" vertical="center"/>
    </xf>
    <xf numFmtId="38" fontId="14" fillId="0" borderId="47" xfId="6" applyNumberFormat="1" applyFont="1" applyFill="1" applyBorder="1" applyAlignment="1">
      <alignment vertical="center"/>
    </xf>
    <xf numFmtId="41" fontId="14" fillId="2" borderId="47" xfId="0" applyNumberFormat="1" applyFont="1" applyFill="1" applyBorder="1" applyAlignment="1">
      <alignment vertical="center"/>
    </xf>
    <xf numFmtId="9" fontId="8" fillId="0" borderId="4" xfId="7" applyNumberFormat="1" applyFont="1" applyFill="1" applyBorder="1" applyAlignment="1">
      <alignment horizontal="center" vertical="center"/>
    </xf>
    <xf numFmtId="180" fontId="3" fillId="2" borderId="4" xfId="6" applyNumberFormat="1" applyFont="1" applyFill="1" applyBorder="1" applyAlignment="1">
      <alignment horizontal="center" vertical="center" wrapText="1"/>
    </xf>
    <xf numFmtId="180" fontId="3" fillId="0" borderId="4" xfId="6" applyNumberFormat="1" applyFont="1" applyFill="1" applyBorder="1" applyAlignment="1">
      <alignment horizontal="center" vertical="center" wrapText="1"/>
    </xf>
    <xf numFmtId="9" fontId="8" fillId="0" borderId="13" xfId="7" applyNumberFormat="1" applyFont="1" applyFill="1" applyBorder="1" applyAlignment="1">
      <alignment horizontal="center" vertical="center"/>
    </xf>
    <xf numFmtId="38" fontId="8" fillId="0" borderId="13" xfId="6" applyNumberFormat="1" applyFont="1" applyFill="1" applyBorder="1" applyAlignment="1">
      <alignment vertical="center"/>
    </xf>
    <xf numFmtId="178" fontId="8" fillId="0" borderId="0" xfId="3" applyNumberFormat="1" applyFont="1" applyFill="1" applyBorder="1" applyAlignment="1">
      <alignment vertical="center"/>
    </xf>
    <xf numFmtId="178" fontId="8" fillId="0" borderId="0" xfId="3" applyNumberFormat="1" applyFont="1" applyFill="1" applyBorder="1" applyAlignment="1">
      <alignment horizontal="center" vertical="center"/>
    </xf>
    <xf numFmtId="42" fontId="8" fillId="0" borderId="0" xfId="3" applyNumberFormat="1" applyFont="1" applyFill="1" applyBorder="1" applyAlignment="1">
      <alignment horizontal="center" vertical="center"/>
    </xf>
    <xf numFmtId="10" fontId="8" fillId="0" borderId="0" xfId="1" applyNumberFormat="1" applyFont="1" applyFill="1" applyBorder="1" applyAlignment="1">
      <alignment horizontal="center" vertical="center"/>
    </xf>
    <xf numFmtId="181" fontId="8" fillId="0" borderId="0" xfId="2" applyNumberFormat="1" applyFont="1" applyFill="1" applyBorder="1" applyAlignment="1">
      <alignment horizontal="center" vertical="center"/>
    </xf>
    <xf numFmtId="180" fontId="1" fillId="0" borderId="0" xfId="0" applyNumberFormat="1" applyFont="1" applyBorder="1">
      <alignment vertical="center"/>
    </xf>
    <xf numFmtId="178" fontId="8" fillId="0" borderId="0" xfId="3" applyNumberFormat="1" applyFont="1" applyFill="1" applyBorder="1" applyAlignment="1">
      <alignment horizontal="right" vertical="center"/>
    </xf>
    <xf numFmtId="178" fontId="8" fillId="0" borderId="32" xfId="3" applyNumberFormat="1" applyFont="1" applyFill="1" applyBorder="1" applyAlignment="1">
      <alignment vertical="center"/>
    </xf>
    <xf numFmtId="180" fontId="8" fillId="0" borderId="22" xfId="6" applyNumberFormat="1" applyFont="1" applyFill="1" applyBorder="1" applyAlignment="1">
      <alignment vertical="center"/>
    </xf>
    <xf numFmtId="180" fontId="8" fillId="0" borderId="8" xfId="6" applyNumberFormat="1" applyFont="1" applyFill="1" applyBorder="1" applyAlignment="1">
      <alignment vertical="center"/>
    </xf>
    <xf numFmtId="180" fontId="1" fillId="0" borderId="0" xfId="0" applyNumberFormat="1" applyFont="1" applyBorder="1" applyAlignment="1">
      <alignment vertical="center"/>
    </xf>
    <xf numFmtId="42" fontId="8" fillId="0" borderId="0" xfId="3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vertical="center"/>
    </xf>
    <xf numFmtId="0" fontId="8" fillId="0" borderId="0" xfId="0" applyNumberFormat="1" applyFont="1" applyFill="1" applyBorder="1">
      <alignment vertical="center"/>
    </xf>
    <xf numFmtId="42" fontId="8" fillId="0" borderId="0" xfId="3" applyNumberFormat="1" applyFont="1" applyFill="1" applyBorder="1" applyAlignment="1">
      <alignment horizontal="left" vertical="center"/>
    </xf>
    <xf numFmtId="0" fontId="8" fillId="0" borderId="0" xfId="0" applyNumberFormat="1" applyFont="1" applyFill="1">
      <alignment vertical="center"/>
    </xf>
    <xf numFmtId="0" fontId="8" fillId="0" borderId="32" xfId="0" applyNumberFormat="1" applyFont="1" applyFill="1" applyBorder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0" fontId="8" fillId="0" borderId="0" xfId="6" applyNumberFormat="1" applyFont="1" applyFill="1" applyBorder="1" applyAlignment="1">
      <alignment horizontal="center" vertical="center" wrapText="1"/>
    </xf>
    <xf numFmtId="38" fontId="8" fillId="0" borderId="0" xfId="6" applyNumberFormat="1" applyFont="1" applyFill="1" applyBorder="1" applyAlignment="1">
      <alignment vertical="center"/>
    </xf>
    <xf numFmtId="0" fontId="8" fillId="0" borderId="20" xfId="6" applyNumberFormat="1" applyFont="1" applyFill="1" applyBorder="1" applyAlignment="1">
      <alignment horizontal="center" vertical="center" wrapText="1"/>
    </xf>
    <xf numFmtId="178" fontId="8" fillId="0" borderId="13" xfId="6" applyNumberFormat="1" applyFont="1" applyFill="1" applyBorder="1" applyAlignment="1">
      <alignment horizontal="right" vertical="center"/>
    </xf>
    <xf numFmtId="178" fontId="8" fillId="0" borderId="0" xfId="6" applyNumberFormat="1" applyFont="1" applyFill="1" applyBorder="1" applyAlignment="1">
      <alignment horizontal="center" vertical="center"/>
    </xf>
    <xf numFmtId="0" fontId="8" fillId="0" borderId="36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vertical="center"/>
    </xf>
    <xf numFmtId="178" fontId="8" fillId="0" borderId="0" xfId="3" applyNumberFormat="1" applyFont="1" applyFill="1" applyBorder="1" applyAlignment="1">
      <alignment vertical="center"/>
    </xf>
    <xf numFmtId="178" fontId="8" fillId="0" borderId="36" xfId="3" applyNumberFormat="1" applyFont="1" applyFill="1" applyBorder="1" applyAlignment="1">
      <alignment vertical="center"/>
    </xf>
    <xf numFmtId="178" fontId="8" fillId="0" borderId="36" xfId="3" applyNumberFormat="1" applyFont="1" applyFill="1" applyBorder="1" applyAlignment="1">
      <alignment horizontal="right" vertical="center"/>
    </xf>
    <xf numFmtId="178" fontId="8" fillId="0" borderId="37" xfId="3" applyNumberFormat="1" applyFont="1" applyFill="1" applyBorder="1" applyAlignment="1">
      <alignment vertical="center"/>
    </xf>
    <xf numFmtId="0" fontId="8" fillId="0" borderId="33" xfId="3" applyNumberFormat="1" applyFont="1" applyFill="1" applyBorder="1" applyAlignment="1">
      <alignment vertical="center"/>
    </xf>
    <xf numFmtId="0" fontId="8" fillId="0" borderId="0" xfId="3" applyNumberFormat="1" applyFont="1" applyFill="1" applyBorder="1" applyAlignment="1">
      <alignment horizontal="left" vertical="center"/>
    </xf>
    <xf numFmtId="9" fontId="8" fillId="0" borderId="0" xfId="1" applyNumberFormat="1" applyFont="1" applyFill="1" applyBorder="1" applyAlignment="1">
      <alignment horizontal="center" vertical="center"/>
    </xf>
    <xf numFmtId="178" fontId="8" fillId="0" borderId="0" xfId="3" applyNumberFormat="1" applyFont="1" applyFill="1" applyBorder="1" applyAlignment="1">
      <alignment horizontal="right" vertical="center"/>
    </xf>
    <xf numFmtId="178" fontId="8" fillId="0" borderId="32" xfId="3" applyNumberFormat="1" applyFont="1" applyFill="1" applyBorder="1" applyAlignment="1">
      <alignment vertical="center"/>
    </xf>
    <xf numFmtId="180" fontId="8" fillId="0" borderId="0" xfId="0" applyNumberFormat="1" applyFont="1" applyBorder="1" applyAlignment="1">
      <alignment vertical="center"/>
    </xf>
    <xf numFmtId="178" fontId="8" fillId="0" borderId="0" xfId="6" applyNumberFormat="1" applyFont="1" applyFill="1" applyBorder="1" applyAlignment="1">
      <alignment horizontal="center" vertical="center"/>
    </xf>
    <xf numFmtId="0" fontId="1" fillId="0" borderId="39" xfId="4" applyNumberFormat="1" applyBorder="1" applyAlignment="1">
      <alignment horizontal="center" vertical="center"/>
    </xf>
    <xf numFmtId="0" fontId="1" fillId="0" borderId="38" xfId="4" applyNumberFormat="1" applyBorder="1" applyAlignment="1">
      <alignment horizontal="center" vertical="center"/>
    </xf>
    <xf numFmtId="0" fontId="1" fillId="0" borderId="39" xfId="4" applyNumberFormat="1" applyBorder="1" applyAlignment="1">
      <alignment vertical="center"/>
    </xf>
    <xf numFmtId="0" fontId="1" fillId="0" borderId="38" xfId="4" applyNumberFormat="1" applyBorder="1" applyAlignment="1">
      <alignment vertical="center"/>
    </xf>
    <xf numFmtId="0" fontId="29" fillId="0" borderId="1" xfId="4" applyNumberFormat="1" applyFont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0" fontId="8" fillId="0" borderId="36" xfId="6" applyNumberFormat="1" applyFont="1" applyFill="1" applyBorder="1" applyAlignment="1">
      <alignment vertical="center"/>
    </xf>
    <xf numFmtId="0" fontId="8" fillId="0" borderId="33" xfId="6" applyNumberFormat="1" applyFont="1" applyFill="1" applyBorder="1" applyAlignment="1">
      <alignment horizontal="center" vertical="center" wrapText="1"/>
    </xf>
    <xf numFmtId="0" fontId="1" fillId="0" borderId="39" xfId="4" applyNumberFormat="1" applyBorder="1" applyAlignment="1">
      <alignment horizontal="center" vertical="center"/>
    </xf>
    <xf numFmtId="0" fontId="1" fillId="0" borderId="12" xfId="4" applyNumberFormat="1" applyBorder="1" applyAlignment="1">
      <alignment horizontal="center" vertical="center"/>
    </xf>
    <xf numFmtId="0" fontId="1" fillId="0" borderId="11" xfId="4" applyNumberFormat="1" applyBorder="1" applyAlignment="1">
      <alignment horizontal="center" vertical="center"/>
    </xf>
    <xf numFmtId="0" fontId="1" fillId="0" borderId="38" xfId="4" applyNumberFormat="1" applyBorder="1" applyAlignment="1">
      <alignment horizontal="center" vertical="center"/>
    </xf>
    <xf numFmtId="0" fontId="1" fillId="0" borderId="39" xfId="4" applyNumberFormat="1" applyFont="1" applyBorder="1" applyAlignment="1">
      <alignment horizontal="center" vertical="center"/>
    </xf>
    <xf numFmtId="0" fontId="1" fillId="0" borderId="38" xfId="4" applyNumberFormat="1" applyFont="1" applyBorder="1" applyAlignment="1">
      <alignment horizontal="center" vertical="center"/>
    </xf>
    <xf numFmtId="0" fontId="23" fillId="0" borderId="38" xfId="4" applyNumberFormat="1" applyFont="1" applyBorder="1" applyAlignment="1">
      <alignment horizontal="center" vertical="center"/>
    </xf>
    <xf numFmtId="0" fontId="23" fillId="0" borderId="8" xfId="4" applyNumberFormat="1" applyFont="1" applyBorder="1" applyAlignment="1">
      <alignment horizontal="center" vertical="center"/>
    </xf>
    <xf numFmtId="0" fontId="24" fillId="0" borderId="21" xfId="4" applyNumberFormat="1" applyFont="1" applyBorder="1" applyAlignment="1">
      <alignment horizontal="center" vertical="center"/>
    </xf>
    <xf numFmtId="0" fontId="24" fillId="0" borderId="47" xfId="4" applyNumberFormat="1" applyFont="1" applyBorder="1" applyAlignment="1">
      <alignment horizontal="center" vertical="center"/>
    </xf>
    <xf numFmtId="0" fontId="24" fillId="0" borderId="46" xfId="4" applyNumberFormat="1" applyFont="1" applyBorder="1" applyAlignment="1">
      <alignment horizontal="center" vertical="center"/>
    </xf>
    <xf numFmtId="0" fontId="24" fillId="0" borderId="14" xfId="4" applyNumberFormat="1" applyFont="1" applyBorder="1" applyAlignment="1">
      <alignment horizontal="center" vertical="center"/>
    </xf>
    <xf numFmtId="0" fontId="24" fillId="0" borderId="48" xfId="4" applyNumberFormat="1" applyFont="1" applyBorder="1" applyAlignment="1">
      <alignment horizontal="center" vertical="center"/>
    </xf>
    <xf numFmtId="0" fontId="24" fillId="0" borderId="1" xfId="4" applyNumberFormat="1" applyFont="1" applyBorder="1" applyAlignment="1">
      <alignment horizontal="center" vertical="center"/>
    </xf>
    <xf numFmtId="0" fontId="24" fillId="0" borderId="49" xfId="4" applyNumberFormat="1" applyFont="1" applyBorder="1" applyAlignment="1">
      <alignment horizontal="center" vertical="center"/>
    </xf>
    <xf numFmtId="0" fontId="24" fillId="0" borderId="50" xfId="4" applyNumberFormat="1" applyFont="1" applyBorder="1" applyAlignment="1">
      <alignment horizontal="center" vertical="center"/>
    </xf>
    <xf numFmtId="0" fontId="24" fillId="2" borderId="22" xfId="4" applyNumberFormat="1" applyFont="1" applyFill="1" applyBorder="1" applyAlignment="1">
      <alignment horizontal="center" vertical="center" wrapText="1"/>
    </xf>
    <xf numFmtId="0" fontId="24" fillId="2" borderId="51" xfId="4" applyNumberFormat="1" applyFont="1" applyFill="1" applyBorder="1" applyAlignment="1">
      <alignment horizontal="center" vertical="center" wrapText="1"/>
    </xf>
    <xf numFmtId="0" fontId="24" fillId="0" borderId="2" xfId="4" applyNumberFormat="1" applyFont="1" applyBorder="1" applyAlignment="1">
      <alignment horizontal="center" vertical="center"/>
    </xf>
    <xf numFmtId="0" fontId="24" fillId="0" borderId="52" xfId="4" applyNumberFormat="1" applyFont="1" applyBorder="1" applyAlignment="1">
      <alignment horizontal="center" vertical="center"/>
    </xf>
    <xf numFmtId="0" fontId="24" fillId="0" borderId="3" xfId="4" applyNumberFormat="1" applyFont="1" applyBorder="1" applyAlignment="1">
      <alignment horizontal="center" vertical="center"/>
    </xf>
    <xf numFmtId="0" fontId="24" fillId="0" borderId="53" xfId="4" applyNumberFormat="1" applyFont="1" applyBorder="1" applyAlignment="1">
      <alignment horizontal="center" vertical="center"/>
    </xf>
    <xf numFmtId="0" fontId="8" fillId="0" borderId="13" xfId="6" applyNumberFormat="1" applyFont="1" applyFill="1" applyBorder="1" applyAlignment="1">
      <alignment horizontal="left" vertical="center" wrapText="1"/>
    </xf>
    <xf numFmtId="178" fontId="8" fillId="0" borderId="34" xfId="6" applyNumberFormat="1" applyFont="1" applyFill="1" applyBorder="1" applyAlignment="1">
      <alignment horizontal="center" vertical="center"/>
    </xf>
    <xf numFmtId="178" fontId="8" fillId="0" borderId="0" xfId="6" applyNumberFormat="1" applyFont="1" applyFill="1" applyBorder="1" applyAlignment="1">
      <alignment horizontal="center" vertical="center"/>
    </xf>
    <xf numFmtId="0" fontId="8" fillId="0" borderId="21" xfId="6" applyNumberFormat="1" applyFont="1" applyFill="1" applyBorder="1" applyAlignment="1">
      <alignment horizontal="center" vertical="center" wrapText="1"/>
    </xf>
    <xf numFmtId="0" fontId="8" fillId="0" borderId="47" xfId="6" applyNumberFormat="1" applyFont="1" applyFill="1" applyBorder="1" applyAlignment="1">
      <alignment horizontal="center" vertical="center" wrapText="1"/>
    </xf>
    <xf numFmtId="180" fontId="3" fillId="0" borderId="18" xfId="6" applyNumberFormat="1" applyFont="1" applyFill="1" applyBorder="1" applyAlignment="1">
      <alignment horizontal="center" vertical="center" wrapText="1"/>
    </xf>
    <xf numFmtId="180" fontId="3" fillId="0" borderId="19" xfId="6" applyNumberFormat="1" applyFont="1" applyFill="1" applyBorder="1" applyAlignment="1">
      <alignment horizontal="center" vertical="center" wrapText="1"/>
    </xf>
    <xf numFmtId="0" fontId="17" fillId="0" borderId="54" xfId="6" applyNumberFormat="1" applyFont="1" applyFill="1" applyBorder="1" applyAlignment="1">
      <alignment horizontal="center" vertical="center" wrapText="1"/>
    </xf>
    <xf numFmtId="0" fontId="17" fillId="0" borderId="44" xfId="6" applyNumberFormat="1" applyFont="1" applyFill="1" applyBorder="1" applyAlignment="1">
      <alignment horizontal="center" vertical="center" wrapText="1"/>
    </xf>
    <xf numFmtId="0" fontId="8" fillId="0" borderId="47" xfId="6" applyNumberFormat="1" applyFont="1" applyFill="1" applyBorder="1" applyAlignment="1">
      <alignment horizontal="center" vertical="center"/>
    </xf>
    <xf numFmtId="0" fontId="8" fillId="0" borderId="14" xfId="6" applyNumberFormat="1" applyFont="1" applyFill="1" applyBorder="1" applyAlignment="1">
      <alignment horizontal="center" vertical="center"/>
    </xf>
    <xf numFmtId="0" fontId="8" fillId="0" borderId="4" xfId="6" applyNumberFormat="1" applyFont="1" applyFill="1" applyBorder="1" applyAlignment="1">
      <alignment horizontal="center" vertical="center"/>
    </xf>
    <xf numFmtId="0" fontId="8" fillId="0" borderId="5" xfId="6" applyNumberFormat="1" applyFont="1" applyFill="1" applyBorder="1" applyAlignment="1">
      <alignment horizontal="center" vertical="center"/>
    </xf>
    <xf numFmtId="0" fontId="8" fillId="0" borderId="33" xfId="6" applyNumberFormat="1" applyFont="1" applyFill="1" applyBorder="1" applyAlignment="1">
      <alignment horizontal="left" vertical="center" wrapText="1"/>
    </xf>
    <xf numFmtId="0" fontId="8" fillId="0" borderId="0" xfId="6" applyNumberFormat="1" applyFont="1" applyFill="1" applyBorder="1" applyAlignment="1">
      <alignment horizontal="left" vertical="center" wrapText="1"/>
    </xf>
    <xf numFmtId="0" fontId="8" fillId="0" borderId="55" xfId="6" applyNumberFormat="1" applyFont="1" applyFill="1" applyBorder="1" applyAlignment="1">
      <alignment horizontal="center" vertical="center"/>
    </xf>
    <xf numFmtId="0" fontId="8" fillId="0" borderId="44" xfId="6" applyNumberFormat="1" applyFont="1" applyFill="1" applyBorder="1" applyAlignment="1">
      <alignment horizontal="center" vertical="center"/>
    </xf>
    <xf numFmtId="0" fontId="8" fillId="0" borderId="27" xfId="6" applyNumberFormat="1" applyFont="1" applyFill="1" applyBorder="1" applyAlignment="1">
      <alignment horizontal="center" vertical="center"/>
    </xf>
    <xf numFmtId="0" fontId="8" fillId="0" borderId="31" xfId="6" applyNumberFormat="1" applyFont="1" applyFill="1" applyBorder="1" applyAlignment="1">
      <alignment horizontal="center" vertical="center"/>
    </xf>
    <xf numFmtId="0" fontId="8" fillId="0" borderId="13" xfId="6" applyNumberFormat="1" applyFont="1" applyFill="1" applyBorder="1" applyAlignment="1">
      <alignment horizontal="center" vertical="center"/>
    </xf>
    <xf numFmtId="0" fontId="8" fillId="0" borderId="30" xfId="6" applyNumberFormat="1" applyFont="1" applyFill="1" applyBorder="1" applyAlignment="1">
      <alignment horizontal="center" vertical="center"/>
    </xf>
    <xf numFmtId="178" fontId="8" fillId="0" borderId="36" xfId="6" applyNumberFormat="1" applyFont="1" applyFill="1" applyBorder="1" applyAlignment="1">
      <alignment vertical="center"/>
    </xf>
    <xf numFmtId="0" fontId="8" fillId="0" borderId="36" xfId="6" applyNumberFormat="1" applyFont="1" applyFill="1" applyBorder="1" applyAlignment="1">
      <alignment vertical="center"/>
    </xf>
    <xf numFmtId="178" fontId="9" fillId="0" borderId="34" xfId="6" applyNumberFormat="1" applyFont="1" applyFill="1" applyBorder="1" applyAlignment="1">
      <alignment vertical="center"/>
    </xf>
    <xf numFmtId="0" fontId="9" fillId="0" borderId="34" xfId="6" applyNumberFormat="1" applyFont="1" applyFill="1" applyBorder="1" applyAlignment="1">
      <alignment vertical="center"/>
    </xf>
    <xf numFmtId="0" fontId="10" fillId="0" borderId="33" xfId="6" applyNumberFormat="1" applyFont="1" applyFill="1" applyBorder="1" applyAlignment="1">
      <alignment horizontal="center" vertical="center" wrapText="1"/>
    </xf>
    <xf numFmtId="0" fontId="10" fillId="0" borderId="16" xfId="6" applyNumberFormat="1" applyFont="1" applyFill="1" applyBorder="1" applyAlignment="1">
      <alignment horizontal="center" vertical="center" wrapText="1"/>
    </xf>
    <xf numFmtId="0" fontId="14" fillId="0" borderId="21" xfId="6" applyNumberFormat="1" applyFont="1" applyFill="1" applyBorder="1" applyAlignment="1">
      <alignment horizontal="center" vertical="center" wrapText="1"/>
    </xf>
    <xf numFmtId="0" fontId="14" fillId="0" borderId="47" xfId="6" applyNumberFormat="1" applyFont="1" applyFill="1" applyBorder="1" applyAlignment="1">
      <alignment horizontal="center" vertical="center" wrapText="1"/>
    </xf>
    <xf numFmtId="180" fontId="3" fillId="0" borderId="46" xfId="6" applyNumberFormat="1" applyFont="1" applyFill="1" applyBorder="1" applyAlignment="1">
      <alignment horizontal="center" vertical="center" wrapText="1"/>
    </xf>
    <xf numFmtId="180" fontId="3" fillId="0" borderId="43" xfId="6" applyNumberFormat="1" applyFont="1" applyFill="1" applyBorder="1" applyAlignment="1">
      <alignment horizontal="center" vertical="center" wrapText="1"/>
    </xf>
    <xf numFmtId="180" fontId="3" fillId="0" borderId="17" xfId="6" applyNumberFormat="1" applyFont="1" applyFill="1" applyBorder="1" applyAlignment="1">
      <alignment horizontal="center" vertical="center" wrapText="1"/>
    </xf>
    <xf numFmtId="0" fontId="8" fillId="0" borderId="46" xfId="6" applyNumberFormat="1" applyFont="1" applyFill="1" applyBorder="1" applyAlignment="1">
      <alignment horizontal="center" vertical="center" wrapText="1"/>
    </xf>
    <xf numFmtId="0" fontId="8" fillId="0" borderId="17" xfId="6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>
      <alignment horizontal="center" vertical="center" wrapText="1"/>
    </xf>
    <xf numFmtId="0" fontId="8" fillId="0" borderId="6" xfId="6" applyNumberFormat="1" applyFont="1" applyFill="1" applyBorder="1" applyAlignment="1">
      <alignment horizontal="center" vertical="center" wrapText="1"/>
    </xf>
    <xf numFmtId="0" fontId="9" fillId="0" borderId="35" xfId="6" applyNumberFormat="1" applyFont="1" applyFill="1" applyBorder="1" applyAlignment="1">
      <alignment horizontal="center" vertical="center" wrapText="1"/>
    </xf>
    <xf numFmtId="0" fontId="9" fillId="0" borderId="9" xfId="6" applyNumberFormat="1" applyFont="1" applyFill="1" applyBorder="1" applyAlignment="1">
      <alignment horizontal="center" vertical="center" wrapText="1"/>
    </xf>
    <xf numFmtId="0" fontId="9" fillId="0" borderId="1" xfId="6" applyNumberFormat="1" applyFont="1" applyFill="1" applyBorder="1" applyAlignment="1">
      <alignment horizontal="center" vertical="center" wrapText="1"/>
    </xf>
  </cellXfs>
  <cellStyles count="9">
    <cellStyle name="백분율" xfId="1" builtinId="5"/>
    <cellStyle name="백분율 2" xfId="7"/>
    <cellStyle name="쉼표 [0]" xfId="2" builtinId="6"/>
    <cellStyle name="쉼표 [0] 2 2" xfId="5"/>
    <cellStyle name="통화 [0]" xfId="3" builtinId="7"/>
    <cellStyle name="통화 [0] 2" xfId="6"/>
    <cellStyle name="표준" xfId="0" builtinId="0"/>
    <cellStyle name="표준 2 2" xfId="4"/>
    <cellStyle name="표준_2003경기장복예산안" xf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&#52264;%20&#52628;&#44221;\1&#52264;%20&#52628;&#44221;\2020&#45380;&#46020;%201&#52264;&#52628;&#44221;&#50696;&#49328;(&#47788;&#46944;&#51032;&#5166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입명세서"/>
      <sheetName val="세출명세서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28"/>
  <sheetViews>
    <sheetView topLeftCell="A2" zoomScale="90" zoomScaleNormal="90" zoomScaleSheetLayoutView="75" workbookViewId="0">
      <selection activeCell="N18" sqref="N18"/>
    </sheetView>
  </sheetViews>
  <sheetFormatPr defaultColWidth="8.88671875" defaultRowHeight="16.5" x14ac:dyDescent="0.15"/>
  <cols>
    <col min="1" max="1" width="1.44140625" style="1" customWidth="1"/>
    <col min="2" max="2" width="11.5546875" style="1" bestFit="1" customWidth="1"/>
    <col min="3" max="3" width="15.44140625" style="1" customWidth="1"/>
    <col min="4" max="5" width="18" style="1" bestFit="1" customWidth="1"/>
    <col min="6" max="6" width="16" style="1" bestFit="1" customWidth="1"/>
    <col min="7" max="7" width="9.6640625" style="1" bestFit="1" customWidth="1"/>
    <col min="8" max="8" width="13.33203125" style="1" bestFit="1" customWidth="1"/>
    <col min="9" max="10" width="18" style="1" bestFit="1" customWidth="1"/>
    <col min="11" max="11" width="16" style="1" bestFit="1" customWidth="1"/>
    <col min="12" max="16384" width="8.88671875" style="1"/>
  </cols>
  <sheetData>
    <row r="1" spans="2:11" ht="9.9499999999999993" customHeight="1" x14ac:dyDescent="0.15"/>
    <row r="2" spans="2:11" ht="26.25" x14ac:dyDescent="0.2">
      <c r="B2" s="2" t="s">
        <v>6</v>
      </c>
      <c r="K2" s="3" t="s">
        <v>205</v>
      </c>
    </row>
    <row r="3" spans="2:11" ht="9.9499999999999993" customHeight="1" x14ac:dyDescent="0.15"/>
    <row r="4" spans="2:11" ht="30" customHeight="1" x14ac:dyDescent="0.15">
      <c r="B4" s="518" t="s">
        <v>40</v>
      </c>
      <c r="C4" s="519"/>
      <c r="D4" s="519"/>
      <c r="E4" s="519"/>
      <c r="F4" s="520"/>
      <c r="G4" s="518" t="s">
        <v>22</v>
      </c>
      <c r="H4" s="519"/>
      <c r="I4" s="519"/>
      <c r="J4" s="519"/>
      <c r="K4" s="521"/>
    </row>
    <row r="5" spans="2:11" ht="16.5" customHeight="1" x14ac:dyDescent="0.15">
      <c r="B5" s="522" t="s">
        <v>29</v>
      </c>
      <c r="C5" s="523"/>
      <c r="D5" s="526" t="s">
        <v>7</v>
      </c>
      <c r="E5" s="526" t="s">
        <v>301</v>
      </c>
      <c r="F5" s="528" t="s">
        <v>130</v>
      </c>
      <c r="G5" s="522" t="s">
        <v>29</v>
      </c>
      <c r="H5" s="523"/>
      <c r="I5" s="526" t="s">
        <v>7</v>
      </c>
      <c r="J5" s="526" t="s">
        <v>301</v>
      </c>
      <c r="K5" s="530" t="s">
        <v>130</v>
      </c>
    </row>
    <row r="6" spans="2:11" ht="22.5" customHeight="1" x14ac:dyDescent="0.15">
      <c r="B6" s="524"/>
      <c r="C6" s="525"/>
      <c r="D6" s="527"/>
      <c r="E6" s="527"/>
      <c r="F6" s="529"/>
      <c r="G6" s="524"/>
      <c r="H6" s="525"/>
      <c r="I6" s="527"/>
      <c r="J6" s="527"/>
      <c r="K6" s="531"/>
    </row>
    <row r="7" spans="2:11" ht="24.95" customHeight="1" x14ac:dyDescent="0.15">
      <c r="B7" s="516" t="s">
        <v>25</v>
      </c>
      <c r="C7" s="517"/>
      <c r="D7" s="12">
        <f>SUM(D8:D24)/2</f>
        <v>94000000</v>
      </c>
      <c r="E7" s="12">
        <f>SUM(E8:E24)/2</f>
        <v>66758000</v>
      </c>
      <c r="F7" s="13">
        <f>SUM(F8:F24)/2</f>
        <v>-27242000</v>
      </c>
      <c r="G7" s="516" t="s">
        <v>25</v>
      </c>
      <c r="H7" s="517"/>
      <c r="I7" s="12">
        <f>SUM(I8:I28)/2</f>
        <v>94000000</v>
      </c>
      <c r="J7" s="12">
        <f>SUM(J8:J28)/2</f>
        <v>66758000</v>
      </c>
      <c r="K7" s="14">
        <f>SUM(K8:K28)/2</f>
        <v>-27242000</v>
      </c>
    </row>
    <row r="8" spans="2:11" ht="24.95" customHeight="1" x14ac:dyDescent="0.15">
      <c r="B8" s="510" t="s">
        <v>207</v>
      </c>
      <c r="C8" s="15" t="s">
        <v>158</v>
      </c>
      <c r="D8" s="16">
        <f>D9</f>
        <v>12000000</v>
      </c>
      <c r="E8" s="16">
        <f>E9</f>
        <v>9000000</v>
      </c>
      <c r="F8" s="17">
        <f>F9</f>
        <v>-3000000</v>
      </c>
      <c r="G8" s="510" t="s">
        <v>19</v>
      </c>
      <c r="H8" s="15" t="s">
        <v>158</v>
      </c>
      <c r="I8" s="16">
        <f>SUM(I9:I11)</f>
        <v>75149000</v>
      </c>
      <c r="J8" s="16">
        <f>SUM(J9:J11)</f>
        <v>50502000</v>
      </c>
      <c r="K8" s="21">
        <f>SUM(K9:K11)</f>
        <v>-24647000</v>
      </c>
    </row>
    <row r="9" spans="2:11" ht="24.95" customHeight="1" x14ac:dyDescent="0.15">
      <c r="B9" s="513"/>
      <c r="C9" s="4" t="s">
        <v>37</v>
      </c>
      <c r="D9" s="30">
        <v>12000000</v>
      </c>
      <c r="E9" s="30">
        <v>9000000</v>
      </c>
      <c r="F9" s="6">
        <f>E9-D9</f>
        <v>-3000000</v>
      </c>
      <c r="G9" s="512"/>
      <c r="H9" s="4" t="s">
        <v>187</v>
      </c>
      <c r="I9" s="30">
        <v>65934000</v>
      </c>
      <c r="J9" s="5">
        <v>40586000</v>
      </c>
      <c r="K9" s="7">
        <f>J9-I9</f>
        <v>-25348000</v>
      </c>
    </row>
    <row r="10" spans="2:11" ht="24.95" customHeight="1" x14ac:dyDescent="0.15">
      <c r="B10" s="510" t="s">
        <v>208</v>
      </c>
      <c r="C10" s="18" t="s">
        <v>158</v>
      </c>
      <c r="D10" s="28">
        <f>SUM(D11:D14)</f>
        <v>76793000</v>
      </c>
      <c r="E10" s="28">
        <f>SUM(E11:E14)</f>
        <v>50347000</v>
      </c>
      <c r="F10" s="20">
        <f>SUM(F11:F14)</f>
        <v>-26446000</v>
      </c>
      <c r="G10" s="512"/>
      <c r="H10" s="4" t="s">
        <v>28</v>
      </c>
      <c r="I10" s="30">
        <v>240000</v>
      </c>
      <c r="J10" s="5">
        <v>60000</v>
      </c>
      <c r="K10" s="7">
        <f>J10-I10</f>
        <v>-180000</v>
      </c>
    </row>
    <row r="11" spans="2:11" ht="24.95" customHeight="1" x14ac:dyDescent="0.15">
      <c r="B11" s="512"/>
      <c r="C11" s="11" t="s">
        <v>209</v>
      </c>
      <c r="D11" s="30">
        <v>0</v>
      </c>
      <c r="E11" s="5">
        <v>0</v>
      </c>
      <c r="F11" s="6">
        <f t="shared" ref="F11:F20" si="0">E11-D11</f>
        <v>0</v>
      </c>
      <c r="G11" s="513"/>
      <c r="H11" s="4" t="s">
        <v>197</v>
      </c>
      <c r="I11" s="30">
        <v>8975000</v>
      </c>
      <c r="J11" s="5">
        <v>9856000</v>
      </c>
      <c r="K11" s="7">
        <f>J11-I11</f>
        <v>881000</v>
      </c>
    </row>
    <row r="12" spans="2:11" ht="24.95" customHeight="1" x14ac:dyDescent="0.15">
      <c r="B12" s="512"/>
      <c r="C12" s="11" t="s">
        <v>213</v>
      </c>
      <c r="D12" s="30">
        <v>76793000</v>
      </c>
      <c r="E12" s="30">
        <v>50347000</v>
      </c>
      <c r="F12" s="6">
        <f t="shared" si="0"/>
        <v>-26446000</v>
      </c>
      <c r="G12" s="510" t="s">
        <v>226</v>
      </c>
      <c r="H12" s="18" t="s">
        <v>158</v>
      </c>
      <c r="I12" s="28">
        <f>SUM(I13:I15)</f>
        <v>3100000</v>
      </c>
      <c r="J12" s="19">
        <f>SUM(J13:J15)</f>
        <v>2600000</v>
      </c>
      <c r="K12" s="22">
        <f>SUM(K13:K15)</f>
        <v>-500000</v>
      </c>
    </row>
    <row r="13" spans="2:11" ht="24.95" customHeight="1" x14ac:dyDescent="0.15">
      <c r="B13" s="512"/>
      <c r="C13" s="11" t="s">
        <v>206</v>
      </c>
      <c r="D13" s="30">
        <v>0</v>
      </c>
      <c r="E13" s="5">
        <v>0</v>
      </c>
      <c r="F13" s="6">
        <f>E13-D13</f>
        <v>0</v>
      </c>
      <c r="G13" s="512"/>
      <c r="H13" s="4" t="s">
        <v>179</v>
      </c>
      <c r="I13" s="30">
        <v>0</v>
      </c>
      <c r="J13" s="5">
        <v>0</v>
      </c>
      <c r="K13" s="7">
        <f>J13-I13</f>
        <v>0</v>
      </c>
    </row>
    <row r="14" spans="2:11" ht="24.95" customHeight="1" x14ac:dyDescent="0.15">
      <c r="B14" s="513"/>
      <c r="C14" s="23" t="s">
        <v>204</v>
      </c>
      <c r="D14" s="30">
        <v>0</v>
      </c>
      <c r="E14" s="5">
        <v>0</v>
      </c>
      <c r="F14" s="6">
        <f t="shared" si="0"/>
        <v>0</v>
      </c>
      <c r="G14" s="512"/>
      <c r="H14" s="4" t="s">
        <v>77</v>
      </c>
      <c r="I14" s="30">
        <v>3000000</v>
      </c>
      <c r="J14" s="5">
        <v>2500000</v>
      </c>
      <c r="K14" s="7">
        <f>J14-I14</f>
        <v>-500000</v>
      </c>
    </row>
    <row r="15" spans="2:11" ht="24.95" customHeight="1" x14ac:dyDescent="0.15">
      <c r="B15" s="510" t="s">
        <v>203</v>
      </c>
      <c r="C15" s="18" t="s">
        <v>158</v>
      </c>
      <c r="D15" s="28">
        <f>SUM(D16:D17)</f>
        <v>600000</v>
      </c>
      <c r="E15" s="19">
        <f>SUM(E16:E17)</f>
        <v>1000000</v>
      </c>
      <c r="F15" s="20">
        <f>SUM(F16:F17)</f>
        <v>400000</v>
      </c>
      <c r="G15" s="513"/>
      <c r="H15" s="4" t="s">
        <v>210</v>
      </c>
      <c r="I15" s="30">
        <v>100000</v>
      </c>
      <c r="J15" s="5">
        <v>100000</v>
      </c>
      <c r="K15" s="7">
        <f>J15-I15</f>
        <v>0</v>
      </c>
    </row>
    <row r="16" spans="2:11" ht="24.95" customHeight="1" x14ac:dyDescent="0.15">
      <c r="B16" s="512"/>
      <c r="C16" s="4" t="s">
        <v>315</v>
      </c>
      <c r="D16" s="30">
        <v>0</v>
      </c>
      <c r="E16" s="5">
        <v>0</v>
      </c>
      <c r="F16" s="6">
        <f t="shared" si="0"/>
        <v>0</v>
      </c>
      <c r="G16" s="510" t="s">
        <v>54</v>
      </c>
      <c r="H16" s="18" t="s">
        <v>158</v>
      </c>
      <c r="I16" s="28">
        <f>SUM(I17:I22)</f>
        <v>15714000</v>
      </c>
      <c r="J16" s="19">
        <f>SUM(J17:J22)</f>
        <v>13610000</v>
      </c>
      <c r="K16" s="22">
        <f>SUM(K17:K22)</f>
        <v>-2104000</v>
      </c>
    </row>
    <row r="17" spans="2:11" ht="24.95" customHeight="1" x14ac:dyDescent="0.15">
      <c r="B17" s="513"/>
      <c r="C17" s="4" t="s">
        <v>36</v>
      </c>
      <c r="D17" s="30">
        <v>600000</v>
      </c>
      <c r="E17" s="5">
        <v>1000000</v>
      </c>
      <c r="F17" s="6">
        <f t="shared" si="0"/>
        <v>400000</v>
      </c>
      <c r="G17" s="512"/>
      <c r="H17" s="4" t="s">
        <v>184</v>
      </c>
      <c r="I17" s="30">
        <v>10950000</v>
      </c>
      <c r="J17" s="29">
        <v>10012000</v>
      </c>
      <c r="K17" s="7">
        <f t="shared" ref="K17:K22" si="1">J17-I17</f>
        <v>-938000</v>
      </c>
    </row>
    <row r="18" spans="2:11" ht="24.95" customHeight="1" x14ac:dyDescent="0.15">
      <c r="B18" s="510" t="s">
        <v>87</v>
      </c>
      <c r="C18" s="18" t="s">
        <v>158</v>
      </c>
      <c r="D18" s="28">
        <f>SUM(D19:D20)</f>
        <v>0</v>
      </c>
      <c r="E18" s="28">
        <f>SUM(E19:E20)</f>
        <v>1588000</v>
      </c>
      <c r="F18" s="20">
        <f>SUM(F19:F20)</f>
        <v>1588000</v>
      </c>
      <c r="G18" s="512"/>
      <c r="H18" s="4" t="s">
        <v>30</v>
      </c>
      <c r="I18" s="30">
        <v>444000</v>
      </c>
      <c r="J18" s="29">
        <v>468000</v>
      </c>
      <c r="K18" s="7">
        <f t="shared" si="1"/>
        <v>24000</v>
      </c>
    </row>
    <row r="19" spans="2:11" ht="24.95" customHeight="1" x14ac:dyDescent="0.15">
      <c r="B19" s="512"/>
      <c r="C19" s="4" t="s">
        <v>39</v>
      </c>
      <c r="D19" s="30">
        <v>0</v>
      </c>
      <c r="E19" s="5">
        <v>0</v>
      </c>
      <c r="F19" s="6">
        <v>0</v>
      </c>
      <c r="G19" s="512"/>
      <c r="H19" s="4" t="s">
        <v>166</v>
      </c>
      <c r="I19" s="30">
        <v>600000</v>
      </c>
      <c r="J19" s="5">
        <v>600000</v>
      </c>
      <c r="K19" s="7">
        <f t="shared" si="1"/>
        <v>0</v>
      </c>
    </row>
    <row r="20" spans="2:11" ht="24.95" customHeight="1" x14ac:dyDescent="0.15">
      <c r="B20" s="513"/>
      <c r="C20" s="506" t="s">
        <v>328</v>
      </c>
      <c r="D20" s="28">
        <v>0</v>
      </c>
      <c r="E20" s="30">
        <v>1588000</v>
      </c>
      <c r="F20" s="6">
        <f t="shared" si="0"/>
        <v>1588000</v>
      </c>
      <c r="G20" s="512"/>
      <c r="H20" s="4" t="s">
        <v>186</v>
      </c>
      <c r="I20" s="30">
        <v>460000</v>
      </c>
      <c r="J20" s="5">
        <v>260000</v>
      </c>
      <c r="K20" s="7">
        <f t="shared" si="1"/>
        <v>-200000</v>
      </c>
    </row>
    <row r="21" spans="2:11" ht="24.95" customHeight="1" x14ac:dyDescent="0.15">
      <c r="B21" s="504" t="s">
        <v>31</v>
      </c>
      <c r="C21" s="18" t="s">
        <v>158</v>
      </c>
      <c r="D21" s="28">
        <f>D22</f>
        <v>3850000</v>
      </c>
      <c r="E21" s="28">
        <f>E22</f>
        <v>4057000</v>
      </c>
      <c r="F21" s="20">
        <f>F22</f>
        <v>207000</v>
      </c>
      <c r="G21" s="512"/>
      <c r="H21" s="4" t="s">
        <v>199</v>
      </c>
      <c r="I21" s="30">
        <v>180000</v>
      </c>
      <c r="J21" s="5">
        <v>180000</v>
      </c>
      <c r="K21" s="7">
        <f t="shared" si="1"/>
        <v>0</v>
      </c>
    </row>
    <row r="22" spans="2:11" ht="24.95" customHeight="1" x14ac:dyDescent="0.15">
      <c r="B22" s="505"/>
      <c r="C22" s="4" t="s">
        <v>79</v>
      </c>
      <c r="D22" s="30">
        <v>3850000</v>
      </c>
      <c r="E22" s="30">
        <v>4057000</v>
      </c>
      <c r="F22" s="6">
        <f t="shared" ref="F22" si="2">E22-D22</f>
        <v>207000</v>
      </c>
      <c r="G22" s="513"/>
      <c r="H22" s="4" t="s">
        <v>212</v>
      </c>
      <c r="I22" s="30">
        <v>3080000</v>
      </c>
      <c r="J22" s="5">
        <v>2090000</v>
      </c>
      <c r="K22" s="7">
        <f t="shared" si="1"/>
        <v>-990000</v>
      </c>
    </row>
    <row r="23" spans="2:11" ht="24.95" customHeight="1" x14ac:dyDescent="0.15">
      <c r="B23" s="502" t="s">
        <v>27</v>
      </c>
      <c r="C23" s="18" t="s">
        <v>158</v>
      </c>
      <c r="D23" s="28">
        <f>D24</f>
        <v>757000</v>
      </c>
      <c r="E23" s="28">
        <f>E24</f>
        <v>766000</v>
      </c>
      <c r="F23" s="20">
        <f>F24</f>
        <v>9000</v>
      </c>
      <c r="G23" s="514" t="s">
        <v>220</v>
      </c>
      <c r="H23" s="18" t="s">
        <v>158</v>
      </c>
      <c r="I23" s="28">
        <f>I24</f>
        <v>15000</v>
      </c>
      <c r="J23" s="19">
        <f>J24</f>
        <v>15000</v>
      </c>
      <c r="K23" s="22">
        <f>K24</f>
        <v>0</v>
      </c>
    </row>
    <row r="24" spans="2:11" ht="24.95" customHeight="1" x14ac:dyDescent="0.15">
      <c r="B24" s="503"/>
      <c r="C24" s="4" t="s">
        <v>183</v>
      </c>
      <c r="D24" s="30">
        <v>757000</v>
      </c>
      <c r="E24" s="30">
        <v>766000</v>
      </c>
      <c r="F24" s="6">
        <f t="shared" ref="F24" si="3">E24-D24</f>
        <v>9000</v>
      </c>
      <c r="G24" s="515"/>
      <c r="H24" s="4" t="s">
        <v>83</v>
      </c>
      <c r="I24" s="30">
        <v>15000</v>
      </c>
      <c r="J24" s="5">
        <v>15000</v>
      </c>
      <c r="K24" s="7">
        <f>J24-I24</f>
        <v>0</v>
      </c>
    </row>
    <row r="25" spans="2:11" ht="24.95" customHeight="1" x14ac:dyDescent="0.15">
      <c r="B25" s="24"/>
      <c r="C25" s="25"/>
      <c r="D25" s="25"/>
      <c r="E25" s="25"/>
      <c r="F25" s="25"/>
      <c r="G25" s="510" t="s">
        <v>68</v>
      </c>
      <c r="H25" s="18" t="s">
        <v>158</v>
      </c>
      <c r="I25" s="28">
        <f>I26</f>
        <v>0</v>
      </c>
      <c r="J25" s="19">
        <f>J26</f>
        <v>0</v>
      </c>
      <c r="K25" s="22">
        <f>K26</f>
        <v>0</v>
      </c>
    </row>
    <row r="26" spans="2:11" ht="24.95" customHeight="1" x14ac:dyDescent="0.15">
      <c r="B26" s="24"/>
      <c r="C26" s="25"/>
      <c r="D26" s="25"/>
      <c r="E26" s="25"/>
      <c r="F26" s="25"/>
      <c r="G26" s="513"/>
      <c r="H26" s="4" t="s">
        <v>196</v>
      </c>
      <c r="I26" s="30">
        <v>0</v>
      </c>
      <c r="J26" s="5">
        <v>0</v>
      </c>
      <c r="K26" s="7">
        <f>J26-I26</f>
        <v>0</v>
      </c>
    </row>
    <row r="27" spans="2:11" ht="24.95" customHeight="1" x14ac:dyDescent="0.15">
      <c r="B27" s="24"/>
      <c r="C27" s="25"/>
      <c r="D27" s="25"/>
      <c r="E27" s="25"/>
      <c r="F27" s="25"/>
      <c r="G27" s="510" t="s">
        <v>32</v>
      </c>
      <c r="H27" s="18" t="s">
        <v>158</v>
      </c>
      <c r="I27" s="28">
        <f>I28</f>
        <v>22000</v>
      </c>
      <c r="J27" s="19">
        <f>J28</f>
        <v>31000</v>
      </c>
      <c r="K27" s="22">
        <f>K28</f>
        <v>9000</v>
      </c>
    </row>
    <row r="28" spans="2:11" ht="24.95" customHeight="1" x14ac:dyDescent="0.15">
      <c r="B28" s="26"/>
      <c r="C28" s="27"/>
      <c r="D28" s="27"/>
      <c r="E28" s="27"/>
      <c r="F28" s="27"/>
      <c r="G28" s="511"/>
      <c r="H28" s="8" t="s">
        <v>176</v>
      </c>
      <c r="I28" s="9">
        <v>22000</v>
      </c>
      <c r="J28" s="9">
        <v>31000</v>
      </c>
      <c r="K28" s="10">
        <f>J28-I28</f>
        <v>9000</v>
      </c>
    </row>
  </sheetData>
  <mergeCells count="22">
    <mergeCell ref="B4:F4"/>
    <mergeCell ref="G4:K4"/>
    <mergeCell ref="B5:C6"/>
    <mergeCell ref="E5:E6"/>
    <mergeCell ref="F5:F6"/>
    <mergeCell ref="G5:H6"/>
    <mergeCell ref="J5:J6"/>
    <mergeCell ref="K5:K6"/>
    <mergeCell ref="D5:D6"/>
    <mergeCell ref="I5:I6"/>
    <mergeCell ref="B10:B14"/>
    <mergeCell ref="B18:B20"/>
    <mergeCell ref="B7:C7"/>
    <mergeCell ref="G7:H7"/>
    <mergeCell ref="B8:B9"/>
    <mergeCell ref="B15:B17"/>
    <mergeCell ref="G8:G11"/>
    <mergeCell ref="G27:G28"/>
    <mergeCell ref="G12:G15"/>
    <mergeCell ref="G16:G22"/>
    <mergeCell ref="G23:G24"/>
    <mergeCell ref="G25:G26"/>
  </mergeCells>
  <phoneticPr fontId="28" type="noConversion"/>
  <printOptions horizontalCentered="1" verticalCentered="1"/>
  <pageMargins left="0.25" right="0.25" top="0.75" bottom="0.75" header="0.30000001192092896" footer="0.30000001192092896"/>
  <pageSetup paperSize="9" scale="73" orientation="landscape" r:id="rId1"/>
  <headerFooter>
    <oddFooter>&amp;R&amp;"맑은 고딕,Regular"공동생활가정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S88"/>
  <sheetViews>
    <sheetView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AB9" sqref="AB8:AB9"/>
    </sheetView>
  </sheetViews>
  <sheetFormatPr defaultColWidth="13.77734375" defaultRowHeight="19.5" customHeight="1" x14ac:dyDescent="0.15"/>
  <cols>
    <col min="1" max="2" width="5.6640625" style="37" bestFit="1" customWidth="1"/>
    <col min="3" max="3" width="5.6640625" style="37" customWidth="1"/>
    <col min="4" max="4" width="8.77734375" style="36" customWidth="1"/>
    <col min="5" max="5" width="9.44140625" style="36" bestFit="1" customWidth="1"/>
    <col min="6" max="6" width="9.44140625" style="35" bestFit="1" customWidth="1"/>
    <col min="7" max="7" width="7.88671875" style="34" customWidth="1"/>
    <col min="8" max="8" width="16.109375" style="31" customWidth="1"/>
    <col min="9" max="9" width="4.77734375" style="33" customWidth="1"/>
    <col min="10" max="10" width="2.21875" style="33" customWidth="1"/>
    <col min="11" max="11" width="2.5546875" style="33" customWidth="1"/>
    <col min="12" max="12" width="10.44140625" style="33" bestFit="1" customWidth="1"/>
    <col min="13" max="13" width="3.109375" style="33" customWidth="1"/>
    <col min="14" max="14" width="3.44140625" style="33" bestFit="1" customWidth="1"/>
    <col min="15" max="15" width="7.6640625" style="33" bestFit="1" customWidth="1"/>
    <col min="16" max="16" width="4.88671875" style="33" customWidth="1"/>
    <col min="17" max="17" width="3.44140625" style="33" bestFit="1" customWidth="1"/>
    <col min="18" max="18" width="6.77734375" style="33" bestFit="1" customWidth="1"/>
    <col min="19" max="19" width="2.77734375" style="33" bestFit="1" customWidth="1"/>
    <col min="20" max="20" width="2.109375" style="33" bestFit="1" customWidth="1"/>
    <col min="21" max="21" width="5.77734375" style="33" bestFit="1" customWidth="1"/>
    <col min="22" max="22" width="2.5546875" style="33" customWidth="1"/>
    <col min="23" max="23" width="13.44140625" style="33" customWidth="1"/>
    <col min="24" max="24" width="2.77734375" style="33" customWidth="1"/>
    <col min="25" max="25" width="4.44140625" style="32" customWidth="1"/>
    <col min="26" max="16384" width="13.77734375" style="31"/>
  </cols>
  <sheetData>
    <row r="1" spans="1:25" s="38" customFormat="1" ht="33" customHeight="1" x14ac:dyDescent="0.15">
      <c r="A1" s="532" t="s">
        <v>324</v>
      </c>
      <c r="B1" s="532"/>
      <c r="C1" s="532"/>
      <c r="D1" s="532"/>
      <c r="E1" s="532"/>
      <c r="F1" s="532"/>
      <c r="G1" s="34"/>
      <c r="H1" s="31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2"/>
    </row>
    <row r="2" spans="1:25" s="243" customFormat="1" ht="27" customHeight="1" x14ac:dyDescent="0.15">
      <c r="A2" s="535" t="s">
        <v>190</v>
      </c>
      <c r="B2" s="536"/>
      <c r="C2" s="536"/>
      <c r="D2" s="537" t="s">
        <v>327</v>
      </c>
      <c r="E2" s="537" t="s">
        <v>325</v>
      </c>
      <c r="F2" s="541" t="s">
        <v>23</v>
      </c>
      <c r="G2" s="541"/>
      <c r="H2" s="541" t="s">
        <v>0</v>
      </c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1"/>
      <c r="U2" s="541"/>
      <c r="V2" s="541"/>
      <c r="W2" s="541"/>
      <c r="X2" s="542"/>
      <c r="Y2" s="244"/>
    </row>
    <row r="3" spans="1:25" s="243" customFormat="1" ht="32.25" customHeight="1" x14ac:dyDescent="0.15">
      <c r="A3" s="255" t="s">
        <v>98</v>
      </c>
      <c r="B3" s="254" t="s">
        <v>148</v>
      </c>
      <c r="C3" s="254" t="s">
        <v>124</v>
      </c>
      <c r="D3" s="538"/>
      <c r="E3" s="538"/>
      <c r="F3" s="253" t="s">
        <v>86</v>
      </c>
      <c r="G3" s="252" t="s">
        <v>235</v>
      </c>
      <c r="H3" s="543"/>
      <c r="I3" s="543"/>
      <c r="J3" s="543"/>
      <c r="K3" s="543"/>
      <c r="L3" s="543"/>
      <c r="M3" s="543"/>
      <c r="N3" s="543"/>
      <c r="O3" s="543"/>
      <c r="P3" s="543"/>
      <c r="Q3" s="543"/>
      <c r="R3" s="543"/>
      <c r="S3" s="543"/>
      <c r="T3" s="543"/>
      <c r="U3" s="543"/>
      <c r="V3" s="543"/>
      <c r="W3" s="543"/>
      <c r="X3" s="544"/>
      <c r="Y3" s="244"/>
    </row>
    <row r="4" spans="1:25" s="243" customFormat="1" ht="19.5" customHeight="1" x14ac:dyDescent="0.15">
      <c r="A4" s="539" t="s">
        <v>175</v>
      </c>
      <c r="B4" s="540"/>
      <c r="C4" s="540"/>
      <c r="D4" s="251">
        <v>94000</v>
      </c>
      <c r="E4" s="251">
        <f>SUM(E5,E11,E31,E41,E49,E70)</f>
        <v>66758</v>
      </c>
      <c r="F4" s="250">
        <f>SUM(F5,F7,F9,F11,F31,F41,F49,F70)</f>
        <v>-27242</v>
      </c>
      <c r="G4" s="249">
        <f>IF(D4=0,0,F4/D4)</f>
        <v>-0.28980851063829788</v>
      </c>
      <c r="H4" s="248" t="s">
        <v>230</v>
      </c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6">
        <f>SUM(W5,W7,W9,W11,W31,W41,W49,W70)</f>
        <v>66758000</v>
      </c>
      <c r="X4" s="245" t="s">
        <v>146</v>
      </c>
      <c r="Y4" s="244"/>
    </row>
    <row r="5" spans="1:25" ht="21" customHeight="1" x14ac:dyDescent="0.15">
      <c r="A5" s="137" t="s">
        <v>228</v>
      </c>
      <c r="B5" s="80" t="s">
        <v>228</v>
      </c>
      <c r="C5" s="242" t="s">
        <v>240</v>
      </c>
      <c r="D5" s="236">
        <v>12000</v>
      </c>
      <c r="E5" s="236">
        <f>W5/1000</f>
        <v>9000</v>
      </c>
      <c r="F5" s="235">
        <f>E5-D5</f>
        <v>-3000</v>
      </c>
      <c r="G5" s="234">
        <f>IF(D5=0,0,F5/D5)</f>
        <v>-0.25</v>
      </c>
      <c r="H5" s="233" t="s">
        <v>90</v>
      </c>
      <c r="I5" s="232"/>
      <c r="J5" s="231"/>
      <c r="K5" s="231"/>
      <c r="L5" s="231"/>
      <c r="M5" s="231"/>
      <c r="N5" s="231"/>
      <c r="O5" s="230"/>
      <c r="P5" s="230" t="s">
        <v>241</v>
      </c>
      <c r="Q5" s="230"/>
      <c r="R5" s="230"/>
      <c r="S5" s="230"/>
      <c r="T5" s="230"/>
      <c r="U5" s="230"/>
      <c r="V5" s="229"/>
      <c r="W5" s="229">
        <f>W6</f>
        <v>9000000</v>
      </c>
      <c r="X5" s="228" t="s">
        <v>146</v>
      </c>
    </row>
    <row r="6" spans="1:25" ht="21" customHeight="1" x14ac:dyDescent="0.15">
      <c r="A6" s="106" t="s">
        <v>253</v>
      </c>
      <c r="B6" s="58" t="s">
        <v>253</v>
      </c>
      <c r="C6" s="241" t="s">
        <v>253</v>
      </c>
      <c r="D6" s="57"/>
      <c r="E6" s="57"/>
      <c r="F6" s="56"/>
      <c r="G6" s="55"/>
      <c r="H6" s="240" t="s">
        <v>20</v>
      </c>
      <c r="I6" s="81"/>
      <c r="J6" s="238"/>
      <c r="K6" s="238"/>
      <c r="L6" s="53">
        <v>250000</v>
      </c>
      <c r="M6" s="53" t="s">
        <v>146</v>
      </c>
      <c r="N6" s="51" t="s">
        <v>128</v>
      </c>
      <c r="O6" s="184">
        <v>3</v>
      </c>
      <c r="P6" s="53" t="s">
        <v>101</v>
      </c>
      <c r="Q6" s="51" t="s">
        <v>128</v>
      </c>
      <c r="R6" s="237">
        <v>12</v>
      </c>
      <c r="S6" s="52" t="s">
        <v>108</v>
      </c>
      <c r="T6" s="52" t="s">
        <v>127</v>
      </c>
      <c r="U6" s="52"/>
      <c r="V6" s="53"/>
      <c r="W6" s="53">
        <f>L6*O6*R6</f>
        <v>9000000</v>
      </c>
      <c r="X6" s="49" t="s">
        <v>146</v>
      </c>
    </row>
    <row r="7" spans="1:25" s="38" customFormat="1" ht="19.5" customHeight="1" x14ac:dyDescent="0.15">
      <c r="A7" s="137" t="s">
        <v>114</v>
      </c>
      <c r="B7" s="80" t="s">
        <v>114</v>
      </c>
      <c r="C7" s="80" t="s">
        <v>114</v>
      </c>
      <c r="D7" s="236">
        <f>V7/1000</f>
        <v>0</v>
      </c>
      <c r="E7" s="236">
        <f>W7/1000</f>
        <v>0</v>
      </c>
      <c r="F7" s="235">
        <f>E7-D7</f>
        <v>0</v>
      </c>
      <c r="G7" s="234">
        <f>IF(D7=0,0,F7/D7)</f>
        <v>0</v>
      </c>
      <c r="H7" s="233" t="s">
        <v>218</v>
      </c>
      <c r="I7" s="232"/>
      <c r="J7" s="231"/>
      <c r="K7" s="231"/>
      <c r="L7" s="231"/>
      <c r="M7" s="231"/>
      <c r="N7" s="231"/>
      <c r="O7" s="230"/>
      <c r="P7" s="230" t="s">
        <v>241</v>
      </c>
      <c r="Q7" s="230"/>
      <c r="R7" s="230"/>
      <c r="S7" s="230"/>
      <c r="T7" s="230"/>
      <c r="U7" s="230"/>
      <c r="V7" s="229"/>
      <c r="W7" s="229">
        <f>W8</f>
        <v>0</v>
      </c>
      <c r="X7" s="228" t="s">
        <v>146</v>
      </c>
      <c r="Y7" s="32"/>
    </row>
    <row r="8" spans="1:25" ht="21" customHeight="1" x14ac:dyDescent="0.15">
      <c r="A8" s="128" t="s">
        <v>149</v>
      </c>
      <c r="B8" s="127" t="s">
        <v>149</v>
      </c>
      <c r="C8" s="127" t="s">
        <v>149</v>
      </c>
      <c r="D8" s="57"/>
      <c r="E8" s="57"/>
      <c r="F8" s="56"/>
      <c r="G8" s="55"/>
      <c r="H8" s="239"/>
      <c r="I8" s="81"/>
      <c r="J8" s="238"/>
      <c r="K8" s="238"/>
      <c r="L8" s="53"/>
      <c r="M8" s="53"/>
      <c r="N8" s="51"/>
      <c r="O8" s="53"/>
      <c r="P8" s="53"/>
      <c r="Q8" s="51"/>
      <c r="R8" s="237"/>
      <c r="S8" s="52"/>
      <c r="T8" s="52"/>
      <c r="U8" s="52"/>
      <c r="V8" s="53"/>
      <c r="W8" s="53">
        <v>0</v>
      </c>
      <c r="X8" s="49" t="s">
        <v>146</v>
      </c>
    </row>
    <row r="9" spans="1:25" ht="21" customHeight="1" x14ac:dyDescent="0.15">
      <c r="A9" s="137" t="s">
        <v>118</v>
      </c>
      <c r="B9" s="80" t="s">
        <v>118</v>
      </c>
      <c r="C9" s="80" t="s">
        <v>118</v>
      </c>
      <c r="D9" s="236">
        <f>V9/1000</f>
        <v>0</v>
      </c>
      <c r="E9" s="236">
        <f>W9/1000</f>
        <v>0</v>
      </c>
      <c r="F9" s="235">
        <f>E9-D9</f>
        <v>0</v>
      </c>
      <c r="G9" s="234">
        <f>IF(D9=0,0,F9/D9)</f>
        <v>0</v>
      </c>
      <c r="H9" s="233" t="s">
        <v>82</v>
      </c>
      <c r="I9" s="232"/>
      <c r="J9" s="231"/>
      <c r="K9" s="231"/>
      <c r="L9" s="231"/>
      <c r="M9" s="231"/>
      <c r="N9" s="231"/>
      <c r="O9" s="230"/>
      <c r="P9" s="230" t="s">
        <v>241</v>
      </c>
      <c r="Q9" s="230"/>
      <c r="R9" s="230"/>
      <c r="S9" s="230"/>
      <c r="T9" s="230"/>
      <c r="U9" s="230"/>
      <c r="V9" s="229"/>
      <c r="W9" s="229">
        <f>W10</f>
        <v>0</v>
      </c>
      <c r="X9" s="228" t="s">
        <v>146</v>
      </c>
    </row>
    <row r="10" spans="1:25" ht="21" customHeight="1" x14ac:dyDescent="0.15">
      <c r="A10" s="128" t="s">
        <v>149</v>
      </c>
      <c r="B10" s="127" t="s">
        <v>149</v>
      </c>
      <c r="C10" s="127" t="s">
        <v>149</v>
      </c>
      <c r="D10" s="126"/>
      <c r="E10" s="473"/>
      <c r="F10" s="227"/>
      <c r="G10" s="226"/>
      <c r="H10" s="225"/>
      <c r="I10" s="224"/>
      <c r="J10" s="223"/>
      <c r="K10" s="223"/>
      <c r="L10" s="223"/>
      <c r="M10" s="223"/>
      <c r="N10" s="223"/>
      <c r="O10" s="222"/>
      <c r="P10" s="222"/>
      <c r="Q10" s="222"/>
      <c r="R10" s="222"/>
      <c r="S10" s="222"/>
      <c r="T10" s="222"/>
      <c r="U10" s="222"/>
      <c r="V10" s="221"/>
      <c r="W10" s="221">
        <v>0</v>
      </c>
      <c r="X10" s="220" t="s">
        <v>146</v>
      </c>
    </row>
    <row r="11" spans="1:25" s="38" customFormat="1" ht="19.5" customHeight="1" x14ac:dyDescent="0.15">
      <c r="A11" s="137" t="s">
        <v>156</v>
      </c>
      <c r="B11" s="80" t="s">
        <v>156</v>
      </c>
      <c r="C11" s="116" t="s">
        <v>214</v>
      </c>
      <c r="D11" s="115">
        <v>76793</v>
      </c>
      <c r="E11" s="115">
        <f>SUM(E12,E15,E21,E28)</f>
        <v>50347</v>
      </c>
      <c r="F11" s="114">
        <f>E11-D11</f>
        <v>-26446</v>
      </c>
      <c r="G11" s="113">
        <f>IF(D11=0,0,F11/D11)</f>
        <v>-0.34438034716705951</v>
      </c>
      <c r="H11" s="112" t="s">
        <v>24</v>
      </c>
      <c r="I11" s="110"/>
      <c r="J11" s="111"/>
      <c r="K11" s="111"/>
      <c r="L11" s="110"/>
      <c r="M11" s="110"/>
      <c r="N11" s="110"/>
      <c r="O11" s="110"/>
      <c r="P11" s="110"/>
      <c r="Q11" s="109"/>
      <c r="R11" s="109"/>
      <c r="S11" s="109"/>
      <c r="T11" s="109"/>
      <c r="U11" s="109"/>
      <c r="V11" s="109"/>
      <c r="W11" s="136">
        <f>SUM(W12,W15,W21,W28)</f>
        <v>50347000</v>
      </c>
      <c r="X11" s="135" t="s">
        <v>146</v>
      </c>
      <c r="Y11" s="32"/>
    </row>
    <row r="12" spans="1:25" s="38" customFormat="1" ht="19.5" customHeight="1" x14ac:dyDescent="0.15">
      <c r="A12" s="106" t="s">
        <v>224</v>
      </c>
      <c r="B12" s="58" t="s">
        <v>149</v>
      </c>
      <c r="C12" s="80" t="s">
        <v>142</v>
      </c>
      <c r="D12" s="79">
        <f>V12/1000</f>
        <v>0</v>
      </c>
      <c r="E12" s="79">
        <f>W12/1000</f>
        <v>0</v>
      </c>
      <c r="F12" s="78">
        <f>E12-D12</f>
        <v>0</v>
      </c>
      <c r="G12" s="77">
        <f>IF(D12=0,0,F12/D12)</f>
        <v>0</v>
      </c>
      <c r="H12" s="76" t="s">
        <v>192</v>
      </c>
      <c r="I12" s="75"/>
      <c r="J12" s="74"/>
      <c r="K12" s="74"/>
      <c r="L12" s="74"/>
      <c r="M12" s="74"/>
      <c r="N12" s="74"/>
      <c r="O12" s="73"/>
      <c r="P12" s="73"/>
      <c r="Q12" s="73"/>
      <c r="R12" s="73"/>
      <c r="S12" s="73"/>
      <c r="T12" s="73"/>
      <c r="U12" s="72" t="s">
        <v>227</v>
      </c>
      <c r="V12" s="71"/>
      <c r="W12" s="104">
        <v>0</v>
      </c>
      <c r="X12" s="70" t="s">
        <v>146</v>
      </c>
      <c r="Y12" s="32"/>
    </row>
    <row r="13" spans="1:25" s="38" customFormat="1" ht="19.5" customHeight="1" x14ac:dyDescent="0.15">
      <c r="A13" s="106"/>
      <c r="B13" s="58"/>
      <c r="C13" s="58" t="s">
        <v>156</v>
      </c>
      <c r="D13" s="219"/>
      <c r="E13" s="219"/>
      <c r="F13" s="218"/>
      <c r="G13" s="217"/>
      <c r="H13" s="216"/>
      <c r="I13" s="215"/>
      <c r="J13" s="214"/>
      <c r="K13" s="214"/>
      <c r="L13" s="214"/>
      <c r="M13" s="214"/>
      <c r="N13" s="214"/>
      <c r="O13" s="213"/>
      <c r="P13" s="213"/>
      <c r="Q13" s="213"/>
      <c r="R13" s="213"/>
      <c r="S13" s="213"/>
      <c r="T13" s="213"/>
      <c r="U13" s="212"/>
      <c r="V13" s="211"/>
      <c r="W13" s="211"/>
      <c r="X13" s="210"/>
      <c r="Y13" s="32"/>
    </row>
    <row r="14" spans="1:25" s="38" customFormat="1" ht="19.5" customHeight="1" x14ac:dyDescent="0.15">
      <c r="A14" s="60"/>
      <c r="B14" s="58"/>
      <c r="C14" s="58"/>
      <c r="D14" s="126"/>
      <c r="E14" s="126"/>
      <c r="F14" s="125"/>
      <c r="G14" s="124"/>
      <c r="H14" s="209"/>
      <c r="I14" s="199"/>
      <c r="J14" s="208"/>
      <c r="K14" s="208"/>
      <c r="L14" s="206"/>
      <c r="M14" s="206"/>
      <c r="N14" s="207"/>
      <c r="O14" s="206"/>
      <c r="P14" s="205"/>
      <c r="Q14" s="204"/>
      <c r="R14" s="203"/>
      <c r="S14" s="202"/>
      <c r="T14" s="202"/>
      <c r="U14" s="201"/>
      <c r="V14" s="200"/>
      <c r="W14" s="199"/>
      <c r="X14" s="198"/>
      <c r="Y14" s="32"/>
    </row>
    <row r="15" spans="1:25" s="38" customFormat="1" ht="19.5" customHeight="1" x14ac:dyDescent="0.15">
      <c r="A15" s="60"/>
      <c r="B15" s="58"/>
      <c r="C15" s="80" t="s">
        <v>116</v>
      </c>
      <c r="D15" s="79">
        <v>7680</v>
      </c>
      <c r="E15" s="79">
        <f>SUM(E16)</f>
        <v>5034.7</v>
      </c>
      <c r="F15" s="78">
        <f>E15-D15</f>
        <v>-2645.3</v>
      </c>
      <c r="G15" s="77">
        <f>IF(D15=0,0,F15/D15)</f>
        <v>-0.34444010416666671</v>
      </c>
      <c r="H15" s="76" t="s">
        <v>171</v>
      </c>
      <c r="I15" s="75"/>
      <c r="J15" s="74"/>
      <c r="K15" s="74"/>
      <c r="L15" s="74"/>
      <c r="M15" s="74"/>
      <c r="N15" s="74"/>
      <c r="O15" s="73"/>
      <c r="P15" s="73"/>
      <c r="Q15" s="73"/>
      <c r="R15" s="73"/>
      <c r="S15" s="73"/>
      <c r="T15" s="73"/>
      <c r="U15" s="72" t="s">
        <v>227</v>
      </c>
      <c r="V15" s="71"/>
      <c r="W15" s="71">
        <f>W16</f>
        <v>5034700</v>
      </c>
      <c r="X15" s="70" t="s">
        <v>146</v>
      </c>
      <c r="Y15" s="32"/>
    </row>
    <row r="16" spans="1:25" s="38" customFormat="1" ht="19.5" customHeight="1" x14ac:dyDescent="0.15">
      <c r="A16" s="60"/>
      <c r="B16" s="58"/>
      <c r="C16" s="58" t="s">
        <v>156</v>
      </c>
      <c r="D16" s="131">
        <v>7680</v>
      </c>
      <c r="E16" s="472">
        <f>W16/1000</f>
        <v>5034.7</v>
      </c>
      <c r="F16" s="69">
        <f>E16-D16</f>
        <v>-2645.3</v>
      </c>
      <c r="G16" s="165">
        <f>IF(D16=0,0,F16/D16)</f>
        <v>-0.34444010416666671</v>
      </c>
      <c r="H16" s="197" t="s">
        <v>219</v>
      </c>
      <c r="I16" s="196"/>
      <c r="J16" s="195"/>
      <c r="K16" s="195"/>
      <c r="L16" s="91"/>
      <c r="M16" s="91"/>
      <c r="N16" s="194"/>
      <c r="O16" s="91"/>
      <c r="P16" s="193"/>
      <c r="Q16" s="192"/>
      <c r="R16" s="191"/>
      <c r="S16" s="190"/>
      <c r="T16" s="190"/>
      <c r="U16" s="189" t="s">
        <v>141</v>
      </c>
      <c r="V16" s="188"/>
      <c r="W16" s="188">
        <f>SUM(V17:W19)</f>
        <v>5034700</v>
      </c>
      <c r="X16" s="187" t="s">
        <v>146</v>
      </c>
      <c r="Y16" s="32"/>
    </row>
    <row r="17" spans="1:25" s="38" customFormat="1" ht="19.5" customHeight="1" x14ac:dyDescent="0.15">
      <c r="A17" s="60"/>
      <c r="B17" s="58"/>
      <c r="C17" s="58"/>
      <c r="D17" s="57"/>
      <c r="E17" s="57"/>
      <c r="F17" s="56"/>
      <c r="G17" s="82"/>
      <c r="H17" s="186" t="s">
        <v>57</v>
      </c>
      <c r="I17" s="153"/>
      <c r="J17" s="185"/>
      <c r="K17" s="185"/>
      <c r="L17" s="184"/>
      <c r="M17" s="184"/>
      <c r="N17" s="183"/>
      <c r="O17" s="182"/>
      <c r="P17" s="181"/>
      <c r="Q17" s="180"/>
      <c r="R17" s="179"/>
      <c r="S17" s="87"/>
      <c r="T17" s="178"/>
      <c r="U17" s="534"/>
      <c r="V17" s="534"/>
      <c r="W17" s="61">
        <v>3888300</v>
      </c>
      <c r="X17" s="177" t="s">
        <v>146</v>
      </c>
      <c r="Y17" s="176"/>
    </row>
    <row r="18" spans="1:25" s="38" customFormat="1" ht="19.5" customHeight="1" x14ac:dyDescent="0.15">
      <c r="A18" s="60"/>
      <c r="B18" s="58"/>
      <c r="C18" s="58"/>
      <c r="D18" s="57"/>
      <c r="E18" s="57"/>
      <c r="F18" s="56"/>
      <c r="G18" s="82"/>
      <c r="H18" s="51" t="s">
        <v>95</v>
      </c>
      <c r="I18" s="62"/>
      <c r="J18" s="174"/>
      <c r="K18" s="174"/>
      <c r="L18" s="50">
        <v>236600</v>
      </c>
      <c r="M18" s="50" t="s">
        <v>146</v>
      </c>
      <c r="N18" s="173" t="s">
        <v>128</v>
      </c>
      <c r="O18" s="172">
        <v>4</v>
      </c>
      <c r="P18" s="171" t="s">
        <v>101</v>
      </c>
      <c r="Q18" s="170"/>
      <c r="R18" s="169"/>
      <c r="S18" s="168"/>
      <c r="T18" s="167" t="s">
        <v>127</v>
      </c>
      <c r="U18" s="175"/>
      <c r="V18" s="163"/>
      <c r="W18" s="61">
        <v>946400</v>
      </c>
      <c r="X18" s="145" t="s">
        <v>146</v>
      </c>
      <c r="Y18" s="32"/>
    </row>
    <row r="19" spans="1:25" s="38" customFormat="1" ht="19.5" customHeight="1" x14ac:dyDescent="0.15">
      <c r="A19" s="60"/>
      <c r="B19" s="58"/>
      <c r="C19" s="58"/>
      <c r="D19" s="57"/>
      <c r="E19" s="57"/>
      <c r="F19" s="56"/>
      <c r="G19" s="82"/>
      <c r="H19" s="164" t="s">
        <v>193</v>
      </c>
      <c r="I19" s="62"/>
      <c r="J19" s="174"/>
      <c r="K19" s="174"/>
      <c r="L19" s="50"/>
      <c r="M19" s="50"/>
      <c r="N19" s="173"/>
      <c r="O19" s="172"/>
      <c r="P19" s="171"/>
      <c r="Q19" s="170"/>
      <c r="R19" s="169"/>
      <c r="S19" s="168"/>
      <c r="T19" s="167"/>
      <c r="U19" s="534"/>
      <c r="V19" s="534"/>
      <c r="W19" s="61">
        <v>200000</v>
      </c>
      <c r="X19" s="49" t="s">
        <v>146</v>
      </c>
      <c r="Y19" s="32"/>
    </row>
    <row r="20" spans="1:25" s="38" customFormat="1" ht="19.5" customHeight="1" x14ac:dyDescent="0.15">
      <c r="A20" s="60"/>
      <c r="B20" s="166"/>
      <c r="C20" s="156"/>
      <c r="D20" s="126"/>
      <c r="E20" s="126"/>
      <c r="F20" s="125"/>
      <c r="G20" s="124"/>
      <c r="H20" s="122"/>
      <c r="I20" s="120"/>
      <c r="J20" s="154"/>
      <c r="K20" s="154"/>
      <c r="L20" s="120"/>
      <c r="M20" s="120"/>
      <c r="N20" s="122"/>
      <c r="O20" s="120"/>
      <c r="P20" s="120"/>
      <c r="Q20" s="122"/>
      <c r="R20" s="122"/>
      <c r="S20" s="122"/>
      <c r="T20" s="122"/>
      <c r="U20" s="122"/>
      <c r="V20" s="122"/>
      <c r="W20" s="120"/>
      <c r="X20" s="118"/>
      <c r="Y20" s="32"/>
    </row>
    <row r="21" spans="1:25" s="38" customFormat="1" ht="19.5" customHeight="1" x14ac:dyDescent="0.15">
      <c r="A21" s="106"/>
      <c r="B21" s="58"/>
      <c r="C21" s="58" t="s">
        <v>107</v>
      </c>
      <c r="D21" s="79">
        <v>69113</v>
      </c>
      <c r="E21" s="79">
        <f>SUM(E22)</f>
        <v>45312.3</v>
      </c>
      <c r="F21" s="78">
        <f>E21-D21</f>
        <v>-23800.699999999997</v>
      </c>
      <c r="G21" s="77">
        <f>IF(D21=0,0,F21/D21)</f>
        <v>-0.34437370682794838</v>
      </c>
      <c r="H21" s="76" t="s">
        <v>172</v>
      </c>
      <c r="I21" s="75"/>
      <c r="J21" s="74"/>
      <c r="K21" s="74"/>
      <c r="L21" s="74"/>
      <c r="M21" s="74"/>
      <c r="N21" s="74"/>
      <c r="O21" s="73"/>
      <c r="P21" s="73"/>
      <c r="Q21" s="73"/>
      <c r="R21" s="73"/>
      <c r="S21" s="73"/>
      <c r="T21" s="73"/>
      <c r="U21" s="72" t="s">
        <v>227</v>
      </c>
      <c r="V21" s="71"/>
      <c r="W21" s="104">
        <f>W22</f>
        <v>45312300</v>
      </c>
      <c r="X21" s="70" t="s">
        <v>146</v>
      </c>
      <c r="Y21" s="32"/>
    </row>
    <row r="22" spans="1:25" s="381" customFormat="1" ht="19.5" customHeight="1" x14ac:dyDescent="0.15">
      <c r="A22" s="106"/>
      <c r="B22" s="58"/>
      <c r="C22" s="58"/>
      <c r="D22" s="57">
        <v>69113</v>
      </c>
      <c r="E22" s="57">
        <f>W22/1000</f>
        <v>45312.3</v>
      </c>
      <c r="F22" s="152">
        <f>E22-D22</f>
        <v>-23800.699999999997</v>
      </c>
      <c r="G22" s="438">
        <f>IF(D22=0,0,F22/D22)</f>
        <v>-0.34437370682794838</v>
      </c>
      <c r="H22" s="197" t="s">
        <v>219</v>
      </c>
      <c r="I22" s="196"/>
      <c r="J22" s="195"/>
      <c r="K22" s="195"/>
      <c r="L22" s="397"/>
      <c r="M22" s="397"/>
      <c r="N22" s="194"/>
      <c r="O22" s="397"/>
      <c r="P22" s="193"/>
      <c r="Q22" s="192"/>
      <c r="R22" s="191"/>
      <c r="S22" s="190"/>
      <c r="T22" s="190"/>
      <c r="U22" s="189" t="s">
        <v>141</v>
      </c>
      <c r="V22" s="188"/>
      <c r="W22" s="188">
        <f>SUM(V23:W25)</f>
        <v>45312300</v>
      </c>
      <c r="X22" s="187" t="s">
        <v>146</v>
      </c>
      <c r="Y22" s="160"/>
    </row>
    <row r="23" spans="1:25" ht="21" customHeight="1" x14ac:dyDescent="0.15">
      <c r="A23" s="106"/>
      <c r="B23" s="58"/>
      <c r="C23" s="58"/>
      <c r="D23" s="57"/>
      <c r="E23" s="57"/>
      <c r="F23" s="150"/>
      <c r="G23" s="149"/>
      <c r="H23" s="164" t="s">
        <v>57</v>
      </c>
      <c r="I23" s="163"/>
      <c r="J23" s="50"/>
      <c r="K23" s="50"/>
      <c r="L23" s="148"/>
      <c r="M23" s="146"/>
      <c r="N23" s="146"/>
      <c r="O23" s="162"/>
      <c r="P23" s="161"/>
      <c r="Q23" s="146"/>
      <c r="R23" s="147"/>
      <c r="S23" s="146"/>
      <c r="T23" s="146"/>
      <c r="U23" s="50"/>
      <c r="V23" s="61"/>
      <c r="W23" s="50">
        <v>34994700</v>
      </c>
      <c r="X23" s="145" t="s">
        <v>146</v>
      </c>
      <c r="Y23" s="160"/>
    </row>
    <row r="24" spans="1:25" s="380" customFormat="1" ht="21" customHeight="1" x14ac:dyDescent="0.15">
      <c r="A24" s="106"/>
      <c r="B24" s="58"/>
      <c r="C24" s="58"/>
      <c r="D24" s="57"/>
      <c r="E24" s="57"/>
      <c r="F24" s="150"/>
      <c r="G24" s="149"/>
      <c r="H24" s="164" t="s">
        <v>95</v>
      </c>
      <c r="I24" s="419"/>
      <c r="J24" s="382"/>
      <c r="K24" s="382"/>
      <c r="L24" s="382">
        <v>2129400</v>
      </c>
      <c r="M24" s="382" t="s">
        <v>146</v>
      </c>
      <c r="N24" s="183" t="s">
        <v>128</v>
      </c>
      <c r="O24" s="182">
        <v>4</v>
      </c>
      <c r="P24" s="181" t="s">
        <v>101</v>
      </c>
      <c r="Q24" s="180"/>
      <c r="R24" s="179"/>
      <c r="S24" s="469"/>
      <c r="T24" s="481" t="s">
        <v>127</v>
      </c>
      <c r="U24" s="382"/>
      <c r="V24" s="153"/>
      <c r="W24" s="382">
        <v>8517600</v>
      </c>
      <c r="X24" s="177" t="s">
        <v>146</v>
      </c>
      <c r="Y24" s="160"/>
    </row>
    <row r="25" spans="1:25" s="380" customFormat="1" ht="21" customHeight="1" x14ac:dyDescent="0.15">
      <c r="A25" s="106"/>
      <c r="B25" s="58"/>
      <c r="C25" s="58"/>
      <c r="D25" s="57"/>
      <c r="E25" s="57"/>
      <c r="F25" s="150"/>
      <c r="G25" s="149"/>
      <c r="H25" s="164" t="s">
        <v>193</v>
      </c>
      <c r="I25" s="419"/>
      <c r="J25" s="382"/>
      <c r="K25" s="382"/>
      <c r="L25" s="148"/>
      <c r="M25" s="414"/>
      <c r="N25" s="414"/>
      <c r="O25" s="162"/>
      <c r="P25" s="161"/>
      <c r="Q25" s="414"/>
      <c r="R25" s="147"/>
      <c r="S25" s="414"/>
      <c r="T25" s="414"/>
      <c r="U25" s="382"/>
      <c r="V25" s="153"/>
      <c r="W25" s="382">
        <v>1800000</v>
      </c>
      <c r="X25" s="177" t="s">
        <v>146</v>
      </c>
      <c r="Y25" s="160"/>
    </row>
    <row r="26" spans="1:25" s="380" customFormat="1" ht="21" customHeight="1" x14ac:dyDescent="0.15">
      <c r="A26" s="106"/>
      <c r="B26" s="58"/>
      <c r="C26" s="58"/>
      <c r="D26" s="57"/>
      <c r="E26" s="57"/>
      <c r="F26" s="150"/>
      <c r="G26" s="149"/>
      <c r="H26" s="164" t="s">
        <v>2</v>
      </c>
      <c r="I26" s="419"/>
      <c r="J26" s="382"/>
      <c r="K26" s="382"/>
      <c r="L26" s="148"/>
      <c r="M26" s="414"/>
      <c r="N26" s="414"/>
      <c r="O26" s="162"/>
      <c r="P26" s="161"/>
      <c r="Q26" s="414"/>
      <c r="R26" s="147"/>
      <c r="S26" s="414"/>
      <c r="T26" s="414"/>
      <c r="U26" s="382"/>
      <c r="V26" s="153"/>
      <c r="W26" s="382">
        <v>0</v>
      </c>
      <c r="X26" s="177" t="s">
        <v>146</v>
      </c>
      <c r="Y26" s="160"/>
    </row>
    <row r="27" spans="1:25" ht="21" customHeight="1" x14ac:dyDescent="0.15">
      <c r="A27" s="106"/>
      <c r="B27" s="58"/>
      <c r="C27" s="58"/>
      <c r="D27" s="57"/>
      <c r="E27" s="57"/>
      <c r="F27" s="56"/>
      <c r="G27" s="82"/>
      <c r="H27" s="54"/>
      <c r="I27" s="51"/>
      <c r="J27" s="53"/>
      <c r="K27" s="53"/>
      <c r="L27" s="53"/>
      <c r="M27" s="81"/>
      <c r="N27" s="89"/>
      <c r="O27" s="159"/>
      <c r="P27" s="89"/>
      <c r="Q27" s="89"/>
      <c r="R27" s="158"/>
      <c r="S27" s="87"/>
      <c r="T27" s="52"/>
      <c r="U27" s="53"/>
      <c r="V27" s="62"/>
      <c r="W27" s="62"/>
      <c r="X27" s="49"/>
    </row>
    <row r="28" spans="1:25" ht="21" customHeight="1" x14ac:dyDescent="0.15">
      <c r="A28" s="106"/>
      <c r="B28" s="58"/>
      <c r="C28" s="80" t="s">
        <v>139</v>
      </c>
      <c r="D28" s="79">
        <f>D29</f>
        <v>0</v>
      </c>
      <c r="E28" s="79">
        <f>E29</f>
        <v>0</v>
      </c>
      <c r="F28" s="78">
        <f>E28-D28</f>
        <v>0</v>
      </c>
      <c r="G28" s="77">
        <f>IF(D28=0,0,F28/D28)</f>
        <v>0</v>
      </c>
      <c r="H28" s="76" t="s">
        <v>180</v>
      </c>
      <c r="I28" s="75"/>
      <c r="J28" s="74"/>
      <c r="K28" s="74"/>
      <c r="L28" s="74"/>
      <c r="M28" s="74"/>
      <c r="N28" s="74"/>
      <c r="O28" s="73"/>
      <c r="P28" s="73"/>
      <c r="Q28" s="73"/>
      <c r="R28" s="73"/>
      <c r="S28" s="73"/>
      <c r="T28" s="73"/>
      <c r="U28" s="72" t="s">
        <v>227</v>
      </c>
      <c r="V28" s="71"/>
      <c r="W28" s="71">
        <f>SUM(W29:W29)</f>
        <v>0</v>
      </c>
      <c r="X28" s="70" t="s">
        <v>146</v>
      </c>
    </row>
    <row r="29" spans="1:25" ht="21" customHeight="1" x14ac:dyDescent="0.15">
      <c r="A29" s="106"/>
      <c r="B29" s="58"/>
      <c r="C29" s="58" t="s">
        <v>156</v>
      </c>
      <c r="D29" s="57">
        <f>V29/1000</f>
        <v>0</v>
      </c>
      <c r="E29" s="57">
        <f>W29/1000</f>
        <v>0</v>
      </c>
      <c r="F29" s="152">
        <f>E29-D29</f>
        <v>0</v>
      </c>
      <c r="G29" s="151">
        <f>IF(D29=0,0,F29/D29)</f>
        <v>0</v>
      </c>
      <c r="H29" s="54"/>
      <c r="I29" s="51"/>
      <c r="J29" s="53"/>
      <c r="K29" s="53"/>
      <c r="L29" s="53"/>
      <c r="M29" s="53"/>
      <c r="N29" s="51"/>
      <c r="O29" s="53"/>
      <c r="P29" s="53"/>
      <c r="Q29" s="51"/>
      <c r="R29" s="53"/>
      <c r="S29" s="53"/>
      <c r="T29" s="53"/>
      <c r="U29" s="53"/>
      <c r="V29" s="62"/>
      <c r="W29" s="62"/>
      <c r="X29" s="49"/>
    </row>
    <row r="30" spans="1:25" ht="21" customHeight="1" x14ac:dyDescent="0.15">
      <c r="A30" s="157"/>
      <c r="B30" s="156"/>
      <c r="C30" s="156"/>
      <c r="D30" s="126"/>
      <c r="E30" s="126"/>
      <c r="F30" s="125"/>
      <c r="G30" s="124"/>
      <c r="H30" s="123"/>
      <c r="I30" s="120"/>
      <c r="J30" s="154"/>
      <c r="K30" s="154"/>
      <c r="L30" s="155"/>
      <c r="M30" s="120"/>
      <c r="N30" s="154"/>
      <c r="O30" s="120"/>
      <c r="P30" s="120"/>
      <c r="Q30" s="120"/>
      <c r="R30" s="120"/>
      <c r="S30" s="120"/>
      <c r="T30" s="120"/>
      <c r="U30" s="120"/>
      <c r="V30" s="120"/>
      <c r="W30" s="120"/>
      <c r="X30" s="118"/>
    </row>
    <row r="31" spans="1:25" s="38" customFormat="1" ht="19.5" customHeight="1" x14ac:dyDescent="0.15">
      <c r="A31" s="137" t="s">
        <v>126</v>
      </c>
      <c r="B31" s="80" t="s">
        <v>126</v>
      </c>
      <c r="C31" s="116" t="s">
        <v>214</v>
      </c>
      <c r="D31" s="115">
        <v>600</v>
      </c>
      <c r="E31" s="115">
        <f>SUM(E32,E37)</f>
        <v>1000</v>
      </c>
      <c r="F31" s="114">
        <f>E31-D31</f>
        <v>400</v>
      </c>
      <c r="G31" s="113">
        <f>IF(D31=0,0,F31/D31)</f>
        <v>0.66666666666666663</v>
      </c>
      <c r="H31" s="112" t="s">
        <v>223</v>
      </c>
      <c r="I31" s="110"/>
      <c r="J31" s="111"/>
      <c r="K31" s="111"/>
      <c r="L31" s="110"/>
      <c r="M31" s="110"/>
      <c r="N31" s="110"/>
      <c r="O31" s="110"/>
      <c r="P31" s="110" t="s">
        <v>222</v>
      </c>
      <c r="Q31" s="109"/>
      <c r="R31" s="109"/>
      <c r="S31" s="109"/>
      <c r="T31" s="109"/>
      <c r="U31" s="109"/>
      <c r="V31" s="109"/>
      <c r="W31" s="136">
        <f>W32+W37</f>
        <v>1000000</v>
      </c>
      <c r="X31" s="135" t="s">
        <v>146</v>
      </c>
      <c r="Y31" s="32"/>
    </row>
    <row r="32" spans="1:25" ht="21" customHeight="1" x14ac:dyDescent="0.15">
      <c r="A32" s="106" t="s">
        <v>149</v>
      </c>
      <c r="B32" s="58" t="s">
        <v>149</v>
      </c>
      <c r="C32" s="80" t="s">
        <v>96</v>
      </c>
      <c r="D32" s="79">
        <v>0</v>
      </c>
      <c r="E32" s="79">
        <f>E33</f>
        <v>0</v>
      </c>
      <c r="F32" s="78">
        <f>E32-D32</f>
        <v>0</v>
      </c>
      <c r="G32" s="68">
        <f>IF(D32=0,0,F32/D32)</f>
        <v>0</v>
      </c>
      <c r="H32" s="76" t="s">
        <v>198</v>
      </c>
      <c r="I32" s="75"/>
      <c r="J32" s="74"/>
      <c r="K32" s="74"/>
      <c r="L32" s="74"/>
      <c r="M32" s="74"/>
      <c r="N32" s="74"/>
      <c r="O32" s="73"/>
      <c r="P32" s="73"/>
      <c r="Q32" s="73"/>
      <c r="R32" s="73"/>
      <c r="S32" s="73"/>
      <c r="T32" s="73"/>
      <c r="U32" s="72" t="s">
        <v>227</v>
      </c>
      <c r="V32" s="71"/>
      <c r="W32" s="104">
        <f>SUM(W33,W35)</f>
        <v>0</v>
      </c>
      <c r="X32" s="70" t="s">
        <v>146</v>
      </c>
    </row>
    <row r="33" spans="1:25" ht="21" customHeight="1" x14ac:dyDescent="0.15">
      <c r="A33" s="106"/>
      <c r="B33" s="58"/>
      <c r="C33" s="58" t="s">
        <v>126</v>
      </c>
      <c r="D33" s="57">
        <v>0</v>
      </c>
      <c r="E33" s="57">
        <f>W33/1000</f>
        <v>0</v>
      </c>
      <c r="F33" s="152">
        <f>E33-D33</f>
        <v>0</v>
      </c>
      <c r="G33" s="68">
        <f>IF(D33=0,0,F33/D33)</f>
        <v>0</v>
      </c>
      <c r="H33" s="93" t="s">
        <v>216</v>
      </c>
      <c r="I33" s="92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533" t="s">
        <v>227</v>
      </c>
      <c r="V33" s="533"/>
      <c r="W33" s="64">
        <f>SUM(W34:W34)</f>
        <v>0</v>
      </c>
      <c r="X33" s="63" t="s">
        <v>146</v>
      </c>
    </row>
    <row r="34" spans="1:25" ht="21.75" customHeight="1" x14ac:dyDescent="0.15">
      <c r="A34" s="106"/>
      <c r="B34" s="58"/>
      <c r="C34" s="58"/>
      <c r="D34" s="126"/>
      <c r="E34" s="126"/>
      <c r="F34" s="56"/>
      <c r="G34" s="55"/>
      <c r="H34" s="54"/>
      <c r="I34" s="51"/>
      <c r="J34" s="53"/>
      <c r="K34" s="53"/>
      <c r="L34" s="53"/>
      <c r="M34" s="52"/>
      <c r="N34" s="89"/>
      <c r="O34" s="90"/>
      <c r="P34" s="89"/>
      <c r="Q34" s="88"/>
      <c r="R34" s="87"/>
      <c r="S34" s="87"/>
      <c r="T34" s="52"/>
      <c r="U34" s="53"/>
      <c r="V34" s="62"/>
      <c r="W34" s="153"/>
      <c r="X34" s="49"/>
    </row>
    <row r="35" spans="1:25" ht="18" customHeight="1" x14ac:dyDescent="0.15">
      <c r="A35" s="106"/>
      <c r="B35" s="58"/>
      <c r="C35" s="58"/>
      <c r="D35" s="57">
        <f>V35/1000</f>
        <v>0</v>
      </c>
      <c r="E35" s="57">
        <f>W35/1000</f>
        <v>0</v>
      </c>
      <c r="F35" s="69">
        <f>E35-D35</f>
        <v>0</v>
      </c>
      <c r="G35" s="68">
        <f>IF(D35=0,0,F35/D35)</f>
        <v>0</v>
      </c>
      <c r="H35" s="93" t="s">
        <v>317</v>
      </c>
      <c r="I35" s="92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533" t="s">
        <v>227</v>
      </c>
      <c r="V35" s="533"/>
      <c r="W35" s="64">
        <f>W36</f>
        <v>0</v>
      </c>
      <c r="X35" s="63" t="s">
        <v>146</v>
      </c>
    </row>
    <row r="36" spans="1:25" ht="18" customHeight="1" x14ac:dyDescent="0.15">
      <c r="A36" s="106"/>
      <c r="B36" s="58"/>
      <c r="C36" s="127"/>
      <c r="D36" s="126"/>
      <c r="E36" s="126"/>
      <c r="F36" s="125"/>
      <c r="G36" s="133"/>
      <c r="H36" s="54"/>
      <c r="I36" s="51"/>
      <c r="J36" s="53"/>
      <c r="K36" s="53"/>
      <c r="L36" s="53"/>
      <c r="M36" s="52"/>
      <c r="N36" s="89"/>
      <c r="O36" s="90"/>
      <c r="P36" s="89"/>
      <c r="Q36" s="88"/>
      <c r="R36" s="87"/>
      <c r="S36" s="87"/>
      <c r="T36" s="52"/>
      <c r="U36" s="53"/>
      <c r="V36" s="62"/>
      <c r="W36" s="62"/>
      <c r="X36" s="49"/>
    </row>
    <row r="37" spans="1:25" ht="18" customHeight="1" x14ac:dyDescent="0.15">
      <c r="A37" s="106"/>
      <c r="B37" s="58"/>
      <c r="C37" s="58" t="s">
        <v>117</v>
      </c>
      <c r="D37" s="79">
        <v>600</v>
      </c>
      <c r="E37" s="79">
        <f>E38</f>
        <v>1000</v>
      </c>
      <c r="F37" s="78">
        <f>E37-D37</f>
        <v>400</v>
      </c>
      <c r="G37" s="77">
        <f>IF(D37=0,0,F37/D37)</f>
        <v>0.66666666666666663</v>
      </c>
      <c r="H37" s="76" t="s">
        <v>177</v>
      </c>
      <c r="I37" s="75"/>
      <c r="J37" s="74"/>
      <c r="K37" s="74"/>
      <c r="L37" s="74"/>
      <c r="M37" s="74"/>
      <c r="N37" s="74"/>
      <c r="O37" s="73"/>
      <c r="P37" s="73"/>
      <c r="Q37" s="73"/>
      <c r="R37" s="73"/>
      <c r="S37" s="73"/>
      <c r="T37" s="73"/>
      <c r="U37" s="72" t="s">
        <v>227</v>
      </c>
      <c r="V37" s="71"/>
      <c r="W37" s="71">
        <f>W38</f>
        <v>1000000</v>
      </c>
      <c r="X37" s="70" t="s">
        <v>146</v>
      </c>
    </row>
    <row r="38" spans="1:25" ht="25.5" customHeight="1" x14ac:dyDescent="0.15">
      <c r="A38" s="106"/>
      <c r="B38" s="58"/>
      <c r="C38" s="58" t="s">
        <v>126</v>
      </c>
      <c r="D38" s="57">
        <v>600</v>
      </c>
      <c r="E38" s="57">
        <f>W38/1000</f>
        <v>1000</v>
      </c>
      <c r="F38" s="152">
        <f>E38-D38</f>
        <v>400</v>
      </c>
      <c r="G38" s="151">
        <f>IF(D38=0,0,F38/D38)</f>
        <v>0.66666666666666663</v>
      </c>
      <c r="H38" s="93" t="s">
        <v>94</v>
      </c>
      <c r="I38" s="92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533" t="s">
        <v>227</v>
      </c>
      <c r="V38" s="533"/>
      <c r="W38" s="64">
        <f>SUM(W39:W39)</f>
        <v>1000000</v>
      </c>
      <c r="X38" s="63" t="s">
        <v>146</v>
      </c>
    </row>
    <row r="39" spans="1:25" ht="21" customHeight="1" x14ac:dyDescent="0.15">
      <c r="A39" s="106"/>
      <c r="B39" s="58"/>
      <c r="C39" s="58"/>
      <c r="D39" s="57"/>
      <c r="E39" s="57"/>
      <c r="F39" s="150"/>
      <c r="G39" s="149"/>
      <c r="H39" s="54" t="s">
        <v>84</v>
      </c>
      <c r="I39" s="51"/>
      <c r="J39" s="53"/>
      <c r="K39" s="53"/>
      <c r="L39" s="148">
        <v>100000</v>
      </c>
      <c r="M39" s="146" t="s">
        <v>146</v>
      </c>
      <c r="N39" s="146" t="s">
        <v>128</v>
      </c>
      <c r="O39" s="53">
        <v>10</v>
      </c>
      <c r="P39" s="53" t="s">
        <v>108</v>
      </c>
      <c r="Q39" s="146"/>
      <c r="R39" s="147"/>
      <c r="S39" s="146"/>
      <c r="T39" s="146" t="s">
        <v>127</v>
      </c>
      <c r="U39" s="50"/>
      <c r="V39" s="61"/>
      <c r="W39" s="50">
        <f>L39*O39</f>
        <v>1000000</v>
      </c>
      <c r="X39" s="145" t="s">
        <v>146</v>
      </c>
    </row>
    <row r="40" spans="1:25" ht="21" customHeight="1" x14ac:dyDescent="0.15">
      <c r="A40" s="128"/>
      <c r="B40" s="127"/>
      <c r="C40" s="127"/>
      <c r="D40" s="126"/>
      <c r="E40" s="126"/>
      <c r="F40" s="125"/>
      <c r="G40" s="133"/>
      <c r="H40" s="123"/>
      <c r="I40" s="122"/>
      <c r="J40" s="120"/>
      <c r="K40" s="120"/>
      <c r="L40" s="120"/>
      <c r="M40" s="132"/>
      <c r="N40" s="143"/>
      <c r="O40" s="144"/>
      <c r="P40" s="143"/>
      <c r="Q40" s="142"/>
      <c r="R40" s="141"/>
      <c r="S40" s="141"/>
      <c r="T40" s="132"/>
      <c r="U40" s="120"/>
      <c r="V40" s="119"/>
      <c r="W40" s="119"/>
      <c r="X40" s="118"/>
    </row>
    <row r="41" spans="1:25" ht="21" customHeight="1" x14ac:dyDescent="0.15">
      <c r="A41" s="137" t="s">
        <v>125</v>
      </c>
      <c r="B41" s="80" t="s">
        <v>125</v>
      </c>
      <c r="C41" s="116" t="s">
        <v>214</v>
      </c>
      <c r="D41" s="115">
        <f>SUM(D42,D45)</f>
        <v>0</v>
      </c>
      <c r="E41" s="115">
        <f>SUM(E42,E45)</f>
        <v>1588</v>
      </c>
      <c r="F41" s="114">
        <f>E41-D41</f>
        <v>1588</v>
      </c>
      <c r="G41" s="113">
        <f>IF(D41=0,0,F41/D41)</f>
        <v>0</v>
      </c>
      <c r="H41" s="112" t="s">
        <v>256</v>
      </c>
      <c r="I41" s="110"/>
      <c r="J41" s="111"/>
      <c r="K41" s="111"/>
      <c r="L41" s="110"/>
      <c r="M41" s="110"/>
      <c r="N41" s="110"/>
      <c r="O41" s="110"/>
      <c r="P41" s="110" t="s">
        <v>222</v>
      </c>
      <c r="Q41" s="109"/>
      <c r="R41" s="109"/>
      <c r="S41" s="109"/>
      <c r="T41" s="109"/>
      <c r="U41" s="109"/>
      <c r="V41" s="109"/>
      <c r="W41" s="136">
        <f>W43+W45</f>
        <v>1588000</v>
      </c>
      <c r="X41" s="135" t="s">
        <v>146</v>
      </c>
    </row>
    <row r="42" spans="1:25" ht="21" customHeight="1" x14ac:dyDescent="0.15">
      <c r="A42" s="106"/>
      <c r="B42" s="58"/>
      <c r="C42" s="80" t="s">
        <v>295</v>
      </c>
      <c r="D42" s="79">
        <f>D43</f>
        <v>0</v>
      </c>
      <c r="E42" s="79">
        <f>E43</f>
        <v>0</v>
      </c>
      <c r="F42" s="78">
        <f>E42-D42</f>
        <v>0</v>
      </c>
      <c r="G42" s="77">
        <f>IF(D42=0,0,F42/D42)</f>
        <v>0</v>
      </c>
      <c r="H42" s="76" t="s">
        <v>72</v>
      </c>
      <c r="I42" s="75"/>
      <c r="J42" s="74"/>
      <c r="K42" s="74"/>
      <c r="L42" s="74"/>
      <c r="M42" s="74"/>
      <c r="N42" s="74"/>
      <c r="O42" s="73"/>
      <c r="P42" s="73"/>
      <c r="Q42" s="73"/>
      <c r="R42" s="73"/>
      <c r="S42" s="73"/>
      <c r="T42" s="73"/>
      <c r="U42" s="72" t="s">
        <v>227</v>
      </c>
      <c r="V42" s="71"/>
      <c r="W42" s="104">
        <f>SUM(W43:W43)</f>
        <v>0</v>
      </c>
      <c r="X42" s="70" t="s">
        <v>146</v>
      </c>
      <c r="Y42" s="139"/>
    </row>
    <row r="43" spans="1:25" ht="21" customHeight="1" x14ac:dyDescent="0.15">
      <c r="A43" s="106"/>
      <c r="B43" s="58"/>
      <c r="C43" s="58" t="s">
        <v>125</v>
      </c>
      <c r="D43" s="57">
        <f>V43/1000</f>
        <v>0</v>
      </c>
      <c r="E43" s="57">
        <f>W43/1000</f>
        <v>0</v>
      </c>
      <c r="F43" s="69">
        <f>E43-D43</f>
        <v>0</v>
      </c>
      <c r="G43" s="68">
        <f>IF(D43=0,0,F43/D43)</f>
        <v>0</v>
      </c>
      <c r="H43" s="93" t="s">
        <v>72</v>
      </c>
      <c r="I43" s="92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533" t="s">
        <v>227</v>
      </c>
      <c r="V43" s="533"/>
      <c r="W43" s="64"/>
      <c r="X43" s="63" t="s">
        <v>146</v>
      </c>
      <c r="Y43" s="139"/>
    </row>
    <row r="44" spans="1:25" ht="21" customHeight="1" x14ac:dyDescent="0.15">
      <c r="A44" s="106"/>
      <c r="B44" s="58"/>
      <c r="C44" s="58"/>
      <c r="D44" s="57"/>
      <c r="E44" s="57"/>
      <c r="F44" s="56"/>
      <c r="G44" s="55"/>
      <c r="H44" s="54" t="s">
        <v>320</v>
      </c>
      <c r="I44" s="51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2"/>
      <c r="V44" s="52"/>
      <c r="W44" s="62"/>
      <c r="X44" s="49" t="s">
        <v>146</v>
      </c>
      <c r="Y44" s="139"/>
    </row>
    <row r="45" spans="1:25" ht="21" customHeight="1" x14ac:dyDescent="0.15">
      <c r="A45" s="106"/>
      <c r="B45" s="58"/>
      <c r="C45" s="80" t="s">
        <v>134</v>
      </c>
      <c r="D45" s="79">
        <f>D46</f>
        <v>0</v>
      </c>
      <c r="E45" s="79">
        <f>E46</f>
        <v>1588</v>
      </c>
      <c r="F45" s="78">
        <f>E45-D45</f>
        <v>1588</v>
      </c>
      <c r="G45" s="77">
        <f>IF(D45=0,0,F45/D45)</f>
        <v>0</v>
      </c>
      <c r="H45" s="76" t="s">
        <v>194</v>
      </c>
      <c r="I45" s="75"/>
      <c r="J45" s="74"/>
      <c r="K45" s="74"/>
      <c r="L45" s="74"/>
      <c r="M45" s="74"/>
      <c r="N45" s="74"/>
      <c r="O45" s="73"/>
      <c r="P45" s="73"/>
      <c r="Q45" s="73"/>
      <c r="R45" s="73"/>
      <c r="S45" s="73"/>
      <c r="T45" s="73"/>
      <c r="U45" s="72" t="s">
        <v>227</v>
      </c>
      <c r="V45" s="71"/>
      <c r="W45" s="71">
        <f>SUM(W46:W46)</f>
        <v>1588000</v>
      </c>
      <c r="X45" s="70" t="s">
        <v>146</v>
      </c>
      <c r="Y45" s="139"/>
    </row>
    <row r="46" spans="1:25" ht="21" customHeight="1" x14ac:dyDescent="0.15">
      <c r="A46" s="106"/>
      <c r="B46" s="58"/>
      <c r="C46" s="58" t="s">
        <v>125</v>
      </c>
      <c r="D46" s="57">
        <f>V46/1000</f>
        <v>0</v>
      </c>
      <c r="E46" s="57">
        <f>W46/1000</f>
        <v>1588</v>
      </c>
      <c r="F46" s="69">
        <f>E46-D46</f>
        <v>1588</v>
      </c>
      <c r="G46" s="68">
        <f>IF(D46=0,0,F46/D46)</f>
        <v>0</v>
      </c>
      <c r="H46" s="93" t="s">
        <v>304</v>
      </c>
      <c r="I46" s="140"/>
      <c r="J46" s="53"/>
      <c r="K46" s="53"/>
      <c r="L46" s="53"/>
      <c r="M46" s="52"/>
      <c r="N46" s="89"/>
      <c r="O46" s="90"/>
      <c r="P46" s="89"/>
      <c r="Q46" s="88"/>
      <c r="R46" s="87"/>
      <c r="S46" s="87"/>
      <c r="T46" s="52"/>
      <c r="U46" s="533" t="s">
        <v>227</v>
      </c>
      <c r="V46" s="533"/>
      <c r="W46" s="298">
        <f>ROUNDUP(SUM(W47),-3)</f>
        <v>1588000</v>
      </c>
      <c r="X46" s="63" t="s">
        <v>146</v>
      </c>
      <c r="Y46" s="139"/>
    </row>
    <row r="47" spans="1:25" ht="21" customHeight="1" x14ac:dyDescent="0.15">
      <c r="A47" s="106"/>
      <c r="B47" s="58"/>
      <c r="C47" s="58" t="s">
        <v>215</v>
      </c>
      <c r="D47" s="57"/>
      <c r="E47" s="57"/>
      <c r="F47" s="56"/>
      <c r="G47" s="55"/>
      <c r="H47" s="303"/>
      <c r="I47" s="312"/>
      <c r="J47" s="53"/>
      <c r="K47" s="53"/>
      <c r="L47" s="53"/>
      <c r="M47" s="52"/>
      <c r="N47" s="89"/>
      <c r="O47" s="90"/>
      <c r="P47" s="89"/>
      <c r="Q47" s="88"/>
      <c r="R47" s="87"/>
      <c r="S47" s="87"/>
      <c r="T47" s="507"/>
      <c r="U47" s="507"/>
      <c r="V47" s="507"/>
      <c r="W47" s="153">
        <v>1587340</v>
      </c>
      <c r="X47" s="396" t="s">
        <v>146</v>
      </c>
      <c r="Y47" s="139"/>
    </row>
    <row r="48" spans="1:25" s="380" customFormat="1" ht="21" customHeight="1" x14ac:dyDescent="0.15">
      <c r="A48" s="106"/>
      <c r="B48" s="58"/>
      <c r="C48" s="509"/>
      <c r="D48" s="57"/>
      <c r="E48" s="57"/>
      <c r="F48" s="150"/>
      <c r="G48" s="55"/>
      <c r="H48" s="209"/>
      <c r="I48" s="508"/>
      <c r="J48" s="382"/>
      <c r="K48" s="382"/>
      <c r="L48" s="382"/>
      <c r="M48" s="507"/>
      <c r="N48" s="180"/>
      <c r="O48" s="414"/>
      <c r="P48" s="180"/>
      <c r="Q48" s="468"/>
      <c r="R48" s="469"/>
      <c r="S48" s="469"/>
      <c r="T48" s="202"/>
      <c r="U48" s="202"/>
      <c r="V48" s="202"/>
      <c r="W48" s="315"/>
      <c r="X48" s="313"/>
      <c r="Y48" s="176"/>
    </row>
    <row r="49" spans="1:24" ht="21" customHeight="1" x14ac:dyDescent="0.15">
      <c r="A49" s="137" t="s">
        <v>157</v>
      </c>
      <c r="B49" s="80" t="s">
        <v>157</v>
      </c>
      <c r="C49" s="116" t="s">
        <v>214</v>
      </c>
      <c r="D49" s="115">
        <v>3850</v>
      </c>
      <c r="E49" s="115">
        <f>SUM(E50,E63,E67)</f>
        <v>4057</v>
      </c>
      <c r="F49" s="114">
        <f>E49-D49</f>
        <v>207</v>
      </c>
      <c r="G49" s="113">
        <f>IF(D49=0,0,F49/D49)</f>
        <v>5.3766233766233767E-2</v>
      </c>
      <c r="H49" s="112" t="s">
        <v>217</v>
      </c>
      <c r="I49" s="110"/>
      <c r="J49" s="111"/>
      <c r="K49" s="111"/>
      <c r="L49" s="110"/>
      <c r="M49" s="110"/>
      <c r="N49" s="110"/>
      <c r="O49" s="110"/>
      <c r="P49" s="110" t="s">
        <v>222</v>
      </c>
      <c r="Q49" s="109"/>
      <c r="R49" s="109"/>
      <c r="S49" s="109"/>
      <c r="T49" s="109"/>
      <c r="U49" s="109"/>
      <c r="V49" s="109"/>
      <c r="W49" s="136">
        <f>SUM(W50,W63)</f>
        <v>4057000</v>
      </c>
      <c r="X49" s="135" t="s">
        <v>146</v>
      </c>
    </row>
    <row r="50" spans="1:24" ht="21" customHeight="1" x14ac:dyDescent="0.15">
      <c r="A50" s="106"/>
      <c r="B50" s="58"/>
      <c r="C50" s="80" t="s">
        <v>152</v>
      </c>
      <c r="D50" s="79">
        <v>3226</v>
      </c>
      <c r="E50" s="79">
        <f>SUM(E51,E54,E57,E60)</f>
        <v>2939</v>
      </c>
      <c r="F50" s="78">
        <f>E50-D50</f>
        <v>-287</v>
      </c>
      <c r="G50" s="77">
        <f>IF(D50=0,0,F50/D50)</f>
        <v>-8.8964662120272778E-2</v>
      </c>
      <c r="H50" s="76" t="s">
        <v>75</v>
      </c>
      <c r="I50" s="75"/>
      <c r="J50" s="74"/>
      <c r="K50" s="74"/>
      <c r="L50" s="74"/>
      <c r="M50" s="74"/>
      <c r="N50" s="74"/>
      <c r="O50" s="73"/>
      <c r="P50" s="73"/>
      <c r="Q50" s="73"/>
      <c r="R50" s="73"/>
      <c r="S50" s="73"/>
      <c r="T50" s="73"/>
      <c r="U50" s="72" t="s">
        <v>227</v>
      </c>
      <c r="V50" s="71"/>
      <c r="W50" s="104">
        <f>SUM(W51,W54,W57,W60)</f>
        <v>2939000</v>
      </c>
      <c r="X50" s="70" t="s">
        <v>146</v>
      </c>
    </row>
    <row r="51" spans="1:24" ht="21" customHeight="1" x14ac:dyDescent="0.15">
      <c r="A51" s="106"/>
      <c r="B51" s="58"/>
      <c r="C51" s="58" t="s">
        <v>157</v>
      </c>
      <c r="D51" s="57">
        <v>2471</v>
      </c>
      <c r="E51" s="57">
        <f>W51/1000</f>
        <v>2464</v>
      </c>
      <c r="F51" s="69">
        <f>E51-D51</f>
        <v>-7</v>
      </c>
      <c r="G51" s="68">
        <f>IF(D51=0,0,F51/D51)</f>
        <v>-2.8328611898016999E-3</v>
      </c>
      <c r="H51" s="93" t="s">
        <v>93</v>
      </c>
      <c r="I51" s="92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533" t="s">
        <v>227</v>
      </c>
      <c r="V51" s="533"/>
      <c r="W51" s="64">
        <f>ROUNDUP(SUM(V52:W53),-3)</f>
        <v>2464000</v>
      </c>
      <c r="X51" s="63" t="s">
        <v>146</v>
      </c>
    </row>
    <row r="52" spans="1:24" ht="21" customHeight="1" x14ac:dyDescent="0.15">
      <c r="A52" s="106"/>
      <c r="B52" s="58"/>
      <c r="C52" s="58"/>
      <c r="D52" s="57"/>
      <c r="E52" s="57"/>
      <c r="F52" s="56"/>
      <c r="G52" s="55"/>
      <c r="H52" s="129" t="s">
        <v>85</v>
      </c>
      <c r="I52" s="51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2"/>
      <c r="V52" s="52"/>
      <c r="W52" s="62">
        <v>2463372</v>
      </c>
      <c r="X52" s="49" t="s">
        <v>146</v>
      </c>
    </row>
    <row r="53" spans="1:24" ht="21" customHeight="1" x14ac:dyDescent="0.15">
      <c r="A53" s="106"/>
      <c r="B53" s="58"/>
      <c r="C53" s="58"/>
      <c r="D53" s="126"/>
      <c r="E53" s="126"/>
      <c r="F53" s="125"/>
      <c r="G53" s="133"/>
      <c r="H53" s="134"/>
      <c r="I53" s="122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32"/>
      <c r="V53" s="132"/>
      <c r="W53" s="119"/>
      <c r="X53" s="118"/>
    </row>
    <row r="54" spans="1:24" ht="21" customHeight="1" x14ac:dyDescent="0.15">
      <c r="A54" s="106"/>
      <c r="B54" s="58"/>
      <c r="C54" s="58"/>
      <c r="D54" s="57">
        <f>V54/1000</f>
        <v>0</v>
      </c>
      <c r="E54" s="57">
        <f>W54/1000</f>
        <v>0</v>
      </c>
      <c r="F54" s="69">
        <f>E54-D54</f>
        <v>0</v>
      </c>
      <c r="G54" s="68">
        <f>IF(D54=0,0,F54/D54)</f>
        <v>0</v>
      </c>
      <c r="H54" s="93" t="s">
        <v>78</v>
      </c>
      <c r="I54" s="92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533" t="s">
        <v>227</v>
      </c>
      <c r="V54" s="533"/>
      <c r="W54" s="64">
        <f>ROUNDUP(SUM(V55:W55),-3)</f>
        <v>0</v>
      </c>
      <c r="X54" s="63" t="s">
        <v>146</v>
      </c>
    </row>
    <row r="55" spans="1:24" ht="21" customHeight="1" x14ac:dyDescent="0.15">
      <c r="A55" s="106"/>
      <c r="B55" s="58"/>
      <c r="C55" s="58"/>
      <c r="D55" s="57"/>
      <c r="E55" s="57"/>
      <c r="F55" s="56"/>
      <c r="G55" s="55"/>
      <c r="H55" s="129" t="s">
        <v>185</v>
      </c>
      <c r="I55" s="51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2"/>
      <c r="V55" s="52"/>
      <c r="W55" s="62">
        <v>0</v>
      </c>
      <c r="X55" s="49" t="s">
        <v>146</v>
      </c>
    </row>
    <row r="56" spans="1:24" ht="21" customHeight="1" x14ac:dyDescent="0.15">
      <c r="A56" s="106"/>
      <c r="B56" s="58"/>
      <c r="C56" s="58"/>
      <c r="D56" s="126"/>
      <c r="E56" s="126"/>
      <c r="F56" s="125"/>
      <c r="G56" s="133"/>
      <c r="H56" s="123"/>
      <c r="I56" s="122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32"/>
      <c r="V56" s="132"/>
      <c r="W56" s="119"/>
      <c r="X56" s="118"/>
    </row>
    <row r="57" spans="1:24" ht="21" customHeight="1" x14ac:dyDescent="0.15">
      <c r="A57" s="106"/>
      <c r="B57" s="58"/>
      <c r="C57" s="58"/>
      <c r="D57" s="57">
        <f>V57/1000</f>
        <v>0</v>
      </c>
      <c r="E57" s="57">
        <f>W57/1000</f>
        <v>0</v>
      </c>
      <c r="F57" s="69">
        <f>E57-D57</f>
        <v>0</v>
      </c>
      <c r="G57" s="68">
        <f>IF(D57=0,0,F57/D57)</f>
        <v>0</v>
      </c>
      <c r="H57" s="93" t="s">
        <v>81</v>
      </c>
      <c r="I57" s="92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533" t="s">
        <v>227</v>
      </c>
      <c r="V57" s="533"/>
      <c r="W57" s="64">
        <f>ROUND(SUM(V58:W58),-2)</f>
        <v>0</v>
      </c>
      <c r="X57" s="63" t="s">
        <v>146</v>
      </c>
    </row>
    <row r="58" spans="1:24" ht="21" customHeight="1" x14ac:dyDescent="0.15">
      <c r="A58" s="106"/>
      <c r="B58" s="58"/>
      <c r="C58" s="58"/>
      <c r="D58" s="57"/>
      <c r="E58" s="57"/>
      <c r="F58" s="56"/>
      <c r="G58" s="55"/>
      <c r="H58" s="129" t="s">
        <v>92</v>
      </c>
      <c r="I58" s="51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2"/>
      <c r="V58" s="52"/>
      <c r="W58" s="62">
        <v>0</v>
      </c>
      <c r="X58" s="49" t="s">
        <v>146</v>
      </c>
    </row>
    <row r="59" spans="1:24" ht="21" customHeight="1" x14ac:dyDescent="0.15">
      <c r="A59" s="106"/>
      <c r="B59" s="58"/>
      <c r="C59" s="58"/>
      <c r="D59" s="126"/>
      <c r="E59" s="126"/>
      <c r="F59" s="125"/>
      <c r="G59" s="133"/>
      <c r="H59" s="123"/>
      <c r="I59" s="122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32"/>
      <c r="V59" s="132"/>
      <c r="W59" s="119"/>
      <c r="X59" s="118"/>
    </row>
    <row r="60" spans="1:24" ht="21" customHeight="1" x14ac:dyDescent="0.15">
      <c r="A60" s="106"/>
      <c r="B60" s="58"/>
      <c r="C60" s="58"/>
      <c r="D60" s="131">
        <v>755</v>
      </c>
      <c r="E60" s="131">
        <f>W60/1000</f>
        <v>475</v>
      </c>
      <c r="F60" s="69">
        <f>E60-D60</f>
        <v>-280</v>
      </c>
      <c r="G60" s="68">
        <f>IF(D60=0,0,F60/D60)</f>
        <v>-0.37086092715231789</v>
      </c>
      <c r="H60" s="93" t="s">
        <v>65</v>
      </c>
      <c r="I60" s="92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533" t="s">
        <v>227</v>
      </c>
      <c r="V60" s="533"/>
      <c r="W60" s="64">
        <f>ROUNDUP(SUM(V61:W61),-3)</f>
        <v>475000</v>
      </c>
      <c r="X60" s="63" t="s">
        <v>146</v>
      </c>
    </row>
    <row r="61" spans="1:24" ht="21" customHeight="1" x14ac:dyDescent="0.15">
      <c r="A61" s="106"/>
      <c r="B61" s="58"/>
      <c r="C61" s="58"/>
      <c r="D61" s="57"/>
      <c r="E61" s="57"/>
      <c r="F61" s="56"/>
      <c r="G61" s="55"/>
      <c r="H61" s="129" t="s">
        <v>80</v>
      </c>
      <c r="I61" s="51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2"/>
      <c r="V61" s="52"/>
      <c r="W61" s="62">
        <v>474445</v>
      </c>
      <c r="X61" s="49" t="s">
        <v>146</v>
      </c>
    </row>
    <row r="62" spans="1:24" ht="21" customHeight="1" x14ac:dyDescent="0.15">
      <c r="A62" s="106"/>
      <c r="B62" s="58"/>
      <c r="C62" s="58"/>
      <c r="D62" s="57"/>
      <c r="E62" s="57"/>
      <c r="F62" s="56"/>
      <c r="G62" s="55"/>
      <c r="H62" s="54"/>
      <c r="I62" s="51"/>
      <c r="J62" s="53"/>
      <c r="K62" s="53"/>
      <c r="L62" s="53"/>
      <c r="M62" s="52"/>
      <c r="N62" s="89"/>
      <c r="O62" s="90"/>
      <c r="P62" s="89"/>
      <c r="Q62" s="88"/>
      <c r="R62" s="87"/>
      <c r="S62" s="87"/>
      <c r="T62" s="52"/>
      <c r="U62" s="53"/>
      <c r="V62" s="62"/>
      <c r="W62" s="62"/>
      <c r="X62" s="49"/>
    </row>
    <row r="63" spans="1:24" ht="21" customHeight="1" x14ac:dyDescent="0.15">
      <c r="A63" s="106"/>
      <c r="B63" s="58"/>
      <c r="C63" s="80" t="s">
        <v>152</v>
      </c>
      <c r="D63" s="79">
        <v>624</v>
      </c>
      <c r="E63" s="79">
        <f>E64</f>
        <v>1118</v>
      </c>
      <c r="F63" s="78">
        <f>E63-D63</f>
        <v>494</v>
      </c>
      <c r="G63" s="77">
        <f>IF(D63=0,0,F63/D63)</f>
        <v>0.79166666666666663</v>
      </c>
      <c r="H63" s="76" t="s">
        <v>165</v>
      </c>
      <c r="I63" s="75"/>
      <c r="J63" s="74"/>
      <c r="K63" s="74"/>
      <c r="L63" s="74"/>
      <c r="M63" s="74"/>
      <c r="N63" s="74"/>
      <c r="O63" s="73"/>
      <c r="P63" s="73"/>
      <c r="Q63" s="73"/>
      <c r="R63" s="73"/>
      <c r="S63" s="73"/>
      <c r="T63" s="73"/>
      <c r="U63" s="72" t="s">
        <v>227</v>
      </c>
      <c r="V63" s="71"/>
      <c r="W63" s="71">
        <f>W64</f>
        <v>1118000</v>
      </c>
      <c r="X63" s="70" t="s">
        <v>146</v>
      </c>
    </row>
    <row r="64" spans="1:24" ht="21" customHeight="1" x14ac:dyDescent="0.15">
      <c r="A64" s="106"/>
      <c r="B64" s="58"/>
      <c r="C64" s="58" t="s">
        <v>157</v>
      </c>
      <c r="D64" s="57">
        <v>624</v>
      </c>
      <c r="E64" s="57">
        <f>W64/1000</f>
        <v>1118</v>
      </c>
      <c r="F64" s="69">
        <f>E64-D64</f>
        <v>494</v>
      </c>
      <c r="G64" s="68">
        <f>IF(D64=0,0,F64/D64)</f>
        <v>0.79166666666666663</v>
      </c>
      <c r="H64" s="130" t="s">
        <v>71</v>
      </c>
      <c r="I64" s="92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533"/>
      <c r="V64" s="533"/>
      <c r="W64" s="64">
        <f>ROUNDUP(SUM(V65:W65),-3)</f>
        <v>1118000</v>
      </c>
      <c r="X64" s="63" t="s">
        <v>146</v>
      </c>
    </row>
    <row r="65" spans="1:45" ht="21" customHeight="1" x14ac:dyDescent="0.15">
      <c r="A65" s="106"/>
      <c r="B65" s="58"/>
      <c r="C65" s="58" t="s">
        <v>215</v>
      </c>
      <c r="D65" s="57"/>
      <c r="E65" s="57"/>
      <c r="F65" s="56"/>
      <c r="G65" s="82"/>
      <c r="H65" s="129" t="s">
        <v>74</v>
      </c>
      <c r="I65" s="51"/>
      <c r="J65" s="53"/>
      <c r="K65" s="53"/>
      <c r="L65" s="53"/>
      <c r="M65" s="53"/>
      <c r="N65" s="53"/>
      <c r="O65" s="53"/>
      <c r="P65" s="81"/>
      <c r="Q65" s="81"/>
      <c r="R65" s="81"/>
      <c r="S65" s="53"/>
      <c r="T65" s="53"/>
      <c r="U65" s="53"/>
      <c r="V65" s="62"/>
      <c r="W65" s="62">
        <v>1117074</v>
      </c>
      <c r="X65" s="49" t="s">
        <v>146</v>
      </c>
    </row>
    <row r="66" spans="1:45" ht="21" customHeight="1" x14ac:dyDescent="0.15">
      <c r="A66" s="106"/>
      <c r="B66" s="58"/>
      <c r="C66" s="58"/>
      <c r="D66" s="57"/>
      <c r="E66" s="57"/>
      <c r="F66" s="56"/>
      <c r="G66" s="82"/>
      <c r="H66" s="54"/>
      <c r="I66" s="51"/>
      <c r="J66" s="53"/>
      <c r="K66" s="53"/>
      <c r="L66" s="53"/>
      <c r="M66" s="53"/>
      <c r="N66" s="53"/>
      <c r="O66" s="53"/>
      <c r="P66" s="81"/>
      <c r="Q66" s="81"/>
      <c r="R66" s="81"/>
      <c r="S66" s="53"/>
      <c r="T66" s="53"/>
      <c r="U66" s="53"/>
      <c r="V66" s="62"/>
      <c r="W66" s="62"/>
      <c r="X66" s="49"/>
    </row>
    <row r="67" spans="1:45" ht="21" customHeight="1" x14ac:dyDescent="0.15">
      <c r="A67" s="106"/>
      <c r="B67" s="58"/>
      <c r="C67" s="80" t="s">
        <v>160</v>
      </c>
      <c r="D67" s="79">
        <f>D68</f>
        <v>0</v>
      </c>
      <c r="E67" s="79">
        <f>E68</f>
        <v>0</v>
      </c>
      <c r="F67" s="78">
        <f>E67-D67</f>
        <v>0</v>
      </c>
      <c r="G67" s="77">
        <f>IF(D67=0,0,F67/D67)</f>
        <v>0</v>
      </c>
      <c r="H67" s="76" t="s">
        <v>62</v>
      </c>
      <c r="I67" s="75"/>
      <c r="J67" s="74"/>
      <c r="K67" s="74"/>
      <c r="L67" s="74"/>
      <c r="M67" s="74"/>
      <c r="N67" s="74"/>
      <c r="O67" s="73"/>
      <c r="P67" s="73"/>
      <c r="Q67" s="73"/>
      <c r="R67" s="73"/>
      <c r="S67" s="73"/>
      <c r="T67" s="73"/>
      <c r="U67" s="72" t="s">
        <v>227</v>
      </c>
      <c r="V67" s="71"/>
      <c r="W67" s="71">
        <f>ROUND(SUM(V68:W69),-3)</f>
        <v>0</v>
      </c>
      <c r="X67" s="70" t="s">
        <v>146</v>
      </c>
    </row>
    <row r="68" spans="1:45" ht="21" customHeight="1" x14ac:dyDescent="0.15">
      <c r="A68" s="106"/>
      <c r="B68" s="58"/>
      <c r="C68" s="58" t="s">
        <v>106</v>
      </c>
      <c r="D68" s="57">
        <f>V68/1000</f>
        <v>0</v>
      </c>
      <c r="E68" s="57">
        <f>W68/1000</f>
        <v>0</v>
      </c>
      <c r="F68" s="69">
        <f>E68-D68</f>
        <v>0</v>
      </c>
      <c r="G68" s="68">
        <f>IF(D68=0,0,F68/D68)</f>
        <v>0</v>
      </c>
      <c r="H68" s="54"/>
      <c r="I68" s="51"/>
      <c r="J68" s="53"/>
      <c r="K68" s="53"/>
      <c r="L68" s="53"/>
      <c r="M68" s="52"/>
      <c r="N68" s="89"/>
      <c r="O68" s="90"/>
      <c r="P68" s="89"/>
      <c r="Q68" s="88"/>
      <c r="R68" s="87"/>
      <c r="S68" s="87"/>
      <c r="T68" s="52"/>
      <c r="U68" s="53"/>
      <c r="V68" s="62"/>
      <c r="W68" s="62">
        <f>L68*O68</f>
        <v>0</v>
      </c>
      <c r="X68" s="49" t="s">
        <v>146</v>
      </c>
    </row>
    <row r="69" spans="1:45" ht="21" customHeight="1" x14ac:dyDescent="0.15">
      <c r="A69" s="128"/>
      <c r="B69" s="127"/>
      <c r="C69" s="127"/>
      <c r="D69" s="126"/>
      <c r="E69" s="126"/>
      <c r="F69" s="125"/>
      <c r="G69" s="124"/>
      <c r="H69" s="123"/>
      <c r="I69" s="122"/>
      <c r="J69" s="120"/>
      <c r="K69" s="120"/>
      <c r="L69" s="120"/>
      <c r="M69" s="120"/>
      <c r="N69" s="120"/>
      <c r="O69" s="120"/>
      <c r="P69" s="121"/>
      <c r="Q69" s="121"/>
      <c r="R69" s="121"/>
      <c r="S69" s="120"/>
      <c r="T69" s="120"/>
      <c r="U69" s="120"/>
      <c r="V69" s="119"/>
      <c r="W69" s="119">
        <v>0</v>
      </c>
      <c r="X69" s="118" t="s">
        <v>146</v>
      </c>
    </row>
    <row r="70" spans="1:45" ht="21" customHeight="1" x14ac:dyDescent="0.15">
      <c r="A70" s="106" t="s">
        <v>99</v>
      </c>
      <c r="B70" s="117" t="s">
        <v>99</v>
      </c>
      <c r="C70" s="116" t="s">
        <v>214</v>
      </c>
      <c r="D70" s="115">
        <v>757</v>
      </c>
      <c r="E70" s="115">
        <f>SUM(E71,E74,E81)</f>
        <v>766</v>
      </c>
      <c r="F70" s="114">
        <f>E70-D70</f>
        <v>9</v>
      </c>
      <c r="G70" s="113">
        <f>IF(D70=0,0,F70/D70)</f>
        <v>1.1889035667107001E-2</v>
      </c>
      <c r="H70" s="112" t="s">
        <v>225</v>
      </c>
      <c r="I70" s="110"/>
      <c r="J70" s="111"/>
      <c r="K70" s="111"/>
      <c r="L70" s="110"/>
      <c r="M70" s="110"/>
      <c r="N70" s="110"/>
      <c r="O70" s="110"/>
      <c r="P70" s="110" t="s">
        <v>222</v>
      </c>
      <c r="Q70" s="109"/>
      <c r="R70" s="109"/>
      <c r="S70" s="109"/>
      <c r="T70" s="109"/>
      <c r="U70" s="109"/>
      <c r="V70" s="109"/>
      <c r="W70" s="108">
        <f>SUM(W71,W74,W81)</f>
        <v>766000</v>
      </c>
      <c r="X70" s="107" t="s">
        <v>146</v>
      </c>
    </row>
    <row r="71" spans="1:45" s="95" customFormat="1" ht="21" customHeight="1" x14ac:dyDescent="0.15">
      <c r="A71" s="106"/>
      <c r="B71" s="105"/>
      <c r="C71" s="80" t="s">
        <v>147</v>
      </c>
      <c r="D71" s="79">
        <f>D72</f>
        <v>0</v>
      </c>
      <c r="E71" s="79">
        <f>E72</f>
        <v>0</v>
      </c>
      <c r="F71" s="78">
        <f>E71-D71</f>
        <v>0</v>
      </c>
      <c r="G71" s="77">
        <f>IF(D71=0,0,F71/D71)</f>
        <v>0</v>
      </c>
      <c r="H71" s="76" t="s">
        <v>55</v>
      </c>
      <c r="I71" s="75"/>
      <c r="J71" s="74"/>
      <c r="K71" s="74"/>
      <c r="L71" s="74"/>
      <c r="M71" s="74"/>
      <c r="N71" s="74"/>
      <c r="O71" s="73"/>
      <c r="P71" s="73"/>
      <c r="Q71" s="73"/>
      <c r="R71" s="73"/>
      <c r="S71" s="73"/>
      <c r="T71" s="73"/>
      <c r="U71" s="72" t="s">
        <v>227</v>
      </c>
      <c r="V71" s="71"/>
      <c r="W71" s="104">
        <f>SUM(W72:W72)</f>
        <v>0</v>
      </c>
      <c r="X71" s="70" t="s">
        <v>146</v>
      </c>
      <c r="Y71" s="103"/>
      <c r="Z71" s="102"/>
      <c r="AA71" s="101"/>
      <c r="AB71" s="100"/>
      <c r="AC71" s="98"/>
      <c r="AD71" s="96"/>
      <c r="AE71" s="99"/>
      <c r="AF71" s="99"/>
      <c r="AG71" s="96"/>
      <c r="AH71" s="96"/>
      <c r="AI71" s="96"/>
      <c r="AJ71" s="96"/>
      <c r="AK71" s="96"/>
      <c r="AL71" s="98"/>
      <c r="AM71" s="98"/>
      <c r="AN71" s="98"/>
      <c r="AO71" s="98"/>
      <c r="AP71" s="98"/>
      <c r="AQ71" s="98"/>
      <c r="AR71" s="97"/>
      <c r="AS71" s="96"/>
    </row>
    <row r="72" spans="1:45" ht="21" customHeight="1" x14ac:dyDescent="0.15">
      <c r="A72" s="60"/>
      <c r="B72" s="94"/>
      <c r="C72" s="58" t="s">
        <v>120</v>
      </c>
      <c r="D72" s="57">
        <f>V72/1000</f>
        <v>0</v>
      </c>
      <c r="E72" s="57">
        <f>W72/1000</f>
        <v>0</v>
      </c>
      <c r="F72" s="69">
        <f>E72-D72</f>
        <v>0</v>
      </c>
      <c r="G72" s="68">
        <f>IF(D72=0,0,F72/D72)</f>
        <v>0</v>
      </c>
      <c r="H72" s="93" t="s">
        <v>55</v>
      </c>
      <c r="I72" s="92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533" t="s">
        <v>227</v>
      </c>
      <c r="V72" s="533"/>
      <c r="W72" s="64">
        <f>SUM(W73:W73)</f>
        <v>0</v>
      </c>
      <c r="X72" s="63" t="s">
        <v>146</v>
      </c>
    </row>
    <row r="73" spans="1:45" s="38" customFormat="1" ht="19.5" customHeight="1" x14ac:dyDescent="0.15">
      <c r="A73" s="60"/>
      <c r="B73" s="59"/>
      <c r="C73" s="58"/>
      <c r="D73" s="57"/>
      <c r="E73" s="57"/>
      <c r="F73" s="56"/>
      <c r="G73" s="55"/>
      <c r="H73" s="54"/>
      <c r="I73" s="51"/>
      <c r="J73" s="53"/>
      <c r="K73" s="53"/>
      <c r="L73" s="53"/>
      <c r="M73" s="52"/>
      <c r="N73" s="89"/>
      <c r="O73" s="90"/>
      <c r="P73" s="89"/>
      <c r="Q73" s="88"/>
      <c r="R73" s="87"/>
      <c r="S73" s="87"/>
      <c r="T73" s="52"/>
      <c r="U73" s="53"/>
      <c r="V73" s="62"/>
      <c r="W73" s="62"/>
      <c r="X73" s="49"/>
      <c r="Y73" s="32"/>
    </row>
    <row r="74" spans="1:45" s="38" customFormat="1" ht="19.5" customHeight="1" x14ac:dyDescent="0.15">
      <c r="A74" s="60"/>
      <c r="B74" s="59"/>
      <c r="C74" s="80" t="s">
        <v>103</v>
      </c>
      <c r="D74" s="79">
        <v>21</v>
      </c>
      <c r="E74" s="79">
        <f>E75</f>
        <v>22</v>
      </c>
      <c r="F74" s="78">
        <f>E74-D74</f>
        <v>1</v>
      </c>
      <c r="G74" s="77">
        <f>IF(D74=0,0,F74/D74)</f>
        <v>4.7619047619047616E-2</v>
      </c>
      <c r="H74" s="76" t="s">
        <v>76</v>
      </c>
      <c r="I74" s="75"/>
      <c r="J74" s="74"/>
      <c r="K74" s="74"/>
      <c r="L74" s="74"/>
      <c r="M74" s="74"/>
      <c r="N74" s="74"/>
      <c r="O74" s="73"/>
      <c r="P74" s="73"/>
      <c r="Q74" s="73"/>
      <c r="R74" s="73"/>
      <c r="S74" s="73"/>
      <c r="T74" s="73"/>
      <c r="U74" s="72" t="s">
        <v>227</v>
      </c>
      <c r="V74" s="71"/>
      <c r="W74" s="71">
        <f>SUM(W75:W75)</f>
        <v>22000</v>
      </c>
      <c r="X74" s="70" t="s">
        <v>146</v>
      </c>
      <c r="Y74" s="32"/>
    </row>
    <row r="75" spans="1:45" s="38" customFormat="1" ht="19.5" customHeight="1" x14ac:dyDescent="0.15">
      <c r="A75" s="60"/>
      <c r="B75" s="59"/>
      <c r="C75" s="58" t="s">
        <v>122</v>
      </c>
      <c r="D75" s="57">
        <v>21</v>
      </c>
      <c r="E75" s="57">
        <f>W75/1000</f>
        <v>22</v>
      </c>
      <c r="F75" s="69">
        <f>E75-D75</f>
        <v>1</v>
      </c>
      <c r="G75" s="68">
        <f>IF(D75=0,0,F75/D75)</f>
        <v>4.7619047619047616E-2</v>
      </c>
      <c r="H75" s="86" t="s">
        <v>69</v>
      </c>
      <c r="I75" s="85"/>
      <c r="J75" s="84"/>
      <c r="K75" s="84"/>
      <c r="L75" s="84"/>
      <c r="M75" s="84"/>
      <c r="N75" s="84"/>
      <c r="O75" s="84"/>
      <c r="P75" s="84" t="s">
        <v>119</v>
      </c>
      <c r="Q75" s="84"/>
      <c r="R75" s="84"/>
      <c r="S75" s="84"/>
      <c r="T75" s="84"/>
      <c r="U75" s="533" t="s">
        <v>227</v>
      </c>
      <c r="V75" s="533"/>
      <c r="W75" s="64">
        <f>SUM(W76:W80)</f>
        <v>22000</v>
      </c>
      <c r="X75" s="63" t="s">
        <v>146</v>
      </c>
      <c r="Y75" s="32"/>
    </row>
    <row r="76" spans="1:45" s="38" customFormat="1" ht="19.5" customHeight="1" x14ac:dyDescent="0.15">
      <c r="A76" s="60"/>
      <c r="B76" s="59"/>
      <c r="C76" s="58" t="s">
        <v>149</v>
      </c>
      <c r="D76" s="57"/>
      <c r="E76" s="57"/>
      <c r="F76" s="56"/>
      <c r="G76" s="82"/>
      <c r="H76" s="83" t="s">
        <v>89</v>
      </c>
      <c r="I76" s="51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62"/>
      <c r="W76" s="61">
        <v>15000</v>
      </c>
      <c r="X76" s="49" t="s">
        <v>146</v>
      </c>
      <c r="Y76" s="32"/>
    </row>
    <row r="77" spans="1:45" s="38" customFormat="1" ht="19.5" customHeight="1" x14ac:dyDescent="0.15">
      <c r="A77" s="60"/>
      <c r="B77" s="59"/>
      <c r="C77" s="58"/>
      <c r="D77" s="57"/>
      <c r="E77" s="57"/>
      <c r="F77" s="56"/>
      <c r="G77" s="82"/>
      <c r="H77" s="54" t="s">
        <v>307</v>
      </c>
      <c r="I77" s="51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62"/>
      <c r="W77" s="61">
        <v>3000</v>
      </c>
      <c r="X77" s="49" t="s">
        <v>146</v>
      </c>
      <c r="Y77" s="32"/>
    </row>
    <row r="78" spans="1:45" s="38" customFormat="1" ht="19.5" customHeight="1" x14ac:dyDescent="0.15">
      <c r="A78" s="60"/>
      <c r="B78" s="59"/>
      <c r="C78" s="58"/>
      <c r="D78" s="57"/>
      <c r="E78" s="57"/>
      <c r="F78" s="56"/>
      <c r="G78" s="82"/>
      <c r="H78" s="54" t="s">
        <v>12</v>
      </c>
      <c r="I78" s="51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62"/>
      <c r="W78" s="61">
        <v>1000</v>
      </c>
      <c r="X78" s="49" t="s">
        <v>146</v>
      </c>
      <c r="Y78" s="32"/>
    </row>
    <row r="79" spans="1:45" s="38" customFormat="1" ht="19.5" customHeight="1" x14ac:dyDescent="0.15">
      <c r="A79" s="60"/>
      <c r="B79" s="59"/>
      <c r="C79" s="58"/>
      <c r="D79" s="57"/>
      <c r="E79" s="57"/>
      <c r="F79" s="56"/>
      <c r="G79" s="82"/>
      <c r="H79" s="54" t="s">
        <v>11</v>
      </c>
      <c r="I79" s="53"/>
      <c r="J79" s="53"/>
      <c r="K79" s="53"/>
      <c r="L79" s="53"/>
      <c r="M79" s="53"/>
      <c r="N79" s="53"/>
      <c r="O79" s="53"/>
      <c r="P79" s="534"/>
      <c r="Q79" s="534"/>
      <c r="R79" s="53"/>
      <c r="S79" s="53"/>
      <c r="T79" s="53"/>
      <c r="U79" s="53"/>
      <c r="V79" s="53"/>
      <c r="W79" s="50">
        <v>2000</v>
      </c>
      <c r="X79" s="49" t="s">
        <v>146</v>
      </c>
      <c r="Y79" s="32"/>
    </row>
    <row r="80" spans="1:45" s="38" customFormat="1" ht="19.5" customHeight="1" x14ac:dyDescent="0.15">
      <c r="A80" s="60"/>
      <c r="B80" s="59"/>
      <c r="C80" s="58"/>
      <c r="D80" s="57"/>
      <c r="E80" s="57"/>
      <c r="F80" s="56"/>
      <c r="G80" s="82"/>
      <c r="H80" s="54" t="s">
        <v>311</v>
      </c>
      <c r="I80" s="51"/>
      <c r="J80" s="53"/>
      <c r="K80" s="53"/>
      <c r="L80" s="53"/>
      <c r="M80" s="53"/>
      <c r="N80" s="53"/>
      <c r="O80" s="53"/>
      <c r="P80" s="81"/>
      <c r="Q80" s="81"/>
      <c r="R80" s="81"/>
      <c r="S80" s="53"/>
      <c r="T80" s="53"/>
      <c r="U80" s="53"/>
      <c r="V80" s="62"/>
      <c r="W80" s="62">
        <v>1000</v>
      </c>
      <c r="X80" s="49" t="s">
        <v>146</v>
      </c>
      <c r="Y80" s="32"/>
    </row>
    <row r="81" spans="1:25" s="38" customFormat="1" ht="19.5" customHeight="1" x14ac:dyDescent="0.15">
      <c r="A81" s="60"/>
      <c r="B81" s="59"/>
      <c r="C81" s="80" t="s">
        <v>139</v>
      </c>
      <c r="D81" s="79">
        <v>736</v>
      </c>
      <c r="E81" s="79">
        <f>E82</f>
        <v>744</v>
      </c>
      <c r="F81" s="78">
        <f>E81-D81</f>
        <v>8</v>
      </c>
      <c r="G81" s="77">
        <f>IF(D81=0,0,F81/D81)</f>
        <v>1.0869565217391304E-2</v>
      </c>
      <c r="H81" s="76" t="s">
        <v>91</v>
      </c>
      <c r="I81" s="75"/>
      <c r="J81" s="74"/>
      <c r="K81" s="74"/>
      <c r="L81" s="74"/>
      <c r="M81" s="74"/>
      <c r="N81" s="74"/>
      <c r="O81" s="73"/>
      <c r="P81" s="73"/>
      <c r="Q81" s="73"/>
      <c r="R81" s="73"/>
      <c r="S81" s="73"/>
      <c r="T81" s="73"/>
      <c r="U81" s="72" t="s">
        <v>227</v>
      </c>
      <c r="V81" s="71"/>
      <c r="W81" s="71">
        <f>SUM(W82:W82)</f>
        <v>744000</v>
      </c>
      <c r="X81" s="70" t="s">
        <v>146</v>
      </c>
      <c r="Y81" s="32"/>
    </row>
    <row r="82" spans="1:25" s="38" customFormat="1" ht="19.5" customHeight="1" x14ac:dyDescent="0.15">
      <c r="A82" s="60"/>
      <c r="B82" s="59"/>
      <c r="C82" s="58" t="s">
        <v>99</v>
      </c>
      <c r="D82" s="57">
        <v>736</v>
      </c>
      <c r="E82" s="57">
        <f>W82/1000</f>
        <v>744</v>
      </c>
      <c r="F82" s="69">
        <f>E82-D82</f>
        <v>8</v>
      </c>
      <c r="G82" s="68">
        <f>IF(D82=0,0,F82/D82)</f>
        <v>1.0869565217391304E-2</v>
      </c>
      <c r="H82" s="67" t="s">
        <v>14</v>
      </c>
      <c r="I82" s="66"/>
      <c r="J82" s="65"/>
      <c r="K82" s="65"/>
      <c r="L82" s="65"/>
      <c r="M82" s="65"/>
      <c r="N82" s="65"/>
      <c r="O82" s="65"/>
      <c r="P82" s="65" t="s">
        <v>119</v>
      </c>
      <c r="Q82" s="65"/>
      <c r="R82" s="65"/>
      <c r="S82" s="65"/>
      <c r="T82" s="65"/>
      <c r="U82" s="533" t="s">
        <v>227</v>
      </c>
      <c r="V82" s="533"/>
      <c r="W82" s="64">
        <f>SUM(W83:W87)</f>
        <v>744000</v>
      </c>
      <c r="X82" s="63" t="s">
        <v>146</v>
      </c>
      <c r="Y82" s="32"/>
    </row>
    <row r="83" spans="1:25" s="38" customFormat="1" ht="19.5" customHeight="1" x14ac:dyDescent="0.15">
      <c r="A83" s="60"/>
      <c r="B83" s="59"/>
      <c r="C83" s="58"/>
      <c r="D83" s="57"/>
      <c r="E83" s="57"/>
      <c r="F83" s="56"/>
      <c r="G83" s="55"/>
      <c r="H83" s="54" t="s">
        <v>309</v>
      </c>
      <c r="I83" s="51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62"/>
      <c r="W83" s="61">
        <v>20000</v>
      </c>
      <c r="X83" s="49" t="s">
        <v>146</v>
      </c>
      <c r="Y83" s="32"/>
    </row>
    <row r="84" spans="1:25" s="38" customFormat="1" ht="19.5" customHeight="1" x14ac:dyDescent="0.15">
      <c r="A84" s="60"/>
      <c r="B84" s="59"/>
      <c r="C84" s="58"/>
      <c r="D84" s="57"/>
      <c r="E84" s="57"/>
      <c r="F84" s="56"/>
      <c r="G84" s="55"/>
      <c r="H84" s="54" t="s">
        <v>312</v>
      </c>
      <c r="I84" s="51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62"/>
      <c r="W84" s="61">
        <v>1000</v>
      </c>
      <c r="X84" s="49" t="s">
        <v>146</v>
      </c>
      <c r="Y84" s="32"/>
    </row>
    <row r="85" spans="1:25" s="38" customFormat="1" ht="19.5" customHeight="1" x14ac:dyDescent="0.15">
      <c r="A85" s="60"/>
      <c r="B85" s="59"/>
      <c r="C85" s="58"/>
      <c r="D85" s="57"/>
      <c r="E85" s="57"/>
      <c r="F85" s="56"/>
      <c r="G85" s="55"/>
      <c r="H85" s="54" t="s">
        <v>302</v>
      </c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0">
        <v>3000</v>
      </c>
      <c r="X85" s="49" t="s">
        <v>146</v>
      </c>
      <c r="Y85" s="32"/>
    </row>
    <row r="86" spans="1:25" s="38" customFormat="1" ht="19.5" customHeight="1" x14ac:dyDescent="0.15">
      <c r="A86" s="60"/>
      <c r="B86" s="59"/>
      <c r="C86" s="58"/>
      <c r="D86" s="57"/>
      <c r="E86" s="57"/>
      <c r="F86" s="56"/>
      <c r="G86" s="55"/>
      <c r="H86" s="54" t="s">
        <v>316</v>
      </c>
      <c r="I86" s="53"/>
      <c r="J86" s="53"/>
      <c r="K86" s="53"/>
      <c r="L86" s="53">
        <v>60000</v>
      </c>
      <c r="M86" s="53" t="s">
        <v>146</v>
      </c>
      <c r="N86" s="51" t="s">
        <v>128</v>
      </c>
      <c r="O86" s="53">
        <v>1</v>
      </c>
      <c r="P86" s="51" t="s">
        <v>101</v>
      </c>
      <c r="Q86" s="51" t="s">
        <v>128</v>
      </c>
      <c r="R86" s="53">
        <v>12</v>
      </c>
      <c r="S86" s="53" t="s">
        <v>108</v>
      </c>
      <c r="T86" s="52" t="s">
        <v>127</v>
      </c>
      <c r="U86" s="52"/>
      <c r="V86" s="51"/>
      <c r="W86" s="50">
        <f>L86*O86*R86</f>
        <v>720000</v>
      </c>
      <c r="X86" s="49" t="s">
        <v>146</v>
      </c>
      <c r="Y86" s="32"/>
    </row>
    <row r="87" spans="1:25" s="38" customFormat="1" ht="19.5" customHeight="1" x14ac:dyDescent="0.15">
      <c r="A87" s="48"/>
      <c r="B87" s="47"/>
      <c r="C87" s="47"/>
      <c r="D87" s="46"/>
      <c r="E87" s="46"/>
      <c r="F87" s="45"/>
      <c r="G87" s="44"/>
      <c r="H87" s="43"/>
      <c r="I87" s="40"/>
      <c r="J87" s="40"/>
      <c r="K87" s="40"/>
      <c r="L87" s="40"/>
      <c r="M87" s="40"/>
      <c r="N87" s="41"/>
      <c r="O87" s="40"/>
      <c r="P87" s="41"/>
      <c r="Q87" s="41"/>
      <c r="R87" s="40"/>
      <c r="S87" s="40"/>
      <c r="T87" s="42"/>
      <c r="U87" s="42"/>
      <c r="V87" s="41"/>
      <c r="W87" s="40"/>
      <c r="X87" s="39"/>
      <c r="Y87" s="32"/>
    </row>
    <row r="88" spans="1:25" s="38" customFormat="1" ht="19.5" customHeight="1" x14ac:dyDescent="0.15">
      <c r="A88" s="37"/>
      <c r="B88" s="37"/>
      <c r="C88" s="37"/>
      <c r="D88" s="36"/>
      <c r="E88" s="36"/>
      <c r="F88" s="35"/>
      <c r="G88" s="34"/>
      <c r="H88" s="31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2"/>
    </row>
  </sheetData>
  <mergeCells count="23">
    <mergeCell ref="P79:Q79"/>
    <mergeCell ref="U82:V82"/>
    <mergeCell ref="U17:V17"/>
    <mergeCell ref="U19:V19"/>
    <mergeCell ref="A2:C2"/>
    <mergeCell ref="D2:D3"/>
    <mergeCell ref="A4:C4"/>
    <mergeCell ref="U51:V51"/>
    <mergeCell ref="U72:V72"/>
    <mergeCell ref="E2:E3"/>
    <mergeCell ref="F2:G2"/>
    <mergeCell ref="H2:X3"/>
    <mergeCell ref="U33:V33"/>
    <mergeCell ref="U43:V43"/>
    <mergeCell ref="A1:F1"/>
    <mergeCell ref="U75:V75"/>
    <mergeCell ref="U38:V38"/>
    <mergeCell ref="U35:V35"/>
    <mergeCell ref="U46:V46"/>
    <mergeCell ref="U54:V54"/>
    <mergeCell ref="U64:V64"/>
    <mergeCell ref="U57:V57"/>
    <mergeCell ref="U60:V60"/>
  </mergeCells>
  <phoneticPr fontId="28" type="noConversion"/>
  <printOptions horizontalCentered="1" verticalCentered="1"/>
  <pageMargins left="0" right="0" top="0.35430556535720825" bottom="0.35430556535720825" header="0.15722222626209259" footer="0.15722222626209259"/>
  <pageSetup paperSize="9" scale="86" fitToHeight="0" orientation="landscape" r:id="rId1"/>
  <headerFooter>
    <oddFooter>&amp;C&amp;"맑은 고딕,Regular"&amp;P/&amp;N&amp;R&amp;"맑은 고딕,Regular"공동생활가정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AG182"/>
  <sheetViews>
    <sheetView tabSelected="1" zoomScaleNormal="100" zoomScaleSheetLayoutView="75" workbookViewId="0">
      <pane xSplit="3" ySplit="5" topLeftCell="D69" activePane="bottomRight" state="frozen"/>
      <selection pane="topRight"/>
      <selection pane="bottomLeft"/>
      <selection pane="bottomRight" activeCell="N19" sqref="N19"/>
    </sheetView>
  </sheetViews>
  <sheetFormatPr defaultColWidth="13.77734375" defaultRowHeight="21" customHeight="1" x14ac:dyDescent="0.15"/>
  <cols>
    <col min="1" max="1" width="5.88671875" style="259" bestFit="1" customWidth="1"/>
    <col min="2" max="2" width="7.109375" style="259" bestFit="1" customWidth="1"/>
    <col min="3" max="3" width="10.77734375" style="259" customWidth="1"/>
    <col min="4" max="4" width="10.33203125" style="258" customWidth="1"/>
    <col min="5" max="5" width="7.88671875" style="258" bestFit="1" customWidth="1"/>
    <col min="6" max="6" width="9.109375" style="258" bestFit="1" customWidth="1"/>
    <col min="7" max="7" width="8.5546875" style="258" bestFit="1" customWidth="1"/>
    <col min="8" max="9" width="7" style="258" bestFit="1" customWidth="1"/>
    <col min="10" max="10" width="7.77734375" style="258" customWidth="1"/>
    <col min="11" max="11" width="8.5546875" style="258" customWidth="1"/>
    <col min="12" max="12" width="7.77734375" style="258" customWidth="1"/>
    <col min="13" max="13" width="7.109375" style="258" bestFit="1" customWidth="1"/>
    <col min="14" max="14" width="7.21875" style="257" bestFit="1" customWidth="1"/>
    <col min="15" max="15" width="14.109375" style="95" customWidth="1"/>
    <col min="16" max="16" width="3.33203125" style="95" customWidth="1"/>
    <col min="17" max="17" width="2.77734375" style="95" customWidth="1"/>
    <col min="18" max="18" width="7.44140625" style="95" customWidth="1"/>
    <col min="19" max="19" width="11.21875" style="256" bestFit="1" customWidth="1"/>
    <col min="20" max="20" width="3.21875" style="256" bestFit="1" customWidth="1"/>
    <col min="21" max="21" width="4" style="256" bestFit="1" customWidth="1"/>
    <col min="22" max="22" width="7.88671875" style="256" bestFit="1" customWidth="1"/>
    <col min="23" max="23" width="3.21875" style="256" customWidth="1"/>
    <col min="24" max="24" width="4.109375" style="256" bestFit="1" customWidth="1"/>
    <col min="25" max="25" width="4.77734375" style="256" customWidth="1"/>
    <col min="26" max="26" width="4.6640625" style="256" bestFit="1" customWidth="1"/>
    <col min="27" max="27" width="3" style="256" customWidth="1"/>
    <col min="28" max="28" width="3.33203125" style="256" customWidth="1"/>
    <col min="29" max="29" width="1.44140625" style="256" customWidth="1"/>
    <col min="30" max="30" width="12" style="256" bestFit="1" customWidth="1"/>
    <col min="31" max="31" width="2.77734375" style="256" customWidth="1"/>
    <col min="32" max="32" width="5.77734375" style="95" customWidth="1"/>
    <col min="33" max="16384" width="13.77734375" style="95"/>
  </cols>
  <sheetData>
    <row r="1" spans="1:32" s="38" customFormat="1" ht="21" customHeight="1" x14ac:dyDescent="0.15">
      <c r="A1" s="532" t="s">
        <v>326</v>
      </c>
      <c r="B1" s="532"/>
      <c r="C1" s="532"/>
      <c r="D1" s="532"/>
      <c r="E1" s="532"/>
      <c r="F1" s="463"/>
      <c r="G1" s="463"/>
      <c r="H1" s="463"/>
      <c r="I1" s="463"/>
      <c r="J1" s="463"/>
      <c r="K1" s="463"/>
      <c r="L1" s="463"/>
      <c r="M1" s="463"/>
      <c r="N1" s="462"/>
      <c r="O1" s="41"/>
      <c r="P1" s="41"/>
      <c r="Q1" s="41"/>
      <c r="R1" s="41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31"/>
    </row>
    <row r="2" spans="1:32" s="243" customFormat="1" ht="27" customHeight="1" x14ac:dyDescent="0.15">
      <c r="A2" s="535" t="s">
        <v>190</v>
      </c>
      <c r="B2" s="536"/>
      <c r="C2" s="536"/>
      <c r="D2" s="537" t="s">
        <v>292</v>
      </c>
      <c r="E2" s="561" t="s">
        <v>294</v>
      </c>
      <c r="F2" s="562"/>
      <c r="G2" s="562"/>
      <c r="H2" s="562"/>
      <c r="I2" s="562"/>
      <c r="J2" s="562"/>
      <c r="K2" s="562"/>
      <c r="L2" s="563"/>
      <c r="M2" s="541" t="s">
        <v>23</v>
      </c>
      <c r="N2" s="541"/>
      <c r="O2" s="547" t="s">
        <v>17</v>
      </c>
      <c r="P2" s="548"/>
      <c r="Q2" s="548"/>
      <c r="R2" s="548"/>
      <c r="S2" s="548"/>
      <c r="T2" s="548"/>
      <c r="U2" s="548"/>
      <c r="V2" s="548"/>
      <c r="W2" s="548"/>
      <c r="X2" s="548"/>
      <c r="Y2" s="548"/>
      <c r="Z2" s="548"/>
      <c r="AA2" s="548"/>
      <c r="AB2" s="548"/>
      <c r="AC2" s="548"/>
      <c r="AD2" s="548"/>
      <c r="AE2" s="549"/>
    </row>
    <row r="3" spans="1:32" s="243" customFormat="1" ht="27" customHeight="1" x14ac:dyDescent="0.15">
      <c r="A3" s="255" t="s">
        <v>98</v>
      </c>
      <c r="B3" s="254" t="s">
        <v>148</v>
      </c>
      <c r="C3" s="254" t="s">
        <v>124</v>
      </c>
      <c r="D3" s="538"/>
      <c r="E3" s="461" t="s">
        <v>268</v>
      </c>
      <c r="F3" s="460" t="s">
        <v>319</v>
      </c>
      <c r="G3" s="460" t="s">
        <v>262</v>
      </c>
      <c r="H3" s="460" t="s">
        <v>63</v>
      </c>
      <c r="I3" s="460" t="s">
        <v>126</v>
      </c>
      <c r="J3" s="460" t="s">
        <v>272</v>
      </c>
      <c r="K3" s="460" t="s">
        <v>276</v>
      </c>
      <c r="L3" s="460" t="s">
        <v>99</v>
      </c>
      <c r="M3" s="253" t="s">
        <v>86</v>
      </c>
      <c r="N3" s="459" t="s">
        <v>235</v>
      </c>
      <c r="O3" s="550"/>
      <c r="P3" s="551"/>
      <c r="Q3" s="551"/>
      <c r="R3" s="551"/>
      <c r="S3" s="551"/>
      <c r="T3" s="551"/>
      <c r="U3" s="551"/>
      <c r="V3" s="551"/>
      <c r="W3" s="551"/>
      <c r="X3" s="551"/>
      <c r="Y3" s="551"/>
      <c r="Z3" s="551"/>
      <c r="AA3" s="551"/>
      <c r="AB3" s="551"/>
      <c r="AC3" s="551"/>
      <c r="AD3" s="551"/>
      <c r="AE3" s="552"/>
    </row>
    <row r="4" spans="1:32" s="38" customFormat="1" ht="21" customHeight="1" x14ac:dyDescent="0.15">
      <c r="A4" s="559" t="s">
        <v>64</v>
      </c>
      <c r="B4" s="560"/>
      <c r="C4" s="560"/>
      <c r="D4" s="458">
        <v>94000</v>
      </c>
      <c r="E4" s="458">
        <f t="shared" ref="E4:L4" si="0">SUM(E5,E94,E108,E155,E164,E167)</f>
        <v>66758</v>
      </c>
      <c r="F4" s="458">
        <f t="shared" si="0"/>
        <v>48362</v>
      </c>
      <c r="G4" s="458">
        <f t="shared" si="0"/>
        <v>2000</v>
      </c>
      <c r="H4" s="458">
        <f t="shared" si="0"/>
        <v>0</v>
      </c>
      <c r="I4" s="458">
        <f t="shared" si="0"/>
        <v>3711.34</v>
      </c>
      <c r="J4" s="458">
        <f t="shared" si="0"/>
        <v>11487</v>
      </c>
      <c r="K4" s="458">
        <f t="shared" si="0"/>
        <v>1</v>
      </c>
      <c r="L4" s="458">
        <f t="shared" si="0"/>
        <v>1197</v>
      </c>
      <c r="M4" s="457">
        <f>E4-D4</f>
        <v>-27242</v>
      </c>
      <c r="N4" s="456">
        <f>IF(D4=0,0,M4/D4)</f>
        <v>-0.28980851063829788</v>
      </c>
      <c r="O4" s="455" t="s">
        <v>291</v>
      </c>
      <c r="P4" s="454"/>
      <c r="Q4" s="454"/>
      <c r="R4" s="454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>
        <f>SUM(AD5,AD94,AD108,AD155,AD164,AD167)</f>
        <v>66758000</v>
      </c>
      <c r="AE4" s="452" t="s">
        <v>146</v>
      </c>
      <c r="AF4" s="33"/>
    </row>
    <row r="5" spans="1:32" s="38" customFormat="1" ht="21" customHeight="1" x14ac:dyDescent="0.15">
      <c r="A5" s="289" t="s">
        <v>115</v>
      </c>
      <c r="B5" s="557" t="s">
        <v>46</v>
      </c>
      <c r="C5" s="558"/>
      <c r="D5" s="451">
        <v>75049</v>
      </c>
      <c r="E5" s="451">
        <f t="shared" ref="E5:L5" si="1">SUM(E6,E52,E62)</f>
        <v>50502</v>
      </c>
      <c r="F5" s="451">
        <f t="shared" si="1"/>
        <v>44244.9</v>
      </c>
      <c r="G5" s="451">
        <f t="shared" si="1"/>
        <v>0</v>
      </c>
      <c r="H5" s="451">
        <f t="shared" si="1"/>
        <v>0</v>
      </c>
      <c r="I5" s="451">
        <f t="shared" si="1"/>
        <v>1588.34</v>
      </c>
      <c r="J5" s="451">
        <f t="shared" si="1"/>
        <v>4194</v>
      </c>
      <c r="K5" s="451">
        <f t="shared" si="1"/>
        <v>0</v>
      </c>
      <c r="L5" s="451">
        <f t="shared" si="1"/>
        <v>475</v>
      </c>
      <c r="M5" s="450">
        <f>E5-D5</f>
        <v>-24547</v>
      </c>
      <c r="N5" s="449">
        <f>IF(D5=0,0,M5/D5)</f>
        <v>-0.32707964130101669</v>
      </c>
      <c r="O5" s="448" t="s">
        <v>115</v>
      </c>
      <c r="P5" s="448"/>
      <c r="Q5" s="448"/>
      <c r="R5" s="448"/>
      <c r="S5" s="447"/>
      <c r="T5" s="447"/>
      <c r="U5" s="447"/>
      <c r="V5" s="447"/>
      <c r="W5" s="447"/>
      <c r="X5" s="447"/>
      <c r="Y5" s="447"/>
      <c r="Z5" s="447"/>
      <c r="AA5" s="447"/>
      <c r="AB5" s="447"/>
      <c r="AC5" s="447"/>
      <c r="AD5" s="447">
        <f>SUM(AD6,AD52,AD62)</f>
        <v>50502000</v>
      </c>
      <c r="AE5" s="446" t="s">
        <v>146</v>
      </c>
      <c r="AF5" s="33"/>
    </row>
    <row r="6" spans="1:32" s="38" customFormat="1" ht="21" customHeight="1" x14ac:dyDescent="0.15">
      <c r="A6" s="106"/>
      <c r="B6" s="80" t="s">
        <v>133</v>
      </c>
      <c r="C6" s="445" t="s">
        <v>161</v>
      </c>
      <c r="D6" s="444">
        <v>65934</v>
      </c>
      <c r="E6" s="444">
        <f t="shared" ref="E6:L6" si="2">SUM(E7,E11,E14,E23,E26,E46)</f>
        <v>40586</v>
      </c>
      <c r="F6" s="444">
        <f t="shared" si="2"/>
        <v>38883</v>
      </c>
      <c r="G6" s="444">
        <f t="shared" si="2"/>
        <v>0</v>
      </c>
      <c r="H6" s="444">
        <f t="shared" si="2"/>
        <v>0</v>
      </c>
      <c r="I6" s="444">
        <f t="shared" si="2"/>
        <v>1588.34</v>
      </c>
      <c r="J6" s="444">
        <f t="shared" si="2"/>
        <v>115</v>
      </c>
      <c r="K6" s="444">
        <f t="shared" si="2"/>
        <v>0</v>
      </c>
      <c r="L6" s="444">
        <f t="shared" si="2"/>
        <v>0</v>
      </c>
      <c r="M6" s="443">
        <f>E6-D6</f>
        <v>-25348</v>
      </c>
      <c r="N6" s="442">
        <f>IF(D6=0,0,M6/D6)</f>
        <v>-0.38444505111171778</v>
      </c>
      <c r="O6" s="441" t="s">
        <v>133</v>
      </c>
      <c r="P6" s="441"/>
      <c r="Q6" s="441"/>
      <c r="R6" s="441"/>
      <c r="S6" s="440"/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>
        <f>SUM(AD7,AD11,AD14,AD23,AD26,AD46)</f>
        <v>40586000</v>
      </c>
      <c r="AE6" s="439" t="s">
        <v>146</v>
      </c>
      <c r="AF6" s="33"/>
    </row>
    <row r="7" spans="1:32" s="38" customFormat="1" ht="21" customHeight="1" x14ac:dyDescent="0.15">
      <c r="A7" s="106"/>
      <c r="B7" s="58"/>
      <c r="C7" s="80" t="s">
        <v>105</v>
      </c>
      <c r="D7" s="274">
        <v>43376</v>
      </c>
      <c r="E7" s="274">
        <f>AD7/1000</f>
        <v>25624</v>
      </c>
      <c r="F7" s="274">
        <f>SUMIF($AB$8:$AB$10,"보조",$AD$8:$AD$10)/1000</f>
        <v>25624</v>
      </c>
      <c r="G7" s="274">
        <v>0</v>
      </c>
      <c r="H7" s="274">
        <v>0</v>
      </c>
      <c r="I7" s="274">
        <f>SUMIF($AB$8:$AB$9,"후원",$AD$8:$AD$9)/1000</f>
        <v>0</v>
      </c>
      <c r="J7" s="274">
        <f>SUMIF($AB$8:$AB$9,"입소",$AD$8:$AD$9)/1000</f>
        <v>0</v>
      </c>
      <c r="K7" s="274">
        <f>SUMIF($AB$8:$AB$9,"법인",$AD$8:$AD$9)/1000</f>
        <v>0</v>
      </c>
      <c r="L7" s="274">
        <f>SUMIF($AB$8:$AB$9,"잡수",$AD$8:$AD$9)/1000</f>
        <v>0</v>
      </c>
      <c r="M7" s="304">
        <f>E7-D7</f>
        <v>-17752</v>
      </c>
      <c r="N7" s="438">
        <f>IF(D7=0,0,M7/D7)</f>
        <v>-0.40925857617115458</v>
      </c>
      <c r="O7" s="273" t="s">
        <v>263</v>
      </c>
      <c r="P7" s="273"/>
      <c r="Q7" s="85"/>
      <c r="R7" s="85"/>
      <c r="S7" s="85"/>
      <c r="T7" s="84"/>
      <c r="U7" s="84"/>
      <c r="V7" s="84"/>
      <c r="W7" s="271" t="s">
        <v>241</v>
      </c>
      <c r="X7" s="271"/>
      <c r="Y7" s="271"/>
      <c r="Z7" s="271"/>
      <c r="AA7" s="271"/>
      <c r="AB7" s="271"/>
      <c r="AC7" s="270"/>
      <c r="AD7" s="270">
        <f>SUM(AD8:AD9)</f>
        <v>25624000</v>
      </c>
      <c r="AE7" s="269" t="s">
        <v>146</v>
      </c>
      <c r="AF7" s="31"/>
    </row>
    <row r="8" spans="1:32" s="38" customFormat="1" ht="21" customHeight="1" x14ac:dyDescent="0.15">
      <c r="A8" s="106"/>
      <c r="B8" s="58"/>
      <c r="C8" s="5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82"/>
      <c r="O8" s="164" t="s">
        <v>61</v>
      </c>
      <c r="P8" s="163"/>
      <c r="Q8" s="163"/>
      <c r="R8" s="163" t="s">
        <v>296</v>
      </c>
      <c r="S8" s="420">
        <v>2102000</v>
      </c>
      <c r="T8" s="50" t="s">
        <v>146</v>
      </c>
      <c r="U8" s="163" t="s">
        <v>128</v>
      </c>
      <c r="V8" s="50">
        <v>8</v>
      </c>
      <c r="W8" s="50" t="s">
        <v>108</v>
      </c>
      <c r="X8" s="50"/>
      <c r="Y8" s="50"/>
      <c r="Z8" s="50" t="s">
        <v>127</v>
      </c>
      <c r="AA8" s="50"/>
      <c r="AB8" s="50" t="s">
        <v>110</v>
      </c>
      <c r="AC8" s="61"/>
      <c r="AD8" s="61">
        <f>S8*V8</f>
        <v>16816000</v>
      </c>
      <c r="AE8" s="145" t="s">
        <v>146</v>
      </c>
      <c r="AF8" s="33"/>
    </row>
    <row r="9" spans="1:32" s="38" customFormat="1" ht="21" customHeight="1" x14ac:dyDescent="0.15">
      <c r="A9" s="106"/>
      <c r="B9" s="58"/>
      <c r="C9" s="5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82"/>
      <c r="O9" s="437"/>
      <c r="P9" s="436"/>
      <c r="Q9" s="436"/>
      <c r="R9" s="436" t="s">
        <v>297</v>
      </c>
      <c r="S9" s="420">
        <v>2202000</v>
      </c>
      <c r="T9" s="50" t="s">
        <v>146</v>
      </c>
      <c r="U9" s="163" t="s">
        <v>128</v>
      </c>
      <c r="V9" s="50">
        <v>4</v>
      </c>
      <c r="W9" s="50" t="s">
        <v>108</v>
      </c>
      <c r="X9" s="50"/>
      <c r="Y9" s="50"/>
      <c r="Z9" s="50" t="s">
        <v>127</v>
      </c>
      <c r="AA9" s="50"/>
      <c r="AB9" s="50" t="s">
        <v>110</v>
      </c>
      <c r="AC9" s="61"/>
      <c r="AD9" s="61">
        <f>S9*V9</f>
        <v>8808000</v>
      </c>
      <c r="AE9" s="145" t="s">
        <v>146</v>
      </c>
      <c r="AF9" s="33"/>
    </row>
    <row r="10" spans="1:32" s="38" customFormat="1" ht="21" customHeight="1" x14ac:dyDescent="0.15">
      <c r="A10" s="106"/>
      <c r="B10" s="58"/>
      <c r="C10" s="5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82"/>
      <c r="O10" s="435"/>
      <c r="P10" s="434"/>
      <c r="Q10" s="434"/>
      <c r="R10" s="434"/>
      <c r="S10" s="206"/>
      <c r="T10" s="206"/>
      <c r="U10" s="200"/>
      <c r="V10" s="206"/>
      <c r="W10" s="206"/>
      <c r="X10" s="206"/>
      <c r="Y10" s="206"/>
      <c r="Z10" s="206"/>
      <c r="AA10" s="206"/>
      <c r="AB10" s="206"/>
      <c r="AC10" s="199"/>
      <c r="AD10" s="199"/>
      <c r="AE10" s="198"/>
      <c r="AF10" s="31"/>
    </row>
    <row r="11" spans="1:32" s="38" customFormat="1" ht="21" customHeight="1" x14ac:dyDescent="0.15">
      <c r="A11" s="106"/>
      <c r="B11" s="58"/>
      <c r="C11" s="80" t="s">
        <v>202</v>
      </c>
      <c r="D11" s="274">
        <v>0</v>
      </c>
      <c r="E11" s="274">
        <f>SUM(F11:L11)</f>
        <v>0</v>
      </c>
      <c r="F11" s="274">
        <f>SUMIF($AB$12:$AB$13,"",$AD$12:$AD$13)/1000</f>
        <v>0</v>
      </c>
      <c r="G11" s="274">
        <f>SUMIF($AB$12:$AB$13,"",$AD$12:$AD$13)/1000</f>
        <v>0</v>
      </c>
      <c r="H11" s="274">
        <f>SUMIF($AB$12:$AB$13,"시비",$AD$12:$AD$13)/1000</f>
        <v>0</v>
      </c>
      <c r="I11" s="274">
        <f>SUMIF($AB$12:$AB$13,"후원",$AD$12:$AD$13)/1000</f>
        <v>0</v>
      </c>
      <c r="J11" s="274">
        <f>SUMIF($AB$12:$AB$13,"입소",$AD$12:$AD$13)/1000</f>
        <v>0</v>
      </c>
      <c r="K11" s="274">
        <f>SUMIF($AB$12:$AB$13,"법인",$AD$12:$AD$13)/1000</f>
        <v>0</v>
      </c>
      <c r="L11" s="274">
        <f>SUMIF($AB$12:$AB$13,"잡소",$AD$12:$AD$13)/1000</f>
        <v>0</v>
      </c>
      <c r="M11" s="398">
        <f>E11-D11</f>
        <v>0</v>
      </c>
      <c r="N11" s="165">
        <f>IF(D11=0,0,M11/D11)</f>
        <v>0</v>
      </c>
      <c r="O11" s="86" t="s">
        <v>288</v>
      </c>
      <c r="P11" s="273"/>
      <c r="Q11" s="85"/>
      <c r="R11" s="85"/>
      <c r="S11" s="85"/>
      <c r="T11" s="84"/>
      <c r="U11" s="84"/>
      <c r="V11" s="84"/>
      <c r="W11" s="271" t="s">
        <v>241</v>
      </c>
      <c r="X11" s="271"/>
      <c r="Y11" s="271"/>
      <c r="Z11" s="271"/>
      <c r="AA11" s="271"/>
      <c r="AB11" s="271"/>
      <c r="AC11" s="270"/>
      <c r="AD11" s="270">
        <f>SUM(AD12)</f>
        <v>0</v>
      </c>
      <c r="AE11" s="269" t="s">
        <v>146</v>
      </c>
      <c r="AF11" s="31"/>
    </row>
    <row r="12" spans="1:32" s="38" customFormat="1" ht="21" customHeight="1" x14ac:dyDescent="0.15">
      <c r="A12" s="106"/>
      <c r="B12" s="58"/>
      <c r="C12" s="5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82"/>
      <c r="O12" s="317"/>
      <c r="P12" s="122"/>
      <c r="Q12" s="51"/>
      <c r="R12" s="51"/>
      <c r="S12" s="53"/>
      <c r="T12" s="53"/>
      <c r="U12" s="51"/>
      <c r="V12" s="53"/>
      <c r="W12" s="53"/>
      <c r="X12" s="51"/>
      <c r="Y12" s="292"/>
      <c r="Z12" s="52"/>
      <c r="AA12" s="52"/>
      <c r="AB12" s="53"/>
      <c r="AC12" s="62"/>
      <c r="AD12" s="184">
        <f>S12*V12*Y12</f>
        <v>0</v>
      </c>
      <c r="AE12" s="49" t="s">
        <v>146</v>
      </c>
      <c r="AF12" s="31"/>
    </row>
    <row r="13" spans="1:32" s="38" customFormat="1" ht="21" customHeight="1" x14ac:dyDescent="0.15">
      <c r="A13" s="106"/>
      <c r="B13" s="58"/>
      <c r="C13" s="5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82"/>
      <c r="O13" s="51"/>
      <c r="P13" s="51"/>
      <c r="Q13" s="51"/>
      <c r="R13" s="51"/>
      <c r="S13" s="53"/>
      <c r="T13" s="53"/>
      <c r="U13" s="51"/>
      <c r="V13" s="53"/>
      <c r="W13" s="53"/>
      <c r="X13" s="51"/>
      <c r="Y13" s="433"/>
      <c r="Z13" s="53"/>
      <c r="AA13" s="53"/>
      <c r="AB13" s="53"/>
      <c r="AC13" s="62"/>
      <c r="AD13" s="53"/>
      <c r="AE13" s="49"/>
      <c r="AF13" s="31"/>
    </row>
    <row r="14" spans="1:32" s="38" customFormat="1" ht="21" customHeight="1" x14ac:dyDescent="0.15">
      <c r="A14" s="106"/>
      <c r="B14" s="58"/>
      <c r="C14" s="80" t="s">
        <v>143</v>
      </c>
      <c r="D14" s="274">
        <v>12111</v>
      </c>
      <c r="E14" s="274">
        <f>AD14/1000</f>
        <v>7181</v>
      </c>
      <c r="F14" s="274">
        <f>ROUND(SUMIF($AB$16:$AB$22,"보조",$AD$16:$AD$22)/1000,0)+1</f>
        <v>7181</v>
      </c>
      <c r="G14" s="274">
        <f>SUMIF($AB$16:$AB$22,"7종",$AD$16:$AD$22)/1000</f>
        <v>0</v>
      </c>
      <c r="H14" s="274">
        <f>SUMIF($AB$16:$AB$22,"시비",$AD$16:$AD$22)/1000</f>
        <v>0</v>
      </c>
      <c r="I14" s="274">
        <f>SUMIF($AB$16:$AB$22,"후원",$AD$16:$AD$22)/1000</f>
        <v>0</v>
      </c>
      <c r="J14" s="274">
        <f>SUMIF($AB$16:$AB$22,"입소",$AD$16:$AD$22)/1000</f>
        <v>0</v>
      </c>
      <c r="K14" s="274">
        <f>SUMIF($AB$16:$AB$22,"법인",$AD$16:$AD$22)/1000</f>
        <v>0</v>
      </c>
      <c r="L14" s="274">
        <f>SUMIF($AB$16:$AB$22,"잡수",$AD$16:$AD$22)/1000</f>
        <v>0</v>
      </c>
      <c r="M14" s="304">
        <f>E14-D14</f>
        <v>-4930</v>
      </c>
      <c r="N14" s="165">
        <f>IF(D14=0,0,M14/D14)</f>
        <v>-0.40706795475187846</v>
      </c>
      <c r="O14" s="67" t="s">
        <v>259</v>
      </c>
      <c r="P14" s="66"/>
      <c r="Q14" s="359"/>
      <c r="R14" s="359"/>
      <c r="S14" s="359"/>
      <c r="T14" s="65"/>
      <c r="U14" s="65"/>
      <c r="V14" s="65"/>
      <c r="W14" s="272" t="s">
        <v>241</v>
      </c>
      <c r="X14" s="272"/>
      <c r="Y14" s="272"/>
      <c r="Z14" s="272"/>
      <c r="AA14" s="272"/>
      <c r="AB14" s="272"/>
      <c r="AC14" s="332"/>
      <c r="AD14" s="332">
        <f>SUM(명절휴가비,연장근로수당)</f>
        <v>7181000</v>
      </c>
      <c r="AE14" s="282" t="s">
        <v>146</v>
      </c>
      <c r="AF14" s="31"/>
    </row>
    <row r="15" spans="1:32" s="38" customFormat="1" ht="21" customHeight="1" x14ac:dyDescent="0.15">
      <c r="A15" s="106"/>
      <c r="B15" s="58"/>
      <c r="C15" s="5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82"/>
      <c r="O15" s="489" t="s">
        <v>269</v>
      </c>
      <c r="P15" s="490"/>
      <c r="Q15" s="490"/>
      <c r="R15" s="490"/>
      <c r="S15" s="490"/>
      <c r="T15" s="491"/>
      <c r="U15" s="491"/>
      <c r="V15" s="491"/>
      <c r="W15" s="492" t="s">
        <v>70</v>
      </c>
      <c r="X15" s="492"/>
      <c r="Y15" s="492"/>
      <c r="Z15" s="492"/>
      <c r="AA15" s="492"/>
      <c r="AB15" s="492"/>
      <c r="AC15" s="493" t="s">
        <v>154</v>
      </c>
      <c r="AD15" s="493">
        <f>ROUNDUP(SUM(AD16:AD17),-3)</f>
        <v>2583000</v>
      </c>
      <c r="AE15" s="494" t="s">
        <v>146</v>
      </c>
      <c r="AF15" s="431"/>
    </row>
    <row r="16" spans="1:32" s="38" customFormat="1" ht="21" customHeight="1" x14ac:dyDescent="0.15">
      <c r="A16" s="106"/>
      <c r="B16" s="58"/>
      <c r="C16" s="5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82"/>
      <c r="O16" s="495" t="s">
        <v>61</v>
      </c>
      <c r="P16" s="490"/>
      <c r="Q16" s="490"/>
      <c r="R16" s="496" t="s">
        <v>296</v>
      </c>
      <c r="S16" s="430">
        <v>2102000</v>
      </c>
      <c r="T16" s="491" t="s">
        <v>146</v>
      </c>
      <c r="U16" s="490" t="s">
        <v>128</v>
      </c>
      <c r="V16" s="497">
        <v>0.6</v>
      </c>
      <c r="W16" s="491"/>
      <c r="X16" s="491"/>
      <c r="Y16" s="491"/>
      <c r="Z16" s="491" t="s">
        <v>127</v>
      </c>
      <c r="AA16" s="491"/>
      <c r="AB16" s="491" t="s">
        <v>110</v>
      </c>
      <c r="AC16" s="498"/>
      <c r="AD16" s="498">
        <f>ROUND(S16*V16,-2)</f>
        <v>1261200</v>
      </c>
      <c r="AE16" s="499" t="s">
        <v>146</v>
      </c>
      <c r="AF16" s="411"/>
    </row>
    <row r="17" spans="1:32" s="38" customFormat="1" ht="21" customHeight="1" x14ac:dyDescent="0.15">
      <c r="A17" s="106"/>
      <c r="B17" s="58"/>
      <c r="C17" s="5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82"/>
      <c r="O17" s="490"/>
      <c r="P17" s="490"/>
      <c r="Q17" s="490"/>
      <c r="R17" s="496" t="s">
        <v>297</v>
      </c>
      <c r="S17" s="430">
        <v>2202000</v>
      </c>
      <c r="T17" s="491" t="s">
        <v>146</v>
      </c>
      <c r="U17" s="490" t="s">
        <v>128</v>
      </c>
      <c r="V17" s="497">
        <v>0.6</v>
      </c>
      <c r="W17" s="491"/>
      <c r="X17" s="491"/>
      <c r="Y17" s="491"/>
      <c r="Z17" s="491" t="s">
        <v>127</v>
      </c>
      <c r="AA17" s="491"/>
      <c r="AB17" s="491" t="s">
        <v>110</v>
      </c>
      <c r="AC17" s="498"/>
      <c r="AD17" s="498">
        <f>ROUND(S17*V17,-2)</f>
        <v>1321200</v>
      </c>
      <c r="AE17" s="499" t="s">
        <v>146</v>
      </c>
      <c r="AF17" s="411"/>
    </row>
    <row r="18" spans="1:32" s="38" customFormat="1" ht="21" customHeight="1" x14ac:dyDescent="0.15">
      <c r="A18" s="106"/>
      <c r="B18" s="58"/>
      <c r="C18" s="5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82"/>
      <c r="O18" s="163"/>
      <c r="P18" s="163"/>
      <c r="Q18" s="163"/>
      <c r="R18" s="163"/>
      <c r="S18" s="420"/>
      <c r="T18" s="50"/>
      <c r="U18" s="51"/>
      <c r="V18" s="432"/>
      <c r="W18" s="50"/>
      <c r="X18" s="50"/>
      <c r="Y18" s="50"/>
      <c r="Z18" s="50"/>
      <c r="AA18" s="50"/>
      <c r="AB18" s="50"/>
      <c r="AC18" s="61"/>
      <c r="AD18" s="61"/>
      <c r="AE18" s="145"/>
      <c r="AF18" s="411"/>
    </row>
    <row r="19" spans="1:32" s="38" customFormat="1" ht="21" customHeight="1" x14ac:dyDescent="0.15">
      <c r="A19" s="106"/>
      <c r="B19" s="58"/>
      <c r="C19" s="5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82"/>
      <c r="O19" s="200" t="s">
        <v>1</v>
      </c>
      <c r="P19" s="163"/>
      <c r="Q19" s="163"/>
      <c r="R19" s="163"/>
      <c r="S19" s="163"/>
      <c r="T19" s="50"/>
      <c r="U19" s="50"/>
      <c r="V19" s="50"/>
      <c r="W19" s="206" t="s">
        <v>70</v>
      </c>
      <c r="X19" s="206"/>
      <c r="Y19" s="206"/>
      <c r="Z19" s="206"/>
      <c r="AA19" s="206"/>
      <c r="AB19" s="206"/>
      <c r="AC19" s="199" t="s">
        <v>154</v>
      </c>
      <c r="AD19" s="199">
        <f>ROUND(SUM(AD20:AD21),-3)</f>
        <v>4598000</v>
      </c>
      <c r="AE19" s="198" t="s">
        <v>146</v>
      </c>
      <c r="AF19" s="431"/>
    </row>
    <row r="20" spans="1:32" s="38" customFormat="1" ht="21" customHeight="1" x14ac:dyDescent="0.15">
      <c r="A20" s="106"/>
      <c r="B20" s="58"/>
      <c r="C20" s="5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82"/>
      <c r="O20" s="163" t="s">
        <v>61</v>
      </c>
      <c r="P20" s="163"/>
      <c r="Q20" s="163"/>
      <c r="R20" s="419" t="s">
        <v>296</v>
      </c>
      <c r="S20" s="430">
        <v>2102000</v>
      </c>
      <c r="T20" s="50" t="s">
        <v>146</v>
      </c>
      <c r="U20" s="167" t="s">
        <v>155</v>
      </c>
      <c r="V20" s="429">
        <v>209</v>
      </c>
      <c r="W20" s="428">
        <v>1.5</v>
      </c>
      <c r="X20" s="163" t="s">
        <v>128</v>
      </c>
      <c r="Y20" s="427">
        <v>25</v>
      </c>
      <c r="Z20" s="426">
        <v>8</v>
      </c>
      <c r="AA20" s="50" t="s">
        <v>127</v>
      </c>
      <c r="AB20" s="50" t="s">
        <v>110</v>
      </c>
      <c r="AC20" s="61"/>
      <c r="AD20" s="61">
        <f>ROUNDUP(ROUNDDOWN(S20/V20*W20*Y20,-1)*Z20,-3)</f>
        <v>3018000</v>
      </c>
      <c r="AE20" s="145" t="s">
        <v>146</v>
      </c>
      <c r="AF20" s="411"/>
    </row>
    <row r="21" spans="1:32" s="38" customFormat="1" ht="21" customHeight="1" x14ac:dyDescent="0.15">
      <c r="A21" s="106"/>
      <c r="B21" s="58"/>
      <c r="C21" s="5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82"/>
      <c r="O21" s="163"/>
      <c r="P21" s="163"/>
      <c r="Q21" s="163"/>
      <c r="R21" s="436" t="s">
        <v>297</v>
      </c>
      <c r="S21" s="430">
        <v>2202000</v>
      </c>
      <c r="T21" s="50" t="s">
        <v>146</v>
      </c>
      <c r="U21" s="167" t="s">
        <v>155</v>
      </c>
      <c r="V21" s="429">
        <v>209</v>
      </c>
      <c r="W21" s="428">
        <v>1.5</v>
      </c>
      <c r="X21" s="163" t="s">
        <v>128</v>
      </c>
      <c r="Y21" s="427">
        <v>25</v>
      </c>
      <c r="Z21" s="426">
        <v>4</v>
      </c>
      <c r="AA21" s="50" t="s">
        <v>127</v>
      </c>
      <c r="AB21" s="50" t="s">
        <v>110</v>
      </c>
      <c r="AC21" s="61"/>
      <c r="AD21" s="61">
        <f>ROUND(ROUNDUP(S21/V21*W21*Y21,-1)*Z21,-3)</f>
        <v>1580000</v>
      </c>
      <c r="AE21" s="145" t="s">
        <v>146</v>
      </c>
      <c r="AF21" s="411"/>
    </row>
    <row r="22" spans="1:32" s="38" customFormat="1" ht="21" customHeight="1" x14ac:dyDescent="0.15">
      <c r="A22" s="106"/>
      <c r="B22" s="58"/>
      <c r="C22" s="5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82"/>
      <c r="O22" s="163"/>
      <c r="P22" s="163"/>
      <c r="Q22" s="163"/>
      <c r="R22" s="163"/>
      <c r="S22" s="420"/>
      <c r="T22" s="50"/>
      <c r="U22" s="167"/>
      <c r="V22" s="429"/>
      <c r="W22" s="428"/>
      <c r="X22" s="163"/>
      <c r="Y22" s="427"/>
      <c r="Z22" s="426"/>
      <c r="AA22" s="50"/>
      <c r="AB22" s="50"/>
      <c r="AC22" s="61"/>
      <c r="AD22" s="61"/>
      <c r="AE22" s="145"/>
      <c r="AF22" s="411"/>
    </row>
    <row r="23" spans="1:32" s="38" customFormat="1" ht="21" customHeight="1" x14ac:dyDescent="0.15">
      <c r="A23" s="106"/>
      <c r="B23" s="58"/>
      <c r="C23" s="80" t="s">
        <v>283</v>
      </c>
      <c r="D23" s="274">
        <v>4624</v>
      </c>
      <c r="E23" s="274">
        <f>AD23/1000</f>
        <v>4322</v>
      </c>
      <c r="F23" s="274">
        <f>SUMIF($AB$24:$AB$25,"보조",$AD$24:$AD$25)/1000</f>
        <v>2734</v>
      </c>
      <c r="G23" s="274">
        <f>SUMIF($AB$24:$AB$24,"7종",$AD$24:$AD$24)/1000</f>
        <v>0</v>
      </c>
      <c r="H23" s="274">
        <f>SUMIF($AB$24:$AB$24,"시비",$AD$24:$AD$24)/1000</f>
        <v>0</v>
      </c>
      <c r="I23" s="274">
        <f>SUMIF($AB$24:$AB$25,"후원",$AD$24:$AD$25)/1000+1</f>
        <v>1588.34</v>
      </c>
      <c r="J23" s="274">
        <f>SUMIF($AB$24:$AB$24,"입소",$AD$24:$AD$24)/1000</f>
        <v>0</v>
      </c>
      <c r="K23" s="274">
        <v>0</v>
      </c>
      <c r="L23" s="274">
        <f>SUMIF($AB$24:$AB$24,"잡수",$AD$24:$AD$24)/1000</f>
        <v>0</v>
      </c>
      <c r="M23" s="304">
        <f>E23-D23</f>
        <v>-302</v>
      </c>
      <c r="N23" s="165">
        <f>IF(D23=0,0,M23/D23)</f>
        <v>-6.5311418685121109E-2</v>
      </c>
      <c r="O23" s="389" t="s">
        <v>286</v>
      </c>
      <c r="P23" s="333"/>
      <c r="Q23" s="339"/>
      <c r="R23" s="339"/>
      <c r="S23" s="339"/>
      <c r="T23" s="388"/>
      <c r="U23" s="388"/>
      <c r="V23" s="388"/>
      <c r="W23" s="288" t="s">
        <v>70</v>
      </c>
      <c r="X23" s="288"/>
      <c r="Y23" s="288"/>
      <c r="Z23" s="288"/>
      <c r="AA23" s="288"/>
      <c r="AB23" s="288"/>
      <c r="AC23" s="387" t="s">
        <v>154</v>
      </c>
      <c r="AD23" s="387">
        <f>ROUNDUP(SUM(AD24:AD25),-3)</f>
        <v>4322000</v>
      </c>
      <c r="AE23" s="386" t="s">
        <v>146</v>
      </c>
      <c r="AF23" s="33"/>
    </row>
    <row r="24" spans="1:32" s="38" customFormat="1" ht="21" customHeight="1" x14ac:dyDescent="0.15">
      <c r="A24" s="106"/>
      <c r="B24" s="58"/>
      <c r="C24" s="58"/>
      <c r="D24" s="268"/>
      <c r="E24" s="268"/>
      <c r="F24" s="268"/>
      <c r="G24" s="268"/>
      <c r="H24" s="268"/>
      <c r="I24" s="268"/>
      <c r="J24" s="268"/>
      <c r="K24" s="268"/>
      <c r="L24" s="268"/>
      <c r="M24" s="425"/>
      <c r="N24" s="82"/>
      <c r="O24" s="163" t="s">
        <v>61</v>
      </c>
      <c r="P24" s="163"/>
      <c r="Q24" s="163"/>
      <c r="R24" s="163"/>
      <c r="S24" s="50">
        <f>SUM(AD7,AD14)</f>
        <v>32805000</v>
      </c>
      <c r="T24" s="167" t="s">
        <v>146</v>
      </c>
      <c r="U24" s="167" t="s">
        <v>155</v>
      </c>
      <c r="V24" s="424">
        <v>12</v>
      </c>
      <c r="W24" s="170" t="s">
        <v>108</v>
      </c>
      <c r="X24" s="50"/>
      <c r="Y24" s="50"/>
      <c r="Z24" s="50"/>
      <c r="AA24" s="50" t="s">
        <v>127</v>
      </c>
      <c r="AB24" s="50" t="s">
        <v>110</v>
      </c>
      <c r="AC24" s="61"/>
      <c r="AD24" s="61">
        <f>ROUND(S24/V24,-3)</f>
        <v>2734000</v>
      </c>
      <c r="AE24" s="145" t="s">
        <v>146</v>
      </c>
      <c r="AF24" s="33"/>
    </row>
    <row r="25" spans="1:32" s="38" customFormat="1" ht="21" customHeight="1" x14ac:dyDescent="0.15">
      <c r="A25" s="106"/>
      <c r="B25" s="58"/>
      <c r="C25" s="58"/>
      <c r="D25" s="268"/>
      <c r="E25" s="268"/>
      <c r="F25" s="268"/>
      <c r="G25" s="268"/>
      <c r="H25" s="268"/>
      <c r="I25" s="268"/>
      <c r="J25" s="268"/>
      <c r="K25" s="268"/>
      <c r="L25" s="268"/>
      <c r="M25" s="425"/>
      <c r="N25" s="82"/>
      <c r="O25" s="163" t="s">
        <v>10</v>
      </c>
      <c r="P25" s="163"/>
      <c r="Q25" s="163"/>
      <c r="R25" s="163"/>
      <c r="S25" s="50"/>
      <c r="T25" s="488"/>
      <c r="U25" s="167"/>
      <c r="V25" s="424"/>
      <c r="W25" s="170"/>
      <c r="X25" s="50"/>
      <c r="Y25" s="50"/>
      <c r="Z25" s="50"/>
      <c r="AA25" s="50"/>
      <c r="AB25" s="50" t="s">
        <v>329</v>
      </c>
      <c r="AC25" s="61"/>
      <c r="AD25" s="382">
        <v>1587340</v>
      </c>
      <c r="AE25" s="177" t="s">
        <v>146</v>
      </c>
      <c r="AF25" s="33"/>
    </row>
    <row r="26" spans="1:32" s="38" customFormat="1" ht="21" customHeight="1" x14ac:dyDescent="0.15">
      <c r="A26" s="106"/>
      <c r="B26" s="58"/>
      <c r="C26" s="423" t="s">
        <v>279</v>
      </c>
      <c r="D26" s="274">
        <v>5538</v>
      </c>
      <c r="E26" s="274">
        <f>AD26/1000</f>
        <v>3344</v>
      </c>
      <c r="F26" s="274">
        <f>SUMIF($AB$29:$AB$45,"보조",$AD$29:$AD$45)/1000</f>
        <v>3344</v>
      </c>
      <c r="G26" s="274">
        <f>SUMIF($AB$29:$AB$45,"7종",$AD$29:$AD$45)/1000</f>
        <v>0</v>
      </c>
      <c r="H26" s="274">
        <f>SUMIF($AB$29:$AB$45,"시비",$AD$29:$AD$45)/1000</f>
        <v>0</v>
      </c>
      <c r="I26" s="274">
        <f>SUMIF($AB$29:$AB$45,"후원",$AD$29:$AD$45)/1000</f>
        <v>0</v>
      </c>
      <c r="J26" s="274">
        <f>SUMIF($AB$29:$AB$45,"입소",$AD$29:$AD$45)/1000</f>
        <v>0</v>
      </c>
      <c r="K26" s="274">
        <f>SUMIF($AB$29:$AB$45,"법인",$AD$29:$AD$45)/1000</f>
        <v>0</v>
      </c>
      <c r="L26" s="274">
        <f>SUMIF($AB$29:$AB$45,"잡수",$AD$29:$AD$45)/1000</f>
        <v>0</v>
      </c>
      <c r="M26" s="398">
        <f>E26-D26</f>
        <v>-2194</v>
      </c>
      <c r="N26" s="165">
        <f>IF(D26=0,0,M26/D26)</f>
        <v>-0.39617190321415674</v>
      </c>
      <c r="O26" s="67" t="s">
        <v>50</v>
      </c>
      <c r="P26" s="66"/>
      <c r="Q26" s="359"/>
      <c r="R26" s="359"/>
      <c r="S26" s="359"/>
      <c r="T26" s="65"/>
      <c r="U26" s="65"/>
      <c r="V26" s="65"/>
      <c r="W26" s="272" t="s">
        <v>241</v>
      </c>
      <c r="X26" s="272"/>
      <c r="Y26" s="272"/>
      <c r="Z26" s="272"/>
      <c r="AA26" s="272"/>
      <c r="AB26" s="272"/>
      <c r="AC26" s="332"/>
      <c r="AD26" s="332">
        <f>SUM(AD28,AD31,AD34,AD37,AD40,AD43)</f>
        <v>3344000</v>
      </c>
      <c r="AE26" s="282" t="s">
        <v>146</v>
      </c>
    </row>
    <row r="27" spans="1:32" s="38" customFormat="1" ht="21" customHeight="1" x14ac:dyDescent="0.15">
      <c r="A27" s="106"/>
      <c r="B27" s="58"/>
      <c r="C27" s="58" t="s">
        <v>132</v>
      </c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82"/>
      <c r="O27" s="85"/>
      <c r="P27" s="85"/>
      <c r="Q27" s="85"/>
      <c r="R27" s="85"/>
      <c r="S27" s="85"/>
      <c r="T27" s="84"/>
      <c r="U27" s="84"/>
      <c r="V27" s="84"/>
      <c r="W27" s="84"/>
      <c r="X27" s="84"/>
      <c r="Y27" s="84"/>
      <c r="Z27" s="84"/>
      <c r="AA27" s="84"/>
      <c r="AB27" s="84"/>
      <c r="AC27" s="369"/>
      <c r="AD27" s="369"/>
      <c r="AE27" s="373"/>
      <c r="AF27" s="33"/>
    </row>
    <row r="28" spans="1:32" s="38" customFormat="1" ht="21" customHeight="1" x14ac:dyDescent="0.15">
      <c r="A28" s="106"/>
      <c r="B28" s="58"/>
      <c r="C28" s="5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82"/>
      <c r="O28" s="200" t="s">
        <v>52</v>
      </c>
      <c r="P28" s="163"/>
      <c r="Q28" s="163"/>
      <c r="R28" s="163"/>
      <c r="S28" s="163"/>
      <c r="T28" s="50"/>
      <c r="U28" s="50"/>
      <c r="V28" s="50"/>
      <c r="W28" s="206" t="s">
        <v>70</v>
      </c>
      <c r="X28" s="206"/>
      <c r="Y28" s="206"/>
      <c r="Z28" s="206"/>
      <c r="AA28" s="206"/>
      <c r="AB28" s="206"/>
      <c r="AC28" s="199"/>
      <c r="AD28" s="199">
        <f>ROUND(SUM(AD29:AD29),-3)</f>
        <v>1477000</v>
      </c>
      <c r="AE28" s="198" t="s">
        <v>146</v>
      </c>
      <c r="AF28" s="33"/>
    </row>
    <row r="29" spans="1:32" s="38" customFormat="1" ht="21" customHeight="1" x14ac:dyDescent="0.15">
      <c r="A29" s="106"/>
      <c r="B29" s="58"/>
      <c r="C29" s="5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82"/>
      <c r="O29" s="163"/>
      <c r="P29" s="163"/>
      <c r="Q29" s="163"/>
      <c r="R29" s="163"/>
      <c r="S29" s="50">
        <f>S24</f>
        <v>32805000</v>
      </c>
      <c r="T29" s="167" t="s">
        <v>146</v>
      </c>
      <c r="U29" s="170" t="s">
        <v>128</v>
      </c>
      <c r="V29" s="432">
        <v>0.09</v>
      </c>
      <c r="W29" s="167" t="s">
        <v>155</v>
      </c>
      <c r="X29" s="422">
        <v>2</v>
      </c>
      <c r="Y29" s="168"/>
      <c r="Z29" s="168"/>
      <c r="AA29" s="167" t="s">
        <v>127</v>
      </c>
      <c r="AB29" s="50" t="s">
        <v>110</v>
      </c>
      <c r="AC29" s="61"/>
      <c r="AD29" s="61">
        <f>ROUNDUP(S29*V29/X29,-3)</f>
        <v>1477000</v>
      </c>
      <c r="AE29" s="145" t="s">
        <v>146</v>
      </c>
      <c r="AF29" s="33"/>
    </row>
    <row r="30" spans="1:32" s="38" customFormat="1" ht="21" customHeight="1" x14ac:dyDescent="0.15">
      <c r="A30" s="106"/>
      <c r="B30" s="58"/>
      <c r="C30" s="5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82"/>
      <c r="O30" s="163"/>
      <c r="P30" s="163"/>
      <c r="Q30" s="163"/>
      <c r="R30" s="163"/>
      <c r="S30" s="50"/>
      <c r="T30" s="167"/>
      <c r="U30" s="170"/>
      <c r="V30" s="415"/>
      <c r="W30" s="167"/>
      <c r="X30" s="422"/>
      <c r="Y30" s="168"/>
      <c r="Z30" s="168"/>
      <c r="AA30" s="167"/>
      <c r="AB30" s="50"/>
      <c r="AC30" s="61"/>
      <c r="AD30" s="61"/>
      <c r="AE30" s="145"/>
      <c r="AF30" s="33"/>
    </row>
    <row r="31" spans="1:32" s="38" customFormat="1" ht="21" customHeight="1" x14ac:dyDescent="0.15">
      <c r="A31" s="106"/>
      <c r="B31" s="58"/>
      <c r="C31" s="5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82"/>
      <c r="O31" s="200" t="s">
        <v>314</v>
      </c>
      <c r="P31" s="163"/>
      <c r="Q31" s="163"/>
      <c r="R31" s="163"/>
      <c r="S31" s="163"/>
      <c r="T31" s="50"/>
      <c r="U31" s="50"/>
      <c r="V31" s="419"/>
      <c r="W31" s="206" t="s">
        <v>70</v>
      </c>
      <c r="X31" s="206"/>
      <c r="Y31" s="206"/>
      <c r="Z31" s="206"/>
      <c r="AA31" s="206"/>
      <c r="AB31" s="206"/>
      <c r="AC31" s="199" t="s">
        <v>154</v>
      </c>
      <c r="AD31" s="199">
        <f>ROUND(SUM(AD32:AD32),-3)</f>
        <v>1126000</v>
      </c>
      <c r="AE31" s="198" t="s">
        <v>146</v>
      </c>
      <c r="AF31" s="33"/>
    </row>
    <row r="32" spans="1:32" s="38" customFormat="1" ht="21" customHeight="1" x14ac:dyDescent="0.15">
      <c r="A32" s="106"/>
      <c r="B32" s="58"/>
      <c r="C32" s="5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82"/>
      <c r="O32" s="163"/>
      <c r="P32" s="163"/>
      <c r="Q32" s="163"/>
      <c r="R32" s="163"/>
      <c r="S32" s="50">
        <f>S29</f>
        <v>32805000</v>
      </c>
      <c r="T32" s="167" t="s">
        <v>146</v>
      </c>
      <c r="U32" s="170" t="s">
        <v>128</v>
      </c>
      <c r="V32" s="418">
        <v>6.8599999999999994E-2</v>
      </c>
      <c r="W32" s="167" t="s">
        <v>155</v>
      </c>
      <c r="X32" s="421">
        <v>2</v>
      </c>
      <c r="Y32" s="168"/>
      <c r="Z32" s="168"/>
      <c r="AA32" s="167" t="s">
        <v>127</v>
      </c>
      <c r="AB32" s="50" t="s">
        <v>110</v>
      </c>
      <c r="AC32" s="61"/>
      <c r="AD32" s="61">
        <f>ROUNDUP(S32*V32/X32,-3)</f>
        <v>1126000</v>
      </c>
      <c r="AE32" s="145" t="s">
        <v>146</v>
      </c>
      <c r="AF32" s="33"/>
    </row>
    <row r="33" spans="1:32" s="38" customFormat="1" ht="21" customHeight="1" x14ac:dyDescent="0.15">
      <c r="A33" s="106"/>
      <c r="B33" s="58"/>
      <c r="C33" s="5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82"/>
      <c r="O33" s="163"/>
      <c r="P33" s="163"/>
      <c r="Q33" s="163"/>
      <c r="R33" s="163"/>
      <c r="S33" s="50"/>
      <c r="T33" s="167"/>
      <c r="U33" s="170"/>
      <c r="V33" s="415"/>
      <c r="W33" s="167"/>
      <c r="X33" s="421"/>
      <c r="Y33" s="168"/>
      <c r="Z33" s="168"/>
      <c r="AA33" s="167"/>
      <c r="AB33" s="50"/>
      <c r="AC33" s="61"/>
      <c r="AD33" s="61"/>
      <c r="AE33" s="145"/>
      <c r="AF33" s="33"/>
    </row>
    <row r="34" spans="1:32" s="38" customFormat="1" ht="21" customHeight="1" x14ac:dyDescent="0.15">
      <c r="A34" s="106"/>
      <c r="B34" s="58"/>
      <c r="C34" s="5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82"/>
      <c r="O34" s="200" t="s">
        <v>66</v>
      </c>
      <c r="P34" s="163"/>
      <c r="Q34" s="163"/>
      <c r="R34" s="163"/>
      <c r="S34" s="163"/>
      <c r="T34" s="50"/>
      <c r="U34" s="50"/>
      <c r="V34" s="419"/>
      <c r="W34" s="206" t="s">
        <v>70</v>
      </c>
      <c r="X34" s="206"/>
      <c r="Y34" s="206"/>
      <c r="Z34" s="206"/>
      <c r="AA34" s="206"/>
      <c r="AB34" s="206"/>
      <c r="AC34" s="199" t="s">
        <v>154</v>
      </c>
      <c r="AD34" s="199">
        <f>ROUNDUP(SUM(AD35:AD35),-3)</f>
        <v>130000</v>
      </c>
      <c r="AE34" s="198" t="s">
        <v>146</v>
      </c>
      <c r="AF34" s="33"/>
    </row>
    <row r="35" spans="1:32" s="38" customFormat="1" ht="21" customHeight="1" x14ac:dyDescent="0.15">
      <c r="A35" s="106"/>
      <c r="B35" s="58"/>
      <c r="C35" s="5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82"/>
      <c r="O35" s="163"/>
      <c r="P35" s="163"/>
      <c r="Q35" s="163"/>
      <c r="R35" s="163"/>
      <c r="S35" s="420">
        <f>AD32</f>
        <v>1126000</v>
      </c>
      <c r="T35" s="167" t="s">
        <v>146</v>
      </c>
      <c r="U35" s="170" t="s">
        <v>128</v>
      </c>
      <c r="V35" s="418">
        <v>0.1152</v>
      </c>
      <c r="W35" s="170"/>
      <c r="X35" s="412"/>
      <c r="Y35" s="168"/>
      <c r="Z35" s="168"/>
      <c r="AA35" s="167" t="s">
        <v>127</v>
      </c>
      <c r="AB35" s="50" t="s">
        <v>110</v>
      </c>
      <c r="AC35" s="61"/>
      <c r="AD35" s="61">
        <f>ROUNDUP(S35*V35,-3)</f>
        <v>130000</v>
      </c>
      <c r="AE35" s="145" t="s">
        <v>146</v>
      </c>
      <c r="AF35" s="33"/>
    </row>
    <row r="36" spans="1:32" s="38" customFormat="1" ht="21" customHeight="1" x14ac:dyDescent="0.15">
      <c r="A36" s="106"/>
      <c r="B36" s="58"/>
      <c r="C36" s="5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82"/>
      <c r="O36" s="163"/>
      <c r="P36" s="163"/>
      <c r="Q36" s="163"/>
      <c r="R36" s="163"/>
      <c r="S36" s="420"/>
      <c r="T36" s="167"/>
      <c r="U36" s="170"/>
      <c r="V36" s="415"/>
      <c r="W36" s="170"/>
      <c r="X36" s="412"/>
      <c r="Y36" s="168"/>
      <c r="Z36" s="168"/>
      <c r="AA36" s="167"/>
      <c r="AB36" s="50"/>
      <c r="AC36" s="61"/>
      <c r="AD36" s="61"/>
      <c r="AE36" s="145"/>
      <c r="AF36" s="33"/>
    </row>
    <row r="37" spans="1:32" s="38" customFormat="1" ht="21" customHeight="1" x14ac:dyDescent="0.15">
      <c r="A37" s="106"/>
      <c r="B37" s="58"/>
      <c r="C37" s="5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82"/>
      <c r="O37" s="200" t="s">
        <v>49</v>
      </c>
      <c r="P37" s="163"/>
      <c r="Q37" s="163"/>
      <c r="R37" s="163"/>
      <c r="S37" s="50"/>
      <c r="T37" s="50"/>
      <c r="U37" s="50"/>
      <c r="V37" s="419"/>
      <c r="W37" s="206" t="s">
        <v>70</v>
      </c>
      <c r="X37" s="206"/>
      <c r="Y37" s="206"/>
      <c r="Z37" s="206"/>
      <c r="AA37" s="206"/>
      <c r="AB37" s="206"/>
      <c r="AC37" s="199" t="s">
        <v>154</v>
      </c>
      <c r="AD37" s="199">
        <f>ROUND(SUM(AD38:AD38),-3)</f>
        <v>345000</v>
      </c>
      <c r="AE37" s="198" t="s">
        <v>146</v>
      </c>
      <c r="AF37" s="33"/>
    </row>
    <row r="38" spans="1:32" s="38" customFormat="1" ht="21" customHeight="1" x14ac:dyDescent="0.15">
      <c r="A38" s="106"/>
      <c r="B38" s="58"/>
      <c r="C38" s="5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82"/>
      <c r="O38" s="163"/>
      <c r="P38" s="163"/>
      <c r="Q38" s="163"/>
      <c r="R38" s="163"/>
      <c r="S38" s="50">
        <f>S32</f>
        <v>32805000</v>
      </c>
      <c r="T38" s="167" t="s">
        <v>146</v>
      </c>
      <c r="U38" s="170" t="s">
        <v>128</v>
      </c>
      <c r="V38" s="418">
        <v>1.0500000000000001E-2</v>
      </c>
      <c r="W38" s="170"/>
      <c r="X38" s="412"/>
      <c r="Y38" s="168"/>
      <c r="Z38" s="168"/>
      <c r="AA38" s="167" t="s">
        <v>127</v>
      </c>
      <c r="AB38" s="50" t="s">
        <v>110</v>
      </c>
      <c r="AC38" s="61"/>
      <c r="AD38" s="61">
        <f>ROUNDUP(S38*V38,-3)</f>
        <v>345000</v>
      </c>
      <c r="AE38" s="145" t="s">
        <v>146</v>
      </c>
      <c r="AF38" s="33"/>
    </row>
    <row r="39" spans="1:32" s="38" customFormat="1" ht="21" customHeight="1" x14ac:dyDescent="0.15">
      <c r="A39" s="106"/>
      <c r="B39" s="58"/>
      <c r="C39" s="5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82"/>
      <c r="O39" s="163"/>
      <c r="P39" s="163"/>
      <c r="Q39" s="163"/>
      <c r="R39" s="163"/>
      <c r="S39" s="50"/>
      <c r="T39" s="167"/>
      <c r="U39" s="170"/>
      <c r="V39" s="415"/>
      <c r="W39" s="170"/>
      <c r="X39" s="412"/>
      <c r="Y39" s="168"/>
      <c r="Z39" s="168"/>
      <c r="AA39" s="167"/>
      <c r="AB39" s="50"/>
      <c r="AC39" s="61"/>
      <c r="AD39" s="61"/>
      <c r="AE39" s="145"/>
      <c r="AF39" s="33"/>
    </row>
    <row r="40" spans="1:32" s="38" customFormat="1" ht="21" customHeight="1" x14ac:dyDescent="0.15">
      <c r="A40" s="106"/>
      <c r="B40" s="58"/>
      <c r="C40" s="58"/>
      <c r="D40" s="268"/>
      <c r="E40" s="268"/>
      <c r="F40" s="268"/>
      <c r="G40" s="268"/>
      <c r="H40" s="268"/>
      <c r="I40" s="268"/>
      <c r="J40" s="268"/>
      <c r="K40" s="268"/>
      <c r="L40" s="268"/>
      <c r="M40" s="268"/>
      <c r="N40" s="82"/>
      <c r="O40" s="317" t="s">
        <v>67</v>
      </c>
      <c r="P40" s="186"/>
      <c r="Q40" s="186"/>
      <c r="R40" s="186"/>
      <c r="S40" s="186"/>
      <c r="T40" s="184"/>
      <c r="U40" s="184"/>
      <c r="V40" s="417"/>
      <c r="W40" s="316" t="s">
        <v>70</v>
      </c>
      <c r="X40" s="316"/>
      <c r="Y40" s="316"/>
      <c r="Z40" s="316"/>
      <c r="AA40" s="316"/>
      <c r="AB40" s="316"/>
      <c r="AC40" s="315" t="s">
        <v>154</v>
      </c>
      <c r="AD40" s="315">
        <f>ROUND(SUM(AD41:AD41),-3)</f>
        <v>266000</v>
      </c>
      <c r="AE40" s="313" t="s">
        <v>146</v>
      </c>
      <c r="AF40" s="33"/>
    </row>
    <row r="41" spans="1:32" s="38" customFormat="1" ht="21" customHeight="1" x14ac:dyDescent="0.15">
      <c r="A41" s="106"/>
      <c r="B41" s="58"/>
      <c r="C41" s="5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82"/>
      <c r="O41" s="186"/>
      <c r="P41" s="186"/>
      <c r="Q41" s="186"/>
      <c r="R41" s="186"/>
      <c r="S41" s="184">
        <f>S38</f>
        <v>32805000</v>
      </c>
      <c r="T41" s="178" t="s">
        <v>146</v>
      </c>
      <c r="U41" s="180" t="s">
        <v>128</v>
      </c>
      <c r="V41" s="416">
        <v>8.0999999999999996E-3</v>
      </c>
      <c r="W41" s="180"/>
      <c r="X41" s="413"/>
      <c r="Y41" s="87"/>
      <c r="Z41" s="87"/>
      <c r="AA41" s="178" t="s">
        <v>127</v>
      </c>
      <c r="AB41" s="184" t="s">
        <v>110</v>
      </c>
      <c r="AC41" s="153"/>
      <c r="AD41" s="153">
        <f>ROUNDUP(S41*V41,-3)</f>
        <v>266000</v>
      </c>
      <c r="AE41" s="177" t="s">
        <v>146</v>
      </c>
      <c r="AF41" s="33"/>
    </row>
    <row r="42" spans="1:32" s="38" customFormat="1" ht="21" customHeight="1" x14ac:dyDescent="0.15">
      <c r="A42" s="106"/>
      <c r="B42" s="58"/>
      <c r="C42" s="5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82"/>
      <c r="O42" s="163"/>
      <c r="P42" s="163"/>
      <c r="Q42" s="163"/>
      <c r="R42" s="163"/>
      <c r="S42" s="50"/>
      <c r="T42" s="167"/>
      <c r="U42" s="170"/>
      <c r="V42" s="415"/>
      <c r="W42" s="170"/>
      <c r="X42" s="412"/>
      <c r="Y42" s="168"/>
      <c r="Z42" s="168"/>
      <c r="AA42" s="167"/>
      <c r="AB42" s="50"/>
      <c r="AC42" s="61"/>
      <c r="AD42" s="61"/>
      <c r="AE42" s="145"/>
      <c r="AF42" s="33"/>
    </row>
    <row r="43" spans="1:32" s="38" customFormat="1" ht="21" customHeight="1" x14ac:dyDescent="0.15">
      <c r="A43" s="106"/>
      <c r="B43" s="58"/>
      <c r="C43" s="58"/>
      <c r="D43" s="268"/>
      <c r="E43" s="268"/>
      <c r="F43" s="268"/>
      <c r="G43" s="268"/>
      <c r="H43" s="268"/>
      <c r="I43" s="268"/>
      <c r="J43" s="268"/>
      <c r="K43" s="268"/>
      <c r="L43" s="268"/>
      <c r="M43" s="268"/>
      <c r="N43" s="82"/>
      <c r="O43" s="200" t="s">
        <v>5</v>
      </c>
      <c r="P43" s="163"/>
      <c r="Q43" s="163"/>
      <c r="R43" s="163"/>
      <c r="S43" s="163"/>
      <c r="T43" s="50"/>
      <c r="U43" s="50"/>
      <c r="V43" s="50"/>
      <c r="W43" s="206" t="s">
        <v>70</v>
      </c>
      <c r="X43" s="206"/>
      <c r="Y43" s="206"/>
      <c r="Z43" s="206"/>
      <c r="AA43" s="206"/>
      <c r="AB43" s="206"/>
      <c r="AC43" s="199" t="s">
        <v>154</v>
      </c>
      <c r="AD43" s="199">
        <f>ROUND(SUM(AD44:AD44),-3)</f>
        <v>0</v>
      </c>
      <c r="AE43" s="198" t="s">
        <v>146</v>
      </c>
      <c r="AF43" s="33"/>
    </row>
    <row r="44" spans="1:32" s="38" customFormat="1" ht="21" customHeight="1" x14ac:dyDescent="0.15">
      <c r="A44" s="106"/>
      <c r="B44" s="58"/>
      <c r="C44" s="58"/>
      <c r="D44" s="268"/>
      <c r="E44" s="268"/>
      <c r="F44" s="268"/>
      <c r="G44" s="268"/>
      <c r="H44" s="268"/>
      <c r="I44" s="268"/>
      <c r="J44" s="268"/>
      <c r="K44" s="268"/>
      <c r="L44" s="268"/>
      <c r="M44" s="268"/>
      <c r="N44" s="82"/>
      <c r="O44" s="163"/>
      <c r="P44" s="163"/>
      <c r="Q44" s="163"/>
      <c r="R44" s="163"/>
      <c r="S44" s="464"/>
      <c r="T44" s="465"/>
      <c r="U44" s="466"/>
      <c r="V44" s="467"/>
      <c r="W44" s="466"/>
      <c r="X44" s="468"/>
      <c r="Y44" s="469"/>
      <c r="Z44" s="469"/>
      <c r="AA44" s="465"/>
      <c r="AB44" s="464"/>
      <c r="AC44" s="470"/>
      <c r="AD44" s="470"/>
      <c r="AE44" s="471" t="s">
        <v>146</v>
      </c>
      <c r="AF44" s="33"/>
    </row>
    <row r="45" spans="1:32" s="38" customFormat="1" ht="21" customHeight="1" x14ac:dyDescent="0.15">
      <c r="A45" s="106"/>
      <c r="B45" s="58"/>
      <c r="C45" s="58"/>
      <c r="D45" s="268"/>
      <c r="E45" s="268"/>
      <c r="F45" s="268"/>
      <c r="G45" s="268"/>
      <c r="H45" s="268"/>
      <c r="I45" s="268"/>
      <c r="J45" s="268"/>
      <c r="K45" s="268"/>
      <c r="L45" s="268"/>
      <c r="M45" s="268"/>
      <c r="N45" s="82"/>
      <c r="O45" s="163"/>
      <c r="P45" s="163"/>
      <c r="Q45" s="163"/>
      <c r="R45" s="163"/>
      <c r="S45" s="163"/>
      <c r="T45" s="50"/>
      <c r="U45" s="50"/>
      <c r="V45" s="50"/>
      <c r="W45" s="50"/>
      <c r="X45" s="50"/>
      <c r="Y45" s="50"/>
      <c r="Z45" s="50"/>
      <c r="AA45" s="50"/>
      <c r="AB45" s="50"/>
      <c r="AC45" s="61"/>
      <c r="AD45" s="61"/>
      <c r="AE45" s="145"/>
      <c r="AF45" s="33"/>
    </row>
    <row r="46" spans="1:32" s="38" customFormat="1" ht="21" customHeight="1" x14ac:dyDescent="0.15">
      <c r="A46" s="106"/>
      <c r="B46" s="58"/>
      <c r="C46" s="80" t="s">
        <v>260</v>
      </c>
      <c r="D46" s="274">
        <v>285</v>
      </c>
      <c r="E46" s="274">
        <f>AD46/1000</f>
        <v>115</v>
      </c>
      <c r="F46" s="274">
        <v>0</v>
      </c>
      <c r="G46" s="274">
        <f>SUMIF($AB$47:$AB$51,"7종",$AD$47:$AD$51)/1000</f>
        <v>0</v>
      </c>
      <c r="H46" s="274">
        <f>SUMIF($AB$47:$AB$51,"시비",$AD$47:$AD$51)/1000</f>
        <v>0</v>
      </c>
      <c r="I46" s="274">
        <f>SUMIF($AB$47:$AB$51,"후원",$AD$47:$AD$51)/1000</f>
        <v>0</v>
      </c>
      <c r="J46" s="274">
        <f>SUMIF($AB$47:$AB$51,"입소",$AD$47:$AD$51)/1000</f>
        <v>115</v>
      </c>
      <c r="K46" s="274">
        <f>SUMIF($AB$47:$AB$51,"법인",$AD$47:$AD$51)/1000</f>
        <v>0</v>
      </c>
      <c r="L46" s="274">
        <f>SUMIF($AB$47:$AB$51,"잡수",$AD$47:$AD$51)/1000</f>
        <v>0</v>
      </c>
      <c r="M46" s="304">
        <f>E46-D46</f>
        <v>-170</v>
      </c>
      <c r="N46" s="165">
        <f>IF(D46=0,0,M46/D46)</f>
        <v>-0.59649122807017541</v>
      </c>
      <c r="O46" s="340" t="s">
        <v>41</v>
      </c>
      <c r="P46" s="345"/>
      <c r="Q46" s="302"/>
      <c r="R46" s="302"/>
      <c r="S46" s="339"/>
      <c r="T46" s="338"/>
      <c r="U46" s="338"/>
      <c r="V46" s="338"/>
      <c r="W46" s="337" t="s">
        <v>241</v>
      </c>
      <c r="X46" s="337"/>
      <c r="Y46" s="337"/>
      <c r="Z46" s="337"/>
      <c r="AA46" s="337"/>
      <c r="AB46" s="337"/>
      <c r="AC46" s="336"/>
      <c r="AD46" s="336">
        <f>SUM(AD47:AD50)</f>
        <v>115000</v>
      </c>
      <c r="AE46" s="335" t="s">
        <v>146</v>
      </c>
      <c r="AF46" s="138"/>
    </row>
    <row r="47" spans="1:32" s="38" customFormat="1" ht="21" customHeight="1" x14ac:dyDescent="0.15">
      <c r="A47" s="106"/>
      <c r="B47" s="58"/>
      <c r="C47" s="58" t="s">
        <v>73</v>
      </c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82"/>
      <c r="O47" s="419" t="s">
        <v>34</v>
      </c>
      <c r="P47" s="419"/>
      <c r="Q47" s="419"/>
      <c r="R47" s="419"/>
      <c r="S47" s="382">
        <v>50000</v>
      </c>
      <c r="T47" s="501" t="s">
        <v>146</v>
      </c>
      <c r="U47" s="180" t="s">
        <v>128</v>
      </c>
      <c r="V47" s="414">
        <v>1</v>
      </c>
      <c r="W47" s="180" t="s">
        <v>101</v>
      </c>
      <c r="X47" s="468"/>
      <c r="Y47" s="469"/>
      <c r="Z47" s="469"/>
      <c r="AA47" s="501" t="s">
        <v>127</v>
      </c>
      <c r="AB47" s="382" t="s">
        <v>159</v>
      </c>
      <c r="AC47" s="153"/>
      <c r="AD47" s="153">
        <f>ROUNDUP(S47*V47,-3)</f>
        <v>50000</v>
      </c>
      <c r="AE47" s="177" t="s">
        <v>146</v>
      </c>
      <c r="AF47" s="33"/>
    </row>
    <row r="48" spans="1:32" s="38" customFormat="1" ht="21" customHeight="1" x14ac:dyDescent="0.15">
      <c r="A48" s="106"/>
      <c r="B48" s="58"/>
      <c r="C48" s="5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82"/>
      <c r="O48" s="419" t="s">
        <v>293</v>
      </c>
      <c r="P48" s="419"/>
      <c r="Q48" s="419"/>
      <c r="R48" s="419"/>
      <c r="S48" s="382">
        <v>20000</v>
      </c>
      <c r="T48" s="501" t="s">
        <v>146</v>
      </c>
      <c r="U48" s="180" t="s">
        <v>128</v>
      </c>
      <c r="V48" s="414">
        <v>1</v>
      </c>
      <c r="W48" s="180" t="s">
        <v>101</v>
      </c>
      <c r="X48" s="468"/>
      <c r="Y48" s="474"/>
      <c r="Z48" s="474"/>
      <c r="AA48" s="501" t="s">
        <v>127</v>
      </c>
      <c r="AB48" s="382" t="s">
        <v>159</v>
      </c>
      <c r="AC48" s="153"/>
      <c r="AD48" s="153">
        <f>ROUNDUP(S48*V48,-3)</f>
        <v>20000</v>
      </c>
      <c r="AE48" s="177" t="s">
        <v>146</v>
      </c>
      <c r="AF48" s="411"/>
    </row>
    <row r="49" spans="1:33" s="38" customFormat="1" ht="21" customHeight="1" x14ac:dyDescent="0.15">
      <c r="A49" s="106"/>
      <c r="B49" s="58"/>
      <c r="C49" s="5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82"/>
      <c r="O49" s="419" t="s">
        <v>162</v>
      </c>
      <c r="P49" s="419"/>
      <c r="Q49" s="419"/>
      <c r="R49" s="419"/>
      <c r="S49" s="382">
        <v>20000</v>
      </c>
      <c r="T49" s="501" t="s">
        <v>146</v>
      </c>
      <c r="U49" s="180" t="s">
        <v>128</v>
      </c>
      <c r="V49" s="414">
        <v>1</v>
      </c>
      <c r="W49" s="180" t="s">
        <v>101</v>
      </c>
      <c r="X49" s="180" t="s">
        <v>128</v>
      </c>
      <c r="Y49" s="500">
        <v>1</v>
      </c>
      <c r="Z49" s="500" t="s">
        <v>140</v>
      </c>
      <c r="AA49" s="501" t="s">
        <v>127</v>
      </c>
      <c r="AB49" s="382" t="s">
        <v>159</v>
      </c>
      <c r="AC49" s="153"/>
      <c r="AD49" s="153">
        <f>ROUNDUP(S49*V49*Y49,-3)</f>
        <v>20000</v>
      </c>
      <c r="AE49" s="177" t="s">
        <v>146</v>
      </c>
      <c r="AF49" s="33"/>
    </row>
    <row r="50" spans="1:33" s="38" customFormat="1" ht="21" customHeight="1" x14ac:dyDescent="0.15">
      <c r="A50" s="106"/>
      <c r="B50" s="58"/>
      <c r="C50" s="5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82"/>
      <c r="O50" s="419" t="s">
        <v>4</v>
      </c>
      <c r="P50" s="419"/>
      <c r="Q50" s="419"/>
      <c r="R50" s="419"/>
      <c r="S50" s="382">
        <v>25000</v>
      </c>
      <c r="T50" s="501" t="s">
        <v>146</v>
      </c>
      <c r="U50" s="180" t="s">
        <v>128</v>
      </c>
      <c r="V50" s="414">
        <v>1</v>
      </c>
      <c r="W50" s="180" t="s">
        <v>101</v>
      </c>
      <c r="X50" s="468"/>
      <c r="Y50" s="469"/>
      <c r="Z50" s="469"/>
      <c r="AA50" s="501" t="s">
        <v>127</v>
      </c>
      <c r="AB50" s="382" t="s">
        <v>159</v>
      </c>
      <c r="AC50" s="153"/>
      <c r="AD50" s="153">
        <f>ROUNDUP(S50*V50,-3)</f>
        <v>25000</v>
      </c>
      <c r="AE50" s="177" t="s">
        <v>146</v>
      </c>
      <c r="AF50" s="33"/>
    </row>
    <row r="51" spans="1:33" s="38" customFormat="1" ht="21" customHeight="1" x14ac:dyDescent="0.15">
      <c r="A51" s="106"/>
      <c r="B51" s="127"/>
      <c r="C51" s="127"/>
      <c r="D51" s="294"/>
      <c r="E51" s="294"/>
      <c r="F51" s="294"/>
      <c r="G51" s="294"/>
      <c r="H51" s="294"/>
      <c r="I51" s="294"/>
      <c r="J51" s="294"/>
      <c r="K51" s="294"/>
      <c r="L51" s="294"/>
      <c r="M51" s="294"/>
      <c r="N51" s="124"/>
      <c r="O51" s="317"/>
      <c r="P51" s="317"/>
      <c r="Q51" s="317"/>
      <c r="R51" s="317"/>
      <c r="S51" s="206"/>
      <c r="T51" s="410"/>
      <c r="U51" s="410"/>
      <c r="V51" s="410"/>
      <c r="W51" s="316"/>
      <c r="X51" s="410"/>
      <c r="Y51" s="410"/>
      <c r="Z51" s="410"/>
      <c r="AA51" s="316"/>
      <c r="AB51" s="410"/>
      <c r="AC51" s="410"/>
      <c r="AD51" s="316"/>
      <c r="AE51" s="352"/>
      <c r="AF51" s="33"/>
    </row>
    <row r="52" spans="1:33" s="38" customFormat="1" ht="21" customHeight="1" x14ac:dyDescent="0.15">
      <c r="A52" s="106"/>
      <c r="B52" s="58" t="s">
        <v>264</v>
      </c>
      <c r="C52" s="58" t="s">
        <v>161</v>
      </c>
      <c r="D52" s="268">
        <v>240</v>
      </c>
      <c r="E52" s="268">
        <f t="shared" ref="E52:L52" si="3">SUM(E53,E55,E57)</f>
        <v>60</v>
      </c>
      <c r="F52" s="268">
        <f t="shared" si="3"/>
        <v>0</v>
      </c>
      <c r="G52" s="268">
        <f t="shared" si="3"/>
        <v>0</v>
      </c>
      <c r="H52" s="268">
        <f t="shared" si="3"/>
        <v>0</v>
      </c>
      <c r="I52" s="268">
        <f t="shared" si="3"/>
        <v>0</v>
      </c>
      <c r="J52" s="268">
        <f t="shared" si="3"/>
        <v>0</v>
      </c>
      <c r="K52" s="268">
        <f t="shared" si="3"/>
        <v>0</v>
      </c>
      <c r="L52" s="268">
        <f t="shared" si="3"/>
        <v>60</v>
      </c>
      <c r="M52" s="268">
        <f>E52-D52</f>
        <v>-180</v>
      </c>
      <c r="N52" s="82">
        <f>IF(D52=0,0,M52/D52)</f>
        <v>-0.75</v>
      </c>
      <c r="O52" s="296" t="s">
        <v>221</v>
      </c>
      <c r="P52" s="296"/>
      <c r="Q52" s="296"/>
      <c r="R52" s="296"/>
      <c r="S52" s="374"/>
      <c r="T52" s="390"/>
      <c r="U52" s="390"/>
      <c r="V52" s="390"/>
      <c r="W52" s="338"/>
      <c r="X52" s="338"/>
      <c r="Y52" s="338"/>
      <c r="Z52" s="338"/>
      <c r="AA52" s="338"/>
      <c r="AB52" s="338"/>
      <c r="AC52" s="409"/>
      <c r="AD52" s="409">
        <f>SUM(AD53,AD55,AD57)</f>
        <v>60000</v>
      </c>
      <c r="AE52" s="408" t="s">
        <v>146</v>
      </c>
      <c r="AF52" s="256"/>
    </row>
    <row r="53" spans="1:33" s="38" customFormat="1" ht="21" customHeight="1" x14ac:dyDescent="0.15">
      <c r="A53" s="106"/>
      <c r="B53" s="58" t="s">
        <v>100</v>
      </c>
      <c r="C53" s="80" t="s">
        <v>278</v>
      </c>
      <c r="D53" s="274">
        <v>0</v>
      </c>
      <c r="E53" s="274">
        <f>AD53/1000</f>
        <v>0</v>
      </c>
      <c r="F53" s="304">
        <f>SUMIF($AB$54:$AB$54,"보조",$AD$54:$AD$54)/1000</f>
        <v>0</v>
      </c>
      <c r="G53" s="304">
        <f>SUMIF($AB$54:$AB$54,"7종",$AD$54:$AD$54)/1000</f>
        <v>0</v>
      </c>
      <c r="H53" s="304">
        <f>SUMIF($AB$54:$AB$54,"시비",$AD$54:$AD$54)/1000</f>
        <v>0</v>
      </c>
      <c r="I53" s="304">
        <f>SUMIF($AB$54:$AB$54,"후원",$AD$54:$AD$54)/1000</f>
        <v>0</v>
      </c>
      <c r="J53" s="304">
        <f>SUMIF($AB$54:$AB$54,"입소",$AD$54:$AD$54)/1000</f>
        <v>0</v>
      </c>
      <c r="K53" s="304">
        <f>SUMIF($AB$54:$AB$54,"법인",$AD$54:$AD$54)/1000</f>
        <v>0</v>
      </c>
      <c r="L53" s="304">
        <f>SUMIF($AB$54:$AB$54,"잡수",$AD$54:$AD$54)/1000</f>
        <v>0</v>
      </c>
      <c r="M53" s="304">
        <f>E53-D53</f>
        <v>0</v>
      </c>
      <c r="N53" s="165">
        <f>IF(D53=0,0,M53/D53)</f>
        <v>0</v>
      </c>
      <c r="O53" s="340" t="s">
        <v>261</v>
      </c>
      <c r="P53" s="407"/>
      <c r="Q53" s="312"/>
      <c r="R53" s="312"/>
      <c r="S53" s="311"/>
      <c r="T53" s="310"/>
      <c r="U53" s="310"/>
      <c r="V53" s="310"/>
      <c r="W53" s="310"/>
      <c r="X53" s="310"/>
      <c r="Y53" s="337" t="s">
        <v>153</v>
      </c>
      <c r="Z53" s="337"/>
      <c r="AA53" s="337"/>
      <c r="AB53" s="337"/>
      <c r="AC53" s="336"/>
      <c r="AD53" s="336">
        <f>AD54</f>
        <v>0</v>
      </c>
      <c r="AE53" s="335" t="s">
        <v>146</v>
      </c>
    </row>
    <row r="54" spans="1:33" s="38" customFormat="1" ht="21" customHeight="1" x14ac:dyDescent="0.15">
      <c r="A54" s="106"/>
      <c r="B54" s="58"/>
      <c r="C54" s="127"/>
      <c r="D54" s="294"/>
      <c r="E54" s="294"/>
      <c r="F54" s="294"/>
      <c r="G54" s="294"/>
      <c r="H54" s="294"/>
      <c r="I54" s="294"/>
      <c r="J54" s="294"/>
      <c r="K54" s="294"/>
      <c r="L54" s="294"/>
      <c r="M54" s="294"/>
      <c r="N54" s="124"/>
      <c r="O54" s="317"/>
      <c r="P54" s="317"/>
      <c r="Q54" s="317"/>
      <c r="R54" s="317"/>
      <c r="S54" s="206"/>
      <c r="T54" s="327"/>
      <c r="U54" s="327"/>
      <c r="V54" s="316"/>
      <c r="W54" s="317"/>
      <c r="X54" s="316"/>
      <c r="Y54" s="316"/>
      <c r="Z54" s="316"/>
      <c r="AA54" s="316"/>
      <c r="AB54" s="316"/>
      <c r="AC54" s="316"/>
      <c r="AD54" s="316"/>
      <c r="AE54" s="313"/>
      <c r="AF54" s="33"/>
    </row>
    <row r="55" spans="1:33" s="38" customFormat="1" ht="21" customHeight="1" x14ac:dyDescent="0.15">
      <c r="A55" s="106"/>
      <c r="B55" s="58"/>
      <c r="C55" s="58" t="s">
        <v>280</v>
      </c>
      <c r="D55" s="346">
        <v>0</v>
      </c>
      <c r="E55" s="346">
        <f>AD55/1000</f>
        <v>0</v>
      </c>
      <c r="F55" s="268">
        <v>0</v>
      </c>
      <c r="G55" s="268">
        <v>0</v>
      </c>
      <c r="H55" s="268">
        <v>0</v>
      </c>
      <c r="I55" s="268">
        <v>0</v>
      </c>
      <c r="J55" s="268">
        <v>0</v>
      </c>
      <c r="K55" s="268">
        <v>0</v>
      </c>
      <c r="L55" s="268">
        <v>0</v>
      </c>
      <c r="M55" s="268">
        <f>E55-D55</f>
        <v>0</v>
      </c>
      <c r="N55" s="82">
        <f>IF(D55=0,0,M55/D55)</f>
        <v>0</v>
      </c>
      <c r="O55" s="406" t="s">
        <v>275</v>
      </c>
      <c r="P55" s="286"/>
      <c r="Q55" s="296"/>
      <c r="R55" s="296"/>
      <c r="S55" s="296"/>
      <c r="T55" s="390"/>
      <c r="U55" s="390"/>
      <c r="V55" s="390"/>
      <c r="W55" s="390"/>
      <c r="X55" s="390"/>
      <c r="Y55" s="405" t="s">
        <v>153</v>
      </c>
      <c r="Z55" s="405"/>
      <c r="AA55" s="405"/>
      <c r="AB55" s="405"/>
      <c r="AC55" s="404"/>
      <c r="AD55" s="404">
        <v>0</v>
      </c>
      <c r="AE55" s="403" t="s">
        <v>146</v>
      </c>
      <c r="AF55" s="31"/>
    </row>
    <row r="56" spans="1:33" s="38" customFormat="1" ht="21" customHeight="1" x14ac:dyDescent="0.15">
      <c r="A56" s="106"/>
      <c r="B56" s="58"/>
      <c r="C56" s="127"/>
      <c r="D56" s="294"/>
      <c r="E56" s="294"/>
      <c r="F56" s="294"/>
      <c r="G56" s="294"/>
      <c r="H56" s="294"/>
      <c r="I56" s="294"/>
      <c r="J56" s="294"/>
      <c r="K56" s="294"/>
      <c r="L56" s="294"/>
      <c r="M56" s="294"/>
      <c r="N56" s="124"/>
      <c r="O56" s="317"/>
      <c r="P56" s="317"/>
      <c r="Q56" s="317"/>
      <c r="R56" s="317"/>
      <c r="S56" s="316"/>
      <c r="T56" s="327"/>
      <c r="U56" s="327"/>
      <c r="V56" s="316"/>
      <c r="W56" s="317"/>
      <c r="X56" s="316"/>
      <c r="Y56" s="316"/>
      <c r="Z56" s="316"/>
      <c r="AA56" s="316"/>
      <c r="AB56" s="316"/>
      <c r="AC56" s="316"/>
      <c r="AD56" s="316"/>
      <c r="AE56" s="313"/>
      <c r="AF56" s="31"/>
    </row>
    <row r="57" spans="1:33" s="38" customFormat="1" ht="21" customHeight="1" x14ac:dyDescent="0.15">
      <c r="A57" s="106"/>
      <c r="B57" s="58"/>
      <c r="C57" s="58" t="s">
        <v>265</v>
      </c>
      <c r="D57" s="274">
        <v>240</v>
      </c>
      <c r="E57" s="274">
        <f>AD57/1000</f>
        <v>60</v>
      </c>
      <c r="F57" s="268">
        <f>SUMIF($AB$58:$AB$60,"보조",$AD$58:$AD$60)/1000</f>
        <v>0</v>
      </c>
      <c r="G57" s="268">
        <f>SUMIF($AB$58:$AB$60,"7종",$AD$58:$AD$60)/1000</f>
        <v>0</v>
      </c>
      <c r="H57" s="268">
        <f>SUMIF($AB$58:$AB$60,"시비",$AD$58:$AD$60)/1000</f>
        <v>0</v>
      </c>
      <c r="I57" s="268">
        <f>SUMIF($AB$58:$AB$60,"후원",$AD$58:$AD$60)/1000</f>
        <v>0</v>
      </c>
      <c r="J57" s="268">
        <f>SUMIF($AB$58:$AB$60,"입소",$AD$58:$AD$60)/1000</f>
        <v>0</v>
      </c>
      <c r="K57" s="268">
        <f>SUMIF($AB$58:$AB$60,"법인",$AD$58:$AD$60)/1000</f>
        <v>0</v>
      </c>
      <c r="L57" s="268">
        <f>SUMIF($AB$58:$AB$60,"잡수",$AD$58:$AD$60)/1000</f>
        <v>60</v>
      </c>
      <c r="M57" s="268">
        <f>E57-D57</f>
        <v>-180</v>
      </c>
      <c r="N57" s="82">
        <f>IF(D57=0,0,M57/D57)</f>
        <v>-0.75</v>
      </c>
      <c r="O57" s="286" t="s">
        <v>287</v>
      </c>
      <c r="P57" s="296"/>
      <c r="Q57" s="296"/>
      <c r="R57" s="296"/>
      <c r="S57" s="370"/>
      <c r="T57" s="390"/>
      <c r="U57" s="390"/>
      <c r="V57" s="390"/>
      <c r="W57" s="390"/>
      <c r="X57" s="390"/>
      <c r="Y57" s="337" t="s">
        <v>153</v>
      </c>
      <c r="Z57" s="337"/>
      <c r="AA57" s="337"/>
      <c r="AB57" s="337"/>
      <c r="AC57" s="336"/>
      <c r="AD57" s="336">
        <f>SUM(AD58:AD60)</f>
        <v>60000</v>
      </c>
      <c r="AE57" s="335" t="s">
        <v>146</v>
      </c>
      <c r="AF57" s="31"/>
    </row>
    <row r="58" spans="1:33" s="285" customFormat="1" ht="21" customHeight="1" x14ac:dyDescent="0.15">
      <c r="A58" s="106"/>
      <c r="B58" s="58"/>
      <c r="C58" s="58"/>
      <c r="D58" s="268"/>
      <c r="E58" s="268"/>
      <c r="F58" s="268"/>
      <c r="G58" s="268"/>
      <c r="H58" s="268"/>
      <c r="I58" s="268"/>
      <c r="J58" s="268"/>
      <c r="K58" s="268"/>
      <c r="L58" s="268"/>
      <c r="M58" s="268"/>
      <c r="N58" s="82"/>
      <c r="O58" s="186" t="s">
        <v>178</v>
      </c>
      <c r="P58" s="186"/>
      <c r="Q58" s="186"/>
      <c r="R58" s="186"/>
      <c r="S58" s="382">
        <v>50000</v>
      </c>
      <c r="T58" s="382" t="s">
        <v>146</v>
      </c>
      <c r="U58" s="419" t="s">
        <v>128</v>
      </c>
      <c r="V58" s="401">
        <v>1</v>
      </c>
      <c r="W58" s="419" t="s">
        <v>128</v>
      </c>
      <c r="X58" s="402">
        <v>1</v>
      </c>
      <c r="Y58" s="476"/>
      <c r="Z58" s="483"/>
      <c r="AA58" s="483" t="s">
        <v>127</v>
      </c>
      <c r="AB58" s="483" t="s">
        <v>138</v>
      </c>
      <c r="AC58" s="382"/>
      <c r="AD58" s="382">
        <f>S58*V58*X58</f>
        <v>50000</v>
      </c>
      <c r="AE58" s="177" t="s">
        <v>146</v>
      </c>
      <c r="AF58" s="95"/>
    </row>
    <row r="59" spans="1:33" s="285" customFormat="1" ht="21" customHeight="1" x14ac:dyDescent="0.15">
      <c r="A59" s="106"/>
      <c r="B59" s="58"/>
      <c r="C59" s="58"/>
      <c r="D59" s="268"/>
      <c r="E59" s="268"/>
      <c r="F59" s="268"/>
      <c r="G59" s="268"/>
      <c r="H59" s="268"/>
      <c r="I59" s="268"/>
      <c r="J59" s="268"/>
      <c r="K59" s="268"/>
      <c r="L59" s="268"/>
      <c r="M59" s="268"/>
      <c r="N59" s="82"/>
      <c r="O59" s="419" t="s">
        <v>59</v>
      </c>
      <c r="P59" s="419"/>
      <c r="Q59" s="419"/>
      <c r="R59" s="419"/>
      <c r="S59" s="382">
        <v>10000</v>
      </c>
      <c r="T59" s="382" t="s">
        <v>146</v>
      </c>
      <c r="U59" s="419" t="s">
        <v>128</v>
      </c>
      <c r="V59" s="401">
        <v>1</v>
      </c>
      <c r="W59" s="382"/>
      <c r="X59" s="419"/>
      <c r="Y59" s="476"/>
      <c r="Z59" s="501"/>
      <c r="AA59" s="501" t="s">
        <v>127</v>
      </c>
      <c r="AB59" s="501" t="s">
        <v>138</v>
      </c>
      <c r="AC59" s="382"/>
      <c r="AD59" s="382">
        <f>S59*V59</f>
        <v>10000</v>
      </c>
      <c r="AE59" s="177" t="s">
        <v>146</v>
      </c>
      <c r="AF59" s="95"/>
    </row>
    <row r="60" spans="1:33" s="285" customFormat="1" ht="21" customHeight="1" x14ac:dyDescent="0.15">
      <c r="A60" s="106"/>
      <c r="B60" s="58"/>
      <c r="C60" s="58"/>
      <c r="D60" s="268"/>
      <c r="E60" s="268"/>
      <c r="F60" s="268"/>
      <c r="G60" s="268"/>
      <c r="H60" s="268"/>
      <c r="I60" s="268"/>
      <c r="J60" s="268"/>
      <c r="K60" s="268"/>
      <c r="L60" s="268"/>
      <c r="M60" s="268"/>
      <c r="N60" s="82"/>
      <c r="O60" s="186"/>
      <c r="P60" s="186"/>
      <c r="Q60" s="186"/>
      <c r="R60" s="186"/>
      <c r="S60" s="50"/>
      <c r="T60" s="184"/>
      <c r="U60" s="186"/>
      <c r="V60" s="401"/>
      <c r="W60" s="184"/>
      <c r="X60" s="186"/>
      <c r="Y60" s="292"/>
      <c r="Z60" s="178"/>
      <c r="AA60" s="178"/>
      <c r="AB60" s="178"/>
      <c r="AC60" s="184"/>
      <c r="AD60" s="184"/>
      <c r="AE60" s="177"/>
      <c r="AF60" s="95"/>
    </row>
    <row r="61" spans="1:33" s="285" customFormat="1" ht="21" customHeight="1" x14ac:dyDescent="0.15">
      <c r="A61" s="106"/>
      <c r="B61" s="58"/>
      <c r="C61" s="58"/>
      <c r="D61" s="268"/>
      <c r="E61" s="268"/>
      <c r="F61" s="268"/>
      <c r="G61" s="268"/>
      <c r="H61" s="268"/>
      <c r="I61" s="268"/>
      <c r="J61" s="268"/>
      <c r="K61" s="268"/>
      <c r="L61" s="268"/>
      <c r="M61" s="268"/>
      <c r="N61" s="82"/>
      <c r="O61" s="186"/>
      <c r="P61" s="186"/>
      <c r="Q61" s="186"/>
      <c r="R61" s="186"/>
      <c r="S61" s="50"/>
      <c r="T61" s="323"/>
      <c r="U61" s="323"/>
      <c r="V61" s="184"/>
      <c r="W61" s="186"/>
      <c r="X61" s="184"/>
      <c r="Y61" s="184"/>
      <c r="Z61" s="184"/>
      <c r="AA61" s="184"/>
      <c r="AB61" s="184"/>
      <c r="AC61" s="184"/>
      <c r="AD61" s="184"/>
      <c r="AE61" s="177"/>
      <c r="AF61" s="95"/>
    </row>
    <row r="62" spans="1:33" s="38" customFormat="1" ht="21" customHeight="1" x14ac:dyDescent="0.15">
      <c r="A62" s="106"/>
      <c r="B62" s="80" t="s">
        <v>129</v>
      </c>
      <c r="C62" s="334" t="s">
        <v>161</v>
      </c>
      <c r="D62" s="284">
        <v>8875</v>
      </c>
      <c r="E62" s="284">
        <f t="shared" ref="E62:L62" si="4">SUM(E63,E66,E74,E81,E87,E91)</f>
        <v>9856</v>
      </c>
      <c r="F62" s="284">
        <f t="shared" si="4"/>
        <v>5361.9</v>
      </c>
      <c r="G62" s="284">
        <f t="shared" si="4"/>
        <v>0</v>
      </c>
      <c r="H62" s="284">
        <f t="shared" si="4"/>
        <v>0</v>
      </c>
      <c r="I62" s="284">
        <f t="shared" si="4"/>
        <v>0</v>
      </c>
      <c r="J62" s="284">
        <f t="shared" si="4"/>
        <v>4079</v>
      </c>
      <c r="K62" s="284">
        <f t="shared" si="4"/>
        <v>0</v>
      </c>
      <c r="L62" s="284">
        <f t="shared" si="4"/>
        <v>415</v>
      </c>
      <c r="M62" s="284">
        <f>E62-D62</f>
        <v>981</v>
      </c>
      <c r="N62" s="283">
        <f>IF(D62=0,0,M62/D62)</f>
        <v>0.11053521126760564</v>
      </c>
      <c r="O62" s="345" t="s">
        <v>129</v>
      </c>
      <c r="P62" s="345"/>
      <c r="Q62" s="345"/>
      <c r="R62" s="345"/>
      <c r="S62" s="288"/>
      <c r="T62" s="400"/>
      <c r="U62" s="337"/>
      <c r="V62" s="555"/>
      <c r="W62" s="556"/>
      <c r="X62" s="337"/>
      <c r="Y62" s="337"/>
      <c r="Z62" s="337"/>
      <c r="AA62" s="337"/>
      <c r="AB62" s="337"/>
      <c r="AC62" s="337"/>
      <c r="AD62" s="337">
        <f>SUM(AD63,AD66,AD74,AD81,AD87,AD91)</f>
        <v>9856000</v>
      </c>
      <c r="AE62" s="335" t="s">
        <v>146</v>
      </c>
      <c r="AF62" s="31"/>
    </row>
    <row r="63" spans="1:33" s="38" customFormat="1" ht="21" customHeight="1" x14ac:dyDescent="0.15">
      <c r="A63" s="106"/>
      <c r="B63" s="58"/>
      <c r="C63" s="58" t="s">
        <v>267</v>
      </c>
      <c r="D63" s="274">
        <v>120</v>
      </c>
      <c r="E63" s="274">
        <f>AD63/1000</f>
        <v>30</v>
      </c>
      <c r="F63" s="268">
        <f>SUMIF($AB$64:$AB$65,"보조",$AD$64:$AD$65)/1000</f>
        <v>0</v>
      </c>
      <c r="G63" s="268">
        <f>SUMIF($AB$64:$AB$65,"7종",$AD$64:$AD$65)/1000</f>
        <v>0</v>
      </c>
      <c r="H63" s="268">
        <f>SUMIF($AB$64:$AB$65,"시비",$AD$64:$AD$65)/1000</f>
        <v>0</v>
      </c>
      <c r="I63" s="268">
        <f>SUMIF($AB$64:$AB$65,"후원",$AD$64:$AD$65)/1000</f>
        <v>0</v>
      </c>
      <c r="J63" s="268">
        <f>SUMIF($AB$64:$AB$65,"입소",$AD$64:$AD$65)/1000</f>
        <v>0</v>
      </c>
      <c r="K63" s="268">
        <f>SUMIF($AB$64:$AB$65,"법인",$AD$64:$AD$65)/1000</f>
        <v>0</v>
      </c>
      <c r="L63" s="268">
        <f>SUMIF($AB$64:$AB$65,"잡수",$AD$64:$AD$65)/1000</f>
        <v>30</v>
      </c>
      <c r="M63" s="268">
        <f>E63-D63</f>
        <v>-90</v>
      </c>
      <c r="N63" s="82">
        <f>IF(D63=0,0,M63/D63)</f>
        <v>-0.75</v>
      </c>
      <c r="O63" s="286" t="s">
        <v>266</v>
      </c>
      <c r="P63" s="296"/>
      <c r="Q63" s="296"/>
      <c r="R63" s="296"/>
      <c r="S63" s="370"/>
      <c r="T63" s="390"/>
      <c r="U63" s="390"/>
      <c r="V63" s="390"/>
      <c r="W63" s="390"/>
      <c r="X63" s="390"/>
      <c r="Y63" s="337" t="s">
        <v>153</v>
      </c>
      <c r="Z63" s="337"/>
      <c r="AA63" s="337"/>
      <c r="AB63" s="337"/>
      <c r="AC63" s="336"/>
      <c r="AD63" s="336">
        <f>SUM(AD64:AD64)</f>
        <v>30000</v>
      </c>
      <c r="AE63" s="335" t="s">
        <v>146</v>
      </c>
      <c r="AF63" s="395"/>
      <c r="AG63" s="399"/>
    </row>
    <row r="64" spans="1:33" s="38" customFormat="1" ht="21" customHeight="1" x14ac:dyDescent="0.15">
      <c r="A64" s="106"/>
      <c r="B64" s="58"/>
      <c r="C64" s="58"/>
      <c r="D64" s="268"/>
      <c r="E64" s="268"/>
      <c r="F64" s="268"/>
      <c r="G64" s="268"/>
      <c r="H64" s="268"/>
      <c r="I64" s="268"/>
      <c r="J64" s="268"/>
      <c r="K64" s="268"/>
      <c r="L64" s="268"/>
      <c r="M64" s="268"/>
      <c r="N64" s="82"/>
      <c r="O64" s="186" t="s">
        <v>195</v>
      </c>
      <c r="P64" s="186"/>
      <c r="Q64" s="186"/>
      <c r="R64" s="186"/>
      <c r="S64" s="50">
        <v>30000</v>
      </c>
      <c r="T64" s="323" t="s">
        <v>146</v>
      </c>
      <c r="U64" s="323" t="s">
        <v>128</v>
      </c>
      <c r="V64" s="184">
        <v>1</v>
      </c>
      <c r="W64" s="323" t="s">
        <v>101</v>
      </c>
      <c r="X64" s="184" t="s">
        <v>128</v>
      </c>
      <c r="Y64" s="184">
        <v>1</v>
      </c>
      <c r="Z64" s="184" t="s">
        <v>140</v>
      </c>
      <c r="AA64" s="184" t="s">
        <v>127</v>
      </c>
      <c r="AB64" s="184" t="s">
        <v>138</v>
      </c>
      <c r="AC64" s="184"/>
      <c r="AD64" s="184">
        <f>S64*V64*Y64</f>
        <v>30000</v>
      </c>
      <c r="AE64" s="177" t="s">
        <v>146</v>
      </c>
      <c r="AF64" s="33"/>
    </row>
    <row r="65" spans="1:33" s="38" customFormat="1" ht="21" customHeight="1" x14ac:dyDescent="0.15">
      <c r="A65" s="106"/>
      <c r="B65" s="58"/>
      <c r="C65" s="58"/>
      <c r="D65" s="268"/>
      <c r="E65" s="268"/>
      <c r="F65" s="268"/>
      <c r="G65" s="268"/>
      <c r="H65" s="268"/>
      <c r="I65" s="268"/>
      <c r="J65" s="268"/>
      <c r="K65" s="268"/>
      <c r="L65" s="268"/>
      <c r="M65" s="268"/>
      <c r="N65" s="82"/>
      <c r="O65" s="186"/>
      <c r="P65" s="186"/>
      <c r="Q65" s="186"/>
      <c r="R65" s="186"/>
      <c r="S65" s="50"/>
      <c r="T65" s="323"/>
      <c r="U65" s="323"/>
      <c r="V65" s="184"/>
      <c r="W65" s="323"/>
      <c r="X65" s="184"/>
      <c r="Y65" s="184"/>
      <c r="Z65" s="184"/>
      <c r="AA65" s="184"/>
      <c r="AB65" s="184"/>
      <c r="AC65" s="184"/>
      <c r="AD65" s="184"/>
      <c r="AE65" s="177" t="s">
        <v>146</v>
      </c>
      <c r="AF65" s="33"/>
    </row>
    <row r="66" spans="1:33" s="38" customFormat="1" ht="21" customHeight="1" x14ac:dyDescent="0.15">
      <c r="A66" s="106"/>
      <c r="B66" s="58"/>
      <c r="C66" s="80" t="s">
        <v>258</v>
      </c>
      <c r="D66" s="274">
        <v>1885</v>
      </c>
      <c r="E66" s="274">
        <f>AD66/1000</f>
        <v>1874</v>
      </c>
      <c r="F66" s="398">
        <f>SUMIF($AB$67:$AB$73,"보조",$AD$67:$AD$73)/1000</f>
        <v>761.9</v>
      </c>
      <c r="G66" s="398">
        <f>SUMIF($AB$67:$AB$73,"7종",$AD$67:$AD$73)/1000</f>
        <v>0</v>
      </c>
      <c r="H66" s="398">
        <f>SUMIF($AB$67:$AB$73,"시비",$AD$67:$AD$73)/1000</f>
        <v>0</v>
      </c>
      <c r="I66" s="398">
        <f>SUMIF($AB$67:$AB$73,"후원",$AD$67:$AD$73)/1000</f>
        <v>0</v>
      </c>
      <c r="J66" s="398">
        <f>SUMIF($AB$67:$AB$73,"입소",$AD$67:$AD$73)/1000</f>
        <v>1002</v>
      </c>
      <c r="K66" s="398">
        <f>SUMIF($AB$67:$AB$73,"법인",$AD$67:$AD$73)/1000</f>
        <v>0</v>
      </c>
      <c r="L66" s="398">
        <f>SUMIF($AB$67:$AB$73,"잡수",$AD$67:$AD$73)/1000</f>
        <v>110</v>
      </c>
      <c r="M66" s="304">
        <f>E66-D66</f>
        <v>-11</v>
      </c>
      <c r="N66" s="165">
        <f>IF(D66=0,0,M66/D66)</f>
        <v>-5.8355437665782491E-3</v>
      </c>
      <c r="O66" s="340" t="s">
        <v>47</v>
      </c>
      <c r="P66" s="302"/>
      <c r="Q66" s="302"/>
      <c r="R66" s="302"/>
      <c r="S66" s="339"/>
      <c r="T66" s="338"/>
      <c r="U66" s="338"/>
      <c r="V66" s="338"/>
      <c r="W66" s="338"/>
      <c r="X66" s="338"/>
      <c r="Y66" s="337" t="s">
        <v>245</v>
      </c>
      <c r="Z66" s="337"/>
      <c r="AA66" s="337"/>
      <c r="AB66" s="337"/>
      <c r="AC66" s="336"/>
      <c r="AD66" s="336">
        <f>ROUNDDOWN(SUM(AD67:AD72),-3)+1000</f>
        <v>1874000</v>
      </c>
      <c r="AE66" s="335" t="s">
        <v>146</v>
      </c>
      <c r="AF66" s="31"/>
    </row>
    <row r="67" spans="1:33" s="38" customFormat="1" ht="21" customHeight="1" x14ac:dyDescent="0.15">
      <c r="A67" s="106"/>
      <c r="B67" s="58"/>
      <c r="C67" s="58" t="s">
        <v>135</v>
      </c>
      <c r="D67" s="268"/>
      <c r="E67" s="268"/>
      <c r="F67" s="268"/>
      <c r="G67" s="268"/>
      <c r="H67" s="268"/>
      <c r="I67" s="268"/>
      <c r="J67" s="268"/>
      <c r="K67" s="268"/>
      <c r="L67" s="268"/>
      <c r="M67" s="268"/>
      <c r="N67" s="82"/>
      <c r="O67" s="312" t="s">
        <v>170</v>
      </c>
      <c r="P67" s="186"/>
      <c r="Q67" s="186"/>
      <c r="R67" s="186"/>
      <c r="S67" s="184"/>
      <c r="T67" s="323"/>
      <c r="U67" s="184"/>
      <c r="V67" s="365"/>
      <c r="W67" s="385"/>
      <c r="X67" s="385"/>
      <c r="Y67" s="365"/>
      <c r="Z67" s="384"/>
      <c r="AA67" s="365"/>
      <c r="AB67" s="397" t="s">
        <v>110</v>
      </c>
      <c r="AC67" s="397"/>
      <c r="AD67" s="50">
        <v>389900</v>
      </c>
      <c r="AE67" s="396" t="s">
        <v>146</v>
      </c>
      <c r="AF67" s="31"/>
    </row>
    <row r="68" spans="1:33" s="38" customFormat="1" ht="21" customHeight="1" x14ac:dyDescent="0.15">
      <c r="A68" s="106"/>
      <c r="B68" s="58"/>
      <c r="C68" s="58"/>
      <c r="D68" s="268"/>
      <c r="E68" s="268"/>
      <c r="F68" s="268"/>
      <c r="G68" s="268"/>
      <c r="H68" s="268"/>
      <c r="I68" s="268"/>
      <c r="J68" s="268"/>
      <c r="K68" s="268"/>
      <c r="L68" s="268"/>
      <c r="M68" s="268"/>
      <c r="N68" s="82"/>
      <c r="O68" s="186" t="s">
        <v>16</v>
      </c>
      <c r="P68" s="186"/>
      <c r="Q68" s="186"/>
      <c r="R68" s="186"/>
      <c r="S68" s="184"/>
      <c r="T68" s="323"/>
      <c r="U68" s="323"/>
      <c r="V68" s="349">
        <v>31000</v>
      </c>
      <c r="W68" s="364" t="s">
        <v>146</v>
      </c>
      <c r="X68" s="364" t="s">
        <v>128</v>
      </c>
      <c r="Y68" s="349">
        <v>12</v>
      </c>
      <c r="Z68" s="350" t="s">
        <v>108</v>
      </c>
      <c r="AA68" s="349" t="s">
        <v>127</v>
      </c>
      <c r="AB68" s="184" t="s">
        <v>110</v>
      </c>
      <c r="AC68" s="184"/>
      <c r="AD68" s="184">
        <f>V68*Y68</f>
        <v>372000</v>
      </c>
      <c r="AE68" s="177" t="s">
        <v>146</v>
      </c>
      <c r="AF68" s="31"/>
    </row>
    <row r="69" spans="1:33" s="38" customFormat="1" ht="21" customHeight="1" x14ac:dyDescent="0.15">
      <c r="A69" s="106"/>
      <c r="B69" s="58"/>
      <c r="C69" s="58"/>
      <c r="D69" s="268"/>
      <c r="E69" s="268"/>
      <c r="F69" s="268"/>
      <c r="G69" s="268"/>
      <c r="H69" s="268"/>
      <c r="I69" s="268"/>
      <c r="J69" s="268"/>
      <c r="K69" s="268"/>
      <c r="L69" s="268"/>
      <c r="M69" s="268"/>
      <c r="N69" s="82"/>
      <c r="O69" s="51" t="s">
        <v>13</v>
      </c>
      <c r="P69" s="51"/>
      <c r="Q69" s="51"/>
      <c r="R69" s="51"/>
      <c r="S69" s="50"/>
      <c r="T69" s="238"/>
      <c r="U69" s="238"/>
      <c r="V69" s="349">
        <v>55000</v>
      </c>
      <c r="W69" s="364" t="s">
        <v>146</v>
      </c>
      <c r="X69" s="364" t="s">
        <v>128</v>
      </c>
      <c r="Y69" s="349">
        <v>2</v>
      </c>
      <c r="Z69" s="350" t="s">
        <v>108</v>
      </c>
      <c r="AA69" s="349" t="s">
        <v>127</v>
      </c>
      <c r="AB69" s="50" t="s">
        <v>159</v>
      </c>
      <c r="AC69" s="50"/>
      <c r="AD69" s="50">
        <f>V69*Y69</f>
        <v>110000</v>
      </c>
      <c r="AE69" s="49" t="s">
        <v>146</v>
      </c>
      <c r="AF69" s="31"/>
    </row>
    <row r="70" spans="1:33" s="38" customFormat="1" ht="21" customHeight="1" x14ac:dyDescent="0.15">
      <c r="A70" s="106"/>
      <c r="B70" s="58"/>
      <c r="C70" s="58"/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82"/>
      <c r="O70" s="51"/>
      <c r="P70" s="51"/>
      <c r="Q70" s="51"/>
      <c r="R70" s="51"/>
      <c r="S70" s="50"/>
      <c r="T70" s="238"/>
      <c r="U70" s="238"/>
      <c r="V70" s="349">
        <v>55000</v>
      </c>
      <c r="W70" s="364" t="s">
        <v>146</v>
      </c>
      <c r="X70" s="364" t="s">
        <v>128</v>
      </c>
      <c r="Y70" s="349">
        <v>2</v>
      </c>
      <c r="Z70" s="350" t="s">
        <v>108</v>
      </c>
      <c r="AA70" s="349" t="s">
        <v>127</v>
      </c>
      <c r="AB70" s="50" t="s">
        <v>138</v>
      </c>
      <c r="AC70" s="50"/>
      <c r="AD70" s="50">
        <f>V70*Y70</f>
        <v>110000</v>
      </c>
      <c r="AE70" s="49" t="s">
        <v>146</v>
      </c>
      <c r="AF70" s="31"/>
    </row>
    <row r="71" spans="1:33" s="38" customFormat="1" ht="21" customHeight="1" x14ac:dyDescent="0.15">
      <c r="A71" s="106"/>
      <c r="B71" s="58"/>
      <c r="C71" s="58"/>
      <c r="D71" s="268"/>
      <c r="E71" s="268"/>
      <c r="F71" s="268"/>
      <c r="G71" s="268"/>
      <c r="H71" s="268"/>
      <c r="I71" s="268"/>
      <c r="J71" s="268"/>
      <c r="K71" s="268"/>
      <c r="L71" s="268"/>
      <c r="M71" s="268"/>
      <c r="N71" s="82"/>
      <c r="O71" s="186" t="s">
        <v>168</v>
      </c>
      <c r="P71" s="186"/>
      <c r="Q71" s="186"/>
      <c r="R71" s="186"/>
      <c r="S71" s="184"/>
      <c r="T71" s="323"/>
      <c r="U71" s="323"/>
      <c r="V71" s="184"/>
      <c r="W71" s="184"/>
      <c r="X71" s="184"/>
      <c r="Y71" s="184"/>
      <c r="Z71" s="184"/>
      <c r="AA71" s="184"/>
      <c r="AB71" s="184" t="s">
        <v>159</v>
      </c>
      <c r="AC71" s="184"/>
      <c r="AD71" s="184">
        <v>446000</v>
      </c>
      <c r="AE71" s="177" t="s">
        <v>146</v>
      </c>
      <c r="AF71" s="31"/>
    </row>
    <row r="72" spans="1:33" s="38" customFormat="1" ht="21" customHeight="1" x14ac:dyDescent="0.15">
      <c r="A72" s="106"/>
      <c r="B72" s="58"/>
      <c r="C72" s="58"/>
      <c r="D72" s="268"/>
      <c r="E72" s="268"/>
      <c r="F72" s="268"/>
      <c r="G72" s="268"/>
      <c r="H72" s="268"/>
      <c r="I72" s="268"/>
      <c r="J72" s="268"/>
      <c r="K72" s="268"/>
      <c r="L72" s="268"/>
      <c r="M72" s="268"/>
      <c r="N72" s="82"/>
      <c r="O72" s="186" t="s">
        <v>191</v>
      </c>
      <c r="P72" s="186"/>
      <c r="Q72" s="186"/>
      <c r="R72" s="186"/>
      <c r="S72" s="184"/>
      <c r="T72" s="323"/>
      <c r="U72" s="323"/>
      <c r="V72" s="184"/>
      <c r="W72" s="186"/>
      <c r="X72" s="184"/>
      <c r="Y72" s="184"/>
      <c r="Z72" s="184"/>
      <c r="AA72" s="184"/>
      <c r="AB72" s="184" t="s">
        <v>159</v>
      </c>
      <c r="AC72" s="184"/>
      <c r="AD72" s="184">
        <v>446000</v>
      </c>
      <c r="AE72" s="177" t="s">
        <v>146</v>
      </c>
      <c r="AF72" s="395"/>
      <c r="AG72" s="348"/>
    </row>
    <row r="73" spans="1:33" s="38" customFormat="1" ht="21" customHeight="1" x14ac:dyDescent="0.15">
      <c r="A73" s="106"/>
      <c r="B73" s="58"/>
      <c r="C73" s="127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12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3"/>
      <c r="AE73" s="392"/>
      <c r="AF73" s="31"/>
    </row>
    <row r="74" spans="1:33" s="38" customFormat="1" ht="21" customHeight="1" x14ac:dyDescent="0.15">
      <c r="A74" s="106"/>
      <c r="B74" s="58"/>
      <c r="C74" s="58" t="s">
        <v>211</v>
      </c>
      <c r="D74" s="274">
        <v>5940</v>
      </c>
      <c r="E74" s="274">
        <f>AD74/1000</f>
        <v>7172</v>
      </c>
      <c r="F74" s="391">
        <f>SUMIF($AB$75:$AB$80,"보조",$AD$75:$AD$80)/1000</f>
        <v>4600</v>
      </c>
      <c r="G74" s="391">
        <f>SUMIF($AB$75:$AB$80,"7종",$AD$75:$AD$80)/1000</f>
        <v>0</v>
      </c>
      <c r="H74" s="391">
        <f>SUMIF($AB$75:$AB$80,"시비",$AD$75:$AD$80)/1000</f>
        <v>0</v>
      </c>
      <c r="I74" s="391">
        <f>SUMIF($AB$75:$AB$80,"후원",$AD$75:$AD$80)/1000</f>
        <v>0</v>
      </c>
      <c r="J74" s="391">
        <f>SUMIF($AB$75:$AB$80,"입소",$AD$75:$AD$80)/1000</f>
        <v>2297</v>
      </c>
      <c r="K74" s="391">
        <f>SUMIF($AB$75:$AB$80,"법인",$AD$75:$AD$80)/1000</f>
        <v>0</v>
      </c>
      <c r="L74" s="391">
        <f>SUMIF($AB$75:$AB$80,"잡수",$AD$75:$AD$80)/1000</f>
        <v>275</v>
      </c>
      <c r="M74" s="268">
        <f>E74-D74</f>
        <v>1232</v>
      </c>
      <c r="N74" s="82">
        <f>IF(D74=0,0,M74/D74)</f>
        <v>0.2074074074074074</v>
      </c>
      <c r="O74" s="286" t="s">
        <v>284</v>
      </c>
      <c r="P74" s="296"/>
      <c r="Q74" s="296"/>
      <c r="R74" s="296"/>
      <c r="S74" s="296"/>
      <c r="T74" s="390"/>
      <c r="U74" s="390"/>
      <c r="V74" s="390"/>
      <c r="W74" s="390"/>
      <c r="X74" s="390"/>
      <c r="Y74" s="337" t="s">
        <v>153</v>
      </c>
      <c r="Z74" s="337"/>
      <c r="AA74" s="337"/>
      <c r="AB74" s="337"/>
      <c r="AC74" s="336"/>
      <c r="AD74" s="336">
        <f>ROUND(SUM(AD75:AD79),-3)</f>
        <v>7172000</v>
      </c>
      <c r="AE74" s="335" t="s">
        <v>146</v>
      </c>
      <c r="AF74" s="31"/>
    </row>
    <row r="75" spans="1:33" s="38" customFormat="1" ht="21" customHeight="1" x14ac:dyDescent="0.15">
      <c r="A75" s="106"/>
      <c r="B75" s="58"/>
      <c r="C75" s="58"/>
      <c r="D75" s="268"/>
      <c r="E75" s="268"/>
      <c r="F75" s="268"/>
      <c r="G75" s="268"/>
      <c r="H75" s="268"/>
      <c r="I75" s="268"/>
      <c r="J75" s="268"/>
      <c r="K75" s="268"/>
      <c r="L75" s="268"/>
      <c r="M75" s="268"/>
      <c r="N75" s="82"/>
      <c r="O75" s="312" t="s">
        <v>164</v>
      </c>
      <c r="P75" s="186"/>
      <c r="Q75" s="186"/>
      <c r="R75" s="186"/>
      <c r="S75" s="184">
        <v>45000</v>
      </c>
      <c r="T75" s="364" t="s">
        <v>146</v>
      </c>
      <c r="U75" s="364" t="s">
        <v>128</v>
      </c>
      <c r="V75" s="349">
        <v>12</v>
      </c>
      <c r="W75" s="350" t="s">
        <v>108</v>
      </c>
      <c r="X75" s="349" t="s">
        <v>127</v>
      </c>
      <c r="Y75" s="184"/>
      <c r="Z75" s="184"/>
      <c r="AA75" s="184"/>
      <c r="AB75" s="184" t="s">
        <v>110</v>
      </c>
      <c r="AC75" s="184"/>
      <c r="AD75" s="184">
        <f>S75*V75</f>
        <v>540000</v>
      </c>
      <c r="AE75" s="177" t="s">
        <v>146</v>
      </c>
      <c r="AF75" s="31"/>
    </row>
    <row r="76" spans="1:33" s="38" customFormat="1" ht="21" customHeight="1" x14ac:dyDescent="0.15">
      <c r="A76" s="106"/>
      <c r="B76" s="58"/>
      <c r="C76" s="5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82"/>
      <c r="O76" s="186" t="s">
        <v>33</v>
      </c>
      <c r="P76" s="186"/>
      <c r="Q76" s="186"/>
      <c r="R76" s="186"/>
      <c r="S76" s="184">
        <v>580000</v>
      </c>
      <c r="T76" s="323" t="s">
        <v>146</v>
      </c>
      <c r="U76" s="323" t="s">
        <v>128</v>
      </c>
      <c r="V76" s="184">
        <v>7</v>
      </c>
      <c r="W76" s="186" t="s">
        <v>108</v>
      </c>
      <c r="X76" s="184" t="s">
        <v>127</v>
      </c>
      <c r="Y76" s="184"/>
      <c r="Z76" s="184"/>
      <c r="AA76" s="184"/>
      <c r="AB76" s="184" t="s">
        <v>110</v>
      </c>
      <c r="AC76" s="184"/>
      <c r="AD76" s="184">
        <f>S76*V76</f>
        <v>4060000</v>
      </c>
      <c r="AE76" s="177" t="s">
        <v>146</v>
      </c>
      <c r="AF76" s="31"/>
    </row>
    <row r="77" spans="1:33" s="38" customFormat="1" ht="21" customHeight="1" x14ac:dyDescent="0.15">
      <c r="A77" s="106"/>
      <c r="B77" s="58"/>
      <c r="C77" s="58"/>
      <c r="D77" s="268"/>
      <c r="E77" s="268"/>
      <c r="F77" s="268"/>
      <c r="G77" s="268"/>
      <c r="H77" s="268"/>
      <c r="I77" s="268"/>
      <c r="J77" s="268"/>
      <c r="K77" s="268"/>
      <c r="L77" s="268"/>
      <c r="M77" s="268"/>
      <c r="N77" s="82"/>
      <c r="O77" s="186"/>
      <c r="P77" s="186"/>
      <c r="Q77" s="186"/>
      <c r="R77" s="186"/>
      <c r="S77" s="184">
        <v>480000</v>
      </c>
      <c r="T77" s="323" t="s">
        <v>146</v>
      </c>
      <c r="U77" s="323" t="s">
        <v>128</v>
      </c>
      <c r="V77" s="184">
        <v>4</v>
      </c>
      <c r="W77" s="186" t="s">
        <v>108</v>
      </c>
      <c r="X77" s="184" t="s">
        <v>127</v>
      </c>
      <c r="Y77" s="184"/>
      <c r="Z77" s="184"/>
      <c r="AA77" s="184"/>
      <c r="AB77" s="184" t="s">
        <v>159</v>
      </c>
      <c r="AC77" s="184"/>
      <c r="AD77" s="184">
        <f>S77*V77</f>
        <v>1920000</v>
      </c>
      <c r="AE77" s="177" t="s">
        <v>146</v>
      </c>
      <c r="AF77" s="31"/>
    </row>
    <row r="78" spans="1:33" s="381" customFormat="1" ht="21" customHeight="1" x14ac:dyDescent="0.15">
      <c r="A78" s="106"/>
      <c r="B78" s="58"/>
      <c r="C78" s="58"/>
      <c r="D78" s="391"/>
      <c r="E78" s="391"/>
      <c r="F78" s="391"/>
      <c r="G78" s="391"/>
      <c r="H78" s="391"/>
      <c r="I78" s="391"/>
      <c r="J78" s="391"/>
      <c r="K78" s="391"/>
      <c r="L78" s="391"/>
      <c r="M78" s="391"/>
      <c r="N78" s="149"/>
      <c r="O78" s="419"/>
      <c r="P78" s="419"/>
      <c r="Q78" s="419"/>
      <c r="R78" s="419"/>
      <c r="S78" s="382">
        <v>275000</v>
      </c>
      <c r="T78" s="323" t="s">
        <v>146</v>
      </c>
      <c r="U78" s="323" t="s">
        <v>128</v>
      </c>
      <c r="V78" s="382">
        <v>1</v>
      </c>
      <c r="W78" s="419" t="s">
        <v>108</v>
      </c>
      <c r="X78" s="382" t="s">
        <v>127</v>
      </c>
      <c r="Y78" s="382"/>
      <c r="Z78" s="382"/>
      <c r="AA78" s="382"/>
      <c r="AB78" s="382" t="s">
        <v>138</v>
      </c>
      <c r="AC78" s="382"/>
      <c r="AD78" s="382">
        <f>S78*V78</f>
        <v>275000</v>
      </c>
      <c r="AE78" s="177" t="s">
        <v>146</v>
      </c>
      <c r="AF78" s="380"/>
    </row>
    <row r="79" spans="1:33" s="285" customFormat="1" ht="21" customHeight="1" x14ac:dyDescent="0.15">
      <c r="A79" s="106"/>
      <c r="B79" s="58"/>
      <c r="C79" s="58"/>
      <c r="D79" s="268"/>
      <c r="E79" s="268"/>
      <c r="F79" s="268"/>
      <c r="G79" s="268"/>
      <c r="H79" s="268"/>
      <c r="I79" s="268"/>
      <c r="J79" s="268"/>
      <c r="K79" s="268"/>
      <c r="L79" s="268"/>
      <c r="M79" s="268"/>
      <c r="N79" s="82"/>
      <c r="O79" s="186" t="s">
        <v>15</v>
      </c>
      <c r="P79" s="186"/>
      <c r="Q79" s="186"/>
      <c r="R79" s="186"/>
      <c r="S79" s="184"/>
      <c r="T79" s="323"/>
      <c r="U79" s="323"/>
      <c r="V79" s="184"/>
      <c r="W79" s="186"/>
      <c r="X79" s="184"/>
      <c r="Y79" s="184"/>
      <c r="Z79" s="184"/>
      <c r="AA79" s="184"/>
      <c r="AB79" s="184" t="s">
        <v>159</v>
      </c>
      <c r="AC79" s="184"/>
      <c r="AD79" s="184">
        <v>377000</v>
      </c>
      <c r="AE79" s="177" t="s">
        <v>146</v>
      </c>
      <c r="AF79" s="95"/>
    </row>
    <row r="80" spans="1:33" s="285" customFormat="1" ht="21" customHeight="1" x14ac:dyDescent="0.15">
      <c r="A80" s="106"/>
      <c r="B80" s="58"/>
      <c r="C80" s="58"/>
      <c r="D80" s="268"/>
      <c r="E80" s="268"/>
      <c r="F80" s="268"/>
      <c r="G80" s="268"/>
      <c r="H80" s="268"/>
      <c r="I80" s="268"/>
      <c r="J80" s="268"/>
      <c r="K80" s="268"/>
      <c r="L80" s="268"/>
      <c r="M80" s="268"/>
      <c r="N80" s="82"/>
      <c r="O80" s="371"/>
      <c r="P80" s="51"/>
      <c r="Q80" s="51"/>
      <c r="R80" s="51"/>
      <c r="S80" s="53"/>
      <c r="T80" s="238"/>
      <c r="U80" s="238"/>
      <c r="V80" s="53"/>
      <c r="W80" s="51"/>
      <c r="X80" s="53"/>
      <c r="Y80" s="53"/>
      <c r="Z80" s="53"/>
      <c r="AA80" s="53"/>
      <c r="AB80" s="53"/>
      <c r="AC80" s="53"/>
      <c r="AD80" s="53"/>
      <c r="AE80" s="49"/>
      <c r="AF80" s="95"/>
    </row>
    <row r="81" spans="1:32" ht="21" customHeight="1" x14ac:dyDescent="0.15">
      <c r="A81" s="106"/>
      <c r="B81" s="58"/>
      <c r="C81" s="80" t="s">
        <v>289</v>
      </c>
      <c r="D81" s="274">
        <v>370</v>
      </c>
      <c r="E81" s="274">
        <f>AD81/1000</f>
        <v>370</v>
      </c>
      <c r="F81" s="304">
        <v>0</v>
      </c>
      <c r="G81" s="304">
        <f>SUMIF($AB$82:$AB$86,"7종",$AD$82:$AD$86)/1000</f>
        <v>0</v>
      </c>
      <c r="H81" s="304">
        <f>SUMIF($AB$82:$AB$86,"시비",$AD$82:$AD$86)/1000</f>
        <v>0</v>
      </c>
      <c r="I81" s="304">
        <f>SUMIF($AB$82:$AB$86,"후원",$AD$82:$AD$86)/1000</f>
        <v>0</v>
      </c>
      <c r="J81" s="304">
        <f>SUMIF($AB$82:$AB$86,"입소",$AD$82:$AD$86)/1000</f>
        <v>370</v>
      </c>
      <c r="K81" s="304">
        <f>SUMIF($AB$82:$AB$86,"법인",$AD$82:$AD$86)/1000</f>
        <v>0</v>
      </c>
      <c r="L81" s="304">
        <f>SUMIF($AB$82:$AB$86,"잡수",$AD$82:$AD$86)/1000</f>
        <v>0</v>
      </c>
      <c r="M81" s="372">
        <f>E81-D81</f>
        <v>0</v>
      </c>
      <c r="N81" s="165">
        <f>IF(D81=0,0,M81/D81)</f>
        <v>0</v>
      </c>
      <c r="O81" s="389" t="s">
        <v>282</v>
      </c>
      <c r="P81" s="339"/>
      <c r="Q81" s="339"/>
      <c r="R81" s="339"/>
      <c r="S81" s="339"/>
      <c r="T81" s="388"/>
      <c r="U81" s="388"/>
      <c r="V81" s="388"/>
      <c r="W81" s="388"/>
      <c r="X81" s="388"/>
      <c r="Y81" s="288" t="s">
        <v>153</v>
      </c>
      <c r="Z81" s="288"/>
      <c r="AA81" s="288"/>
      <c r="AB81" s="288"/>
      <c r="AC81" s="387"/>
      <c r="AD81" s="387">
        <f>SUM(AD82:AD86)</f>
        <v>370000</v>
      </c>
      <c r="AE81" s="386" t="s">
        <v>146</v>
      </c>
    </row>
    <row r="82" spans="1:32" s="38" customFormat="1" ht="21" customHeight="1" x14ac:dyDescent="0.15">
      <c r="A82" s="106"/>
      <c r="B82" s="58"/>
      <c r="C82" s="58"/>
      <c r="D82" s="268"/>
      <c r="E82" s="268"/>
      <c r="F82" s="268"/>
      <c r="G82" s="268"/>
      <c r="H82" s="268"/>
      <c r="I82" s="268"/>
      <c r="J82" s="268"/>
      <c r="K82" s="268"/>
      <c r="L82" s="268"/>
      <c r="M82" s="268"/>
      <c r="N82" s="82"/>
      <c r="O82" s="163" t="s">
        <v>44</v>
      </c>
      <c r="P82" s="367"/>
      <c r="Q82" s="367"/>
      <c r="R82" s="367"/>
      <c r="S82" s="163"/>
      <c r="T82" s="61"/>
      <c r="U82" s="366"/>
      <c r="V82" s="365">
        <v>20000</v>
      </c>
      <c r="W82" s="385" t="s">
        <v>146</v>
      </c>
      <c r="X82" s="385" t="s">
        <v>128</v>
      </c>
      <c r="Y82" s="365">
        <v>1</v>
      </c>
      <c r="Z82" s="384" t="s">
        <v>140</v>
      </c>
      <c r="AA82" s="365" t="s">
        <v>127</v>
      </c>
      <c r="AB82" s="50" t="s">
        <v>159</v>
      </c>
      <c r="AC82" s="50"/>
      <c r="AD82" s="50">
        <f>V82*Y82</f>
        <v>20000</v>
      </c>
      <c r="AE82" s="145" t="s">
        <v>146</v>
      </c>
      <c r="AF82" s="380"/>
    </row>
    <row r="83" spans="1:32" s="38" customFormat="1" ht="21" customHeight="1" x14ac:dyDescent="0.15">
      <c r="A83" s="106"/>
      <c r="B83" s="58"/>
      <c r="C83" s="58"/>
      <c r="D83" s="268"/>
      <c r="E83" s="268"/>
      <c r="F83" s="268"/>
      <c r="G83" s="268"/>
      <c r="H83" s="268"/>
      <c r="I83" s="268"/>
      <c r="J83" s="268"/>
      <c r="K83" s="268"/>
      <c r="L83" s="268"/>
      <c r="M83" s="268"/>
      <c r="N83" s="82"/>
      <c r="O83" s="186" t="s">
        <v>290</v>
      </c>
      <c r="P83" s="295"/>
      <c r="Q83" s="295"/>
      <c r="R83" s="295"/>
      <c r="S83" s="184">
        <v>600000</v>
      </c>
      <c r="T83" s="323" t="s">
        <v>146</v>
      </c>
      <c r="U83" s="323" t="s">
        <v>128</v>
      </c>
      <c r="V83" s="50">
        <v>1</v>
      </c>
      <c r="W83" s="186" t="s">
        <v>140</v>
      </c>
      <c r="X83" s="178" t="s">
        <v>155</v>
      </c>
      <c r="Y83" s="383">
        <v>3</v>
      </c>
      <c r="Z83" s="184"/>
      <c r="AA83" s="184" t="s">
        <v>127</v>
      </c>
      <c r="AB83" s="184" t="s">
        <v>159</v>
      </c>
      <c r="AC83" s="184"/>
      <c r="AD83" s="382">
        <f>ROUNDDOWN(S83*V83/Y83,-4)</f>
        <v>200000</v>
      </c>
      <c r="AE83" s="177" t="s">
        <v>146</v>
      </c>
      <c r="AF83" s="381"/>
    </row>
    <row r="84" spans="1:32" s="381" customFormat="1" ht="21" customHeight="1" x14ac:dyDescent="0.15">
      <c r="A84" s="106"/>
      <c r="B84" s="58"/>
      <c r="C84" s="58"/>
      <c r="D84" s="391"/>
      <c r="E84" s="391"/>
      <c r="F84" s="391"/>
      <c r="G84" s="391"/>
      <c r="H84" s="391"/>
      <c r="I84" s="391"/>
      <c r="J84" s="391"/>
      <c r="K84" s="391"/>
      <c r="L84" s="391"/>
      <c r="M84" s="391"/>
      <c r="N84" s="149"/>
      <c r="O84" s="419" t="s">
        <v>18</v>
      </c>
      <c r="P84" s="367"/>
      <c r="Q84" s="367"/>
      <c r="R84" s="367"/>
      <c r="S84" s="382">
        <v>100000</v>
      </c>
      <c r="T84" s="323" t="s">
        <v>146</v>
      </c>
      <c r="U84" s="323" t="s">
        <v>128</v>
      </c>
      <c r="V84" s="382">
        <v>1</v>
      </c>
      <c r="W84" s="419" t="s">
        <v>140</v>
      </c>
      <c r="X84" s="482"/>
      <c r="Y84" s="421"/>
      <c r="Z84" s="382"/>
      <c r="AA84" s="382" t="s">
        <v>127</v>
      </c>
      <c r="AB84" s="382" t="s">
        <v>159</v>
      </c>
      <c r="AC84" s="382"/>
      <c r="AD84" s="382">
        <f>S84*V84</f>
        <v>100000</v>
      </c>
      <c r="AE84" s="177" t="s">
        <v>146</v>
      </c>
    </row>
    <row r="85" spans="1:32" s="38" customFormat="1" ht="21" customHeight="1" x14ac:dyDescent="0.15">
      <c r="A85" s="106"/>
      <c r="B85" s="58"/>
      <c r="C85" s="58"/>
      <c r="D85" s="268"/>
      <c r="E85" s="268"/>
      <c r="F85" s="268"/>
      <c r="G85" s="268"/>
      <c r="H85" s="268"/>
      <c r="I85" s="268"/>
      <c r="J85" s="268"/>
      <c r="K85" s="268"/>
      <c r="L85" s="268"/>
      <c r="M85" s="268"/>
      <c r="N85" s="82"/>
      <c r="O85" s="163" t="s">
        <v>308</v>
      </c>
      <c r="P85" s="367"/>
      <c r="Q85" s="367"/>
      <c r="R85" s="367"/>
      <c r="S85" s="163"/>
      <c r="T85" s="61"/>
      <c r="U85" s="366"/>
      <c r="V85" s="349"/>
      <c r="W85" s="364"/>
      <c r="X85" s="364"/>
      <c r="Y85" s="349"/>
      <c r="Z85" s="350"/>
      <c r="AA85" s="349" t="s">
        <v>127</v>
      </c>
      <c r="AB85" s="184" t="s">
        <v>159</v>
      </c>
      <c r="AC85" s="184"/>
      <c r="AD85" s="184">
        <v>50000</v>
      </c>
      <c r="AE85" s="177" t="s">
        <v>146</v>
      </c>
      <c r="AF85" s="380"/>
    </row>
    <row r="86" spans="1:32" s="38" customFormat="1" ht="21" customHeight="1" x14ac:dyDescent="0.15">
      <c r="A86" s="106"/>
      <c r="B86" s="58"/>
      <c r="C86" s="58"/>
      <c r="D86" s="268"/>
      <c r="E86" s="268"/>
      <c r="F86" s="268"/>
      <c r="G86" s="268"/>
      <c r="H86" s="268"/>
      <c r="I86" s="268"/>
      <c r="J86" s="268"/>
      <c r="K86" s="268"/>
      <c r="L86" s="268"/>
      <c r="M86" s="268"/>
      <c r="N86" s="82"/>
      <c r="O86" s="51"/>
      <c r="P86" s="379"/>
      <c r="Q86" s="379"/>
      <c r="R86" s="379"/>
      <c r="S86" s="379"/>
      <c r="T86" s="379"/>
      <c r="U86" s="379"/>
      <c r="V86" s="379"/>
      <c r="W86" s="379"/>
      <c r="X86" s="379"/>
      <c r="Y86" s="378"/>
      <c r="Z86" s="378"/>
      <c r="AA86" s="349"/>
      <c r="AB86" s="378"/>
      <c r="AC86" s="378"/>
      <c r="AD86" s="53"/>
      <c r="AE86" s="177"/>
      <c r="AF86" s="31"/>
    </row>
    <row r="87" spans="1:32" s="38" customFormat="1" ht="21" customHeight="1" x14ac:dyDescent="0.15">
      <c r="A87" s="106"/>
      <c r="B87" s="58"/>
      <c r="C87" s="80" t="s">
        <v>277</v>
      </c>
      <c r="D87" s="274">
        <v>460</v>
      </c>
      <c r="E87" s="274">
        <f>AD87/1000</f>
        <v>410</v>
      </c>
      <c r="F87" s="304">
        <v>0</v>
      </c>
      <c r="G87" s="304">
        <f>SUMIF($AB$88:$AB$90,"7종",$AD$88:$AD$90)/1000</f>
        <v>0</v>
      </c>
      <c r="H87" s="304">
        <f>SUMIF($AB$88:$AB$90,"시비",$AD$88:$AD$90)/1000</f>
        <v>0</v>
      </c>
      <c r="I87" s="304">
        <f>SUMIF($AB$88:$AB$90,"후원",$AD$88:$AD$90)/1000</f>
        <v>0</v>
      </c>
      <c r="J87" s="304">
        <f>SUMIF($AB$88:$AB$90,"입소",$AD$88:$AD$90)/1000</f>
        <v>410</v>
      </c>
      <c r="K87" s="304">
        <f>SUMIF($AB$88:$AB$90,"법인",$AD$88:$AD$90)/1000</f>
        <v>0</v>
      </c>
      <c r="L87" s="304">
        <f>SUMIF($AB$88:$AB$90,"잡수",$AD$88:$AD$90)/1000</f>
        <v>0</v>
      </c>
      <c r="M87" s="304">
        <f>E87-D87</f>
        <v>-50</v>
      </c>
      <c r="N87" s="165">
        <f>IF(D87=0,0,M87/D87)</f>
        <v>-0.10869565217391304</v>
      </c>
      <c r="O87" s="340" t="s">
        <v>271</v>
      </c>
      <c r="P87" s="302"/>
      <c r="Q87" s="302"/>
      <c r="R87" s="302"/>
      <c r="S87" s="339"/>
      <c r="T87" s="338"/>
      <c r="U87" s="338"/>
      <c r="V87" s="338"/>
      <c r="W87" s="338"/>
      <c r="X87" s="338"/>
      <c r="Y87" s="337" t="s">
        <v>153</v>
      </c>
      <c r="Z87" s="337"/>
      <c r="AA87" s="337"/>
      <c r="AB87" s="337"/>
      <c r="AC87" s="336"/>
      <c r="AD87" s="336">
        <f>SUM(AD88:AD89)</f>
        <v>410000</v>
      </c>
      <c r="AE87" s="335" t="s">
        <v>146</v>
      </c>
      <c r="AF87" s="31"/>
    </row>
    <row r="88" spans="1:32" s="38" customFormat="1" ht="21" customHeight="1" x14ac:dyDescent="0.15">
      <c r="A88" s="106"/>
      <c r="B88" s="58"/>
      <c r="C88" s="58"/>
      <c r="D88" s="268"/>
      <c r="E88" s="268"/>
      <c r="F88" s="268"/>
      <c r="G88" s="268"/>
      <c r="H88" s="268"/>
      <c r="I88" s="268"/>
      <c r="J88" s="268"/>
      <c r="K88" s="268"/>
      <c r="L88" s="268"/>
      <c r="M88" s="268"/>
      <c r="N88" s="82"/>
      <c r="O88" s="186" t="s">
        <v>281</v>
      </c>
      <c r="P88" s="186"/>
      <c r="Q88" s="186"/>
      <c r="R88" s="186"/>
      <c r="S88" s="50">
        <v>30000</v>
      </c>
      <c r="T88" s="323" t="s">
        <v>146</v>
      </c>
      <c r="U88" s="323" t="s">
        <v>128</v>
      </c>
      <c r="V88" s="184">
        <v>12</v>
      </c>
      <c r="W88" s="186" t="s">
        <v>140</v>
      </c>
      <c r="X88" s="184" t="s">
        <v>127</v>
      </c>
      <c r="Y88" s="184"/>
      <c r="Z88" s="184"/>
      <c r="AA88" s="184"/>
      <c r="AB88" s="184" t="s">
        <v>159</v>
      </c>
      <c r="AC88" s="184"/>
      <c r="AD88" s="184">
        <f>S88*V88</f>
        <v>360000</v>
      </c>
      <c r="AE88" s="177" t="s">
        <v>146</v>
      </c>
      <c r="AF88" s="31"/>
    </row>
    <row r="89" spans="1:32" ht="21" customHeight="1" x14ac:dyDescent="0.15">
      <c r="A89" s="106"/>
      <c r="B89" s="58"/>
      <c r="C89" s="58"/>
      <c r="D89" s="268"/>
      <c r="E89" s="268"/>
      <c r="F89" s="268"/>
      <c r="G89" s="268"/>
      <c r="H89" s="268"/>
      <c r="I89" s="268"/>
      <c r="J89" s="268"/>
      <c r="K89" s="268"/>
      <c r="L89" s="268"/>
      <c r="M89" s="268"/>
      <c r="N89" s="82"/>
      <c r="O89" s="186" t="s">
        <v>299</v>
      </c>
      <c r="P89" s="186"/>
      <c r="Q89" s="186"/>
      <c r="R89" s="186"/>
      <c r="S89" s="50"/>
      <c r="T89" s="323"/>
      <c r="U89" s="323"/>
      <c r="V89" s="184"/>
      <c r="W89" s="186"/>
      <c r="X89" s="184"/>
      <c r="Y89" s="184"/>
      <c r="Z89" s="184"/>
      <c r="AA89" s="184"/>
      <c r="AB89" s="184" t="s">
        <v>159</v>
      </c>
      <c r="AC89" s="184"/>
      <c r="AD89" s="184">
        <v>50000</v>
      </c>
      <c r="AE89" s="177" t="s">
        <v>146</v>
      </c>
    </row>
    <row r="90" spans="1:32" s="38" customFormat="1" ht="21" customHeight="1" x14ac:dyDescent="0.15">
      <c r="A90" s="106"/>
      <c r="B90" s="58"/>
      <c r="C90" s="127"/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124"/>
      <c r="O90" s="317"/>
      <c r="P90" s="317"/>
      <c r="Q90" s="317"/>
      <c r="R90" s="317"/>
      <c r="S90" s="206"/>
      <c r="T90" s="327"/>
      <c r="U90" s="316"/>
      <c r="V90" s="553"/>
      <c r="W90" s="554"/>
      <c r="X90" s="316"/>
      <c r="Y90" s="316"/>
      <c r="Z90" s="316"/>
      <c r="AA90" s="316"/>
      <c r="AB90" s="316"/>
      <c r="AC90" s="316"/>
      <c r="AD90" s="316"/>
      <c r="AE90" s="313"/>
      <c r="AF90" s="31"/>
    </row>
    <row r="91" spans="1:32" s="38" customFormat="1" ht="21" customHeight="1" x14ac:dyDescent="0.15">
      <c r="A91" s="106"/>
      <c r="B91" s="58"/>
      <c r="C91" s="80" t="s">
        <v>285</v>
      </c>
      <c r="D91" s="274">
        <v>200</v>
      </c>
      <c r="E91" s="274">
        <f>AD91/1000</f>
        <v>0</v>
      </c>
      <c r="F91" s="304">
        <f>SUMIF($AB$92:$AB$93,"보조",$AD$92:$AD$93)/1000</f>
        <v>0</v>
      </c>
      <c r="G91" s="304">
        <f>SUMIF($AB$92:$AB$93,"7종",$AD$92:$AD$93)/1000</f>
        <v>0</v>
      </c>
      <c r="H91" s="304">
        <f>SUMIF($AB$92:$AB$93,"시비",$AD$92:$AD$93)/1000</f>
        <v>0</v>
      </c>
      <c r="I91" s="304">
        <f>SUMIF($AB$92:$AB$93,"후원",$AD$92:$AD$93)/1000</f>
        <v>0</v>
      </c>
      <c r="J91" s="304">
        <f>SUMIF($AB$92:$AB$93,"입소",$AD$92:$AD$93)/1000</f>
        <v>0</v>
      </c>
      <c r="K91" s="304">
        <f>SUMIF($AB$92:$AB$93,"법인",$AD$92:$AD$93)/1000</f>
        <v>0</v>
      </c>
      <c r="L91" s="304">
        <f>SUMIF($AB$92:$AB$93,"잡수",$AD$92:$AD$93)/1000</f>
        <v>0</v>
      </c>
      <c r="M91" s="304">
        <f>E91-D91</f>
        <v>-200</v>
      </c>
      <c r="N91" s="165">
        <f>IF(D91=0,0,M91/D91)</f>
        <v>-1</v>
      </c>
      <c r="O91" s="286" t="s">
        <v>42</v>
      </c>
      <c r="P91" s="302"/>
      <c r="Q91" s="302"/>
      <c r="R91" s="302"/>
      <c r="S91" s="339"/>
      <c r="T91" s="338"/>
      <c r="U91" s="338"/>
      <c r="V91" s="338"/>
      <c r="W91" s="338"/>
      <c r="X91" s="338"/>
      <c r="Y91" s="337" t="s">
        <v>153</v>
      </c>
      <c r="Z91" s="337"/>
      <c r="AA91" s="337"/>
      <c r="AB91" s="337"/>
      <c r="AC91" s="336"/>
      <c r="AD91" s="336">
        <f>SUM(AD92:AD93)</f>
        <v>0</v>
      </c>
      <c r="AE91" s="335" t="s">
        <v>146</v>
      </c>
      <c r="AF91" s="31"/>
    </row>
    <row r="92" spans="1:32" s="38" customFormat="1" ht="20.25" customHeight="1" x14ac:dyDescent="0.15">
      <c r="A92" s="106"/>
      <c r="B92" s="58"/>
      <c r="C92" s="58"/>
      <c r="D92" s="268"/>
      <c r="E92" s="268"/>
      <c r="F92" s="268"/>
      <c r="G92" s="268"/>
      <c r="H92" s="268"/>
      <c r="I92" s="268"/>
      <c r="J92" s="268"/>
      <c r="K92" s="268"/>
      <c r="L92" s="268"/>
      <c r="M92" s="268"/>
      <c r="N92" s="82"/>
      <c r="O92" s="186"/>
      <c r="P92" s="186"/>
      <c r="Q92" s="186"/>
      <c r="R92" s="186"/>
      <c r="S92" s="50"/>
      <c r="T92" s="184"/>
      <c r="U92" s="180"/>
      <c r="V92" s="184"/>
      <c r="W92" s="184"/>
      <c r="X92" s="180"/>
      <c r="Y92" s="184"/>
      <c r="Z92" s="184"/>
      <c r="AA92" s="184"/>
      <c r="AB92" s="184"/>
      <c r="AC92" s="153"/>
      <c r="AD92" s="153"/>
      <c r="AE92" s="177"/>
      <c r="AF92" s="33"/>
    </row>
    <row r="93" spans="1:32" s="38" customFormat="1" ht="21" customHeight="1" x14ac:dyDescent="0.15">
      <c r="A93" s="106"/>
      <c r="B93" s="58"/>
      <c r="C93" s="241"/>
      <c r="D93" s="268"/>
      <c r="E93" s="268"/>
      <c r="F93" s="268"/>
      <c r="G93" s="268"/>
      <c r="H93" s="268"/>
      <c r="I93" s="268"/>
      <c r="J93" s="268"/>
      <c r="K93" s="268"/>
      <c r="L93" s="268"/>
      <c r="M93" s="268"/>
      <c r="N93" s="124"/>
      <c r="O93" s="317"/>
      <c r="P93" s="317"/>
      <c r="Q93" s="317"/>
      <c r="R93" s="317"/>
      <c r="S93" s="206"/>
      <c r="T93" s="317"/>
      <c r="U93" s="316"/>
      <c r="V93" s="377"/>
      <c r="W93" s="377"/>
      <c r="X93" s="316"/>
      <c r="Y93" s="316"/>
      <c r="Z93" s="316"/>
      <c r="AA93" s="316"/>
      <c r="AB93" s="316"/>
      <c r="AC93" s="316"/>
      <c r="AD93" s="316"/>
      <c r="AE93" s="313"/>
      <c r="AF93" s="33"/>
    </row>
    <row r="94" spans="1:32" s="38" customFormat="1" ht="21" customHeight="1" x14ac:dyDescent="0.15">
      <c r="A94" s="289" t="s">
        <v>274</v>
      </c>
      <c r="B94" s="570" t="s">
        <v>236</v>
      </c>
      <c r="C94" s="570"/>
      <c r="D94" s="376">
        <v>3100</v>
      </c>
      <c r="E94" s="376">
        <f t="shared" ref="E94:L94" si="5">E95</f>
        <v>2600</v>
      </c>
      <c r="F94" s="376">
        <f t="shared" si="5"/>
        <v>0</v>
      </c>
      <c r="G94" s="376">
        <f t="shared" si="5"/>
        <v>2000</v>
      </c>
      <c r="H94" s="376">
        <f t="shared" si="5"/>
        <v>0</v>
      </c>
      <c r="I94" s="376">
        <f t="shared" si="5"/>
        <v>0</v>
      </c>
      <c r="J94" s="376">
        <f t="shared" si="5"/>
        <v>600</v>
      </c>
      <c r="K94" s="376">
        <f t="shared" si="5"/>
        <v>0</v>
      </c>
      <c r="L94" s="376">
        <f t="shared" si="5"/>
        <v>0</v>
      </c>
      <c r="M94" s="376">
        <f>E94-D94</f>
        <v>-500</v>
      </c>
      <c r="N94" s="375">
        <f>IF(D94=0,0,M94/D94)</f>
        <v>-0.16129032258064516</v>
      </c>
      <c r="O94" s="85" t="s">
        <v>226</v>
      </c>
      <c r="P94" s="85"/>
      <c r="Q94" s="85"/>
      <c r="R94" s="85"/>
      <c r="S94" s="37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>
        <f>AD95</f>
        <v>2600000</v>
      </c>
      <c r="AE94" s="373" t="s">
        <v>146</v>
      </c>
      <c r="AF94" s="33"/>
    </row>
    <row r="95" spans="1:32" s="38" customFormat="1" ht="21" customHeight="1" x14ac:dyDescent="0.15">
      <c r="A95" s="287" t="s">
        <v>111</v>
      </c>
      <c r="B95" s="58" t="s">
        <v>151</v>
      </c>
      <c r="C95" s="58" t="s">
        <v>161</v>
      </c>
      <c r="D95" s="268">
        <v>3100</v>
      </c>
      <c r="E95" s="268">
        <f t="shared" ref="E95:L95" si="6">SUM(E96,E98,E102)</f>
        <v>2600</v>
      </c>
      <c r="F95" s="268">
        <f t="shared" si="6"/>
        <v>0</v>
      </c>
      <c r="G95" s="268">
        <f t="shared" si="6"/>
        <v>2000</v>
      </c>
      <c r="H95" s="268">
        <f t="shared" si="6"/>
        <v>0</v>
      </c>
      <c r="I95" s="268">
        <f t="shared" si="6"/>
        <v>0</v>
      </c>
      <c r="J95" s="268">
        <f t="shared" si="6"/>
        <v>600</v>
      </c>
      <c r="K95" s="268">
        <f t="shared" si="6"/>
        <v>0</v>
      </c>
      <c r="L95" s="268">
        <f t="shared" si="6"/>
        <v>0</v>
      </c>
      <c r="M95" s="268">
        <f>E95-D95</f>
        <v>-500</v>
      </c>
      <c r="N95" s="82">
        <f>IF(D95=0,0,M95/D95)</f>
        <v>-0.16129032258064516</v>
      </c>
      <c r="O95" s="359" t="s">
        <v>151</v>
      </c>
      <c r="P95" s="359"/>
      <c r="Q95" s="359"/>
      <c r="R95" s="359"/>
      <c r="S95" s="339"/>
      <c r="T95" s="65"/>
      <c r="U95" s="65"/>
      <c r="V95" s="65"/>
      <c r="W95" s="65"/>
      <c r="X95" s="65"/>
      <c r="Y95" s="65"/>
      <c r="Z95" s="65"/>
      <c r="AA95" s="65"/>
      <c r="AB95" s="65"/>
      <c r="AC95" s="358"/>
      <c r="AD95" s="358">
        <f>SUM(AD96,AD98,AD102)</f>
        <v>2600000</v>
      </c>
      <c r="AE95" s="357" t="s">
        <v>146</v>
      </c>
      <c r="AF95" s="31"/>
    </row>
    <row r="96" spans="1:32" s="38" customFormat="1" ht="21" customHeight="1" x14ac:dyDescent="0.15">
      <c r="A96" s="106"/>
      <c r="B96" s="58"/>
      <c r="C96" s="80" t="s">
        <v>151</v>
      </c>
      <c r="D96" s="274">
        <v>0</v>
      </c>
      <c r="E96" s="274">
        <f>AD96/1000</f>
        <v>0</v>
      </c>
      <c r="F96" s="372">
        <f>SUMIF($AB$97:$AB$97,"보조",$AD$97:$AD$97)/1000</f>
        <v>0</v>
      </c>
      <c r="G96" s="372">
        <f>SUMIF($AB$97:$AB$97,"7종",$AD$97:$AD$97)/1000</f>
        <v>0</v>
      </c>
      <c r="H96" s="372">
        <f>SUMIF($AB$97:$AB$97,"시비",$AD$97:$AD$97)/1000</f>
        <v>0</v>
      </c>
      <c r="I96" s="372">
        <f>SUMIF($AB$97:$AB$97,"후원",$AD$97:$AD$97)/1000</f>
        <v>0</v>
      </c>
      <c r="J96" s="372">
        <f>SUMIF($AB$97:$AB$97,"입소",$AD$97:$AD$97)/1000</f>
        <v>0</v>
      </c>
      <c r="K96" s="372">
        <f>SUMIF($AB$97:$AB$97,"법인",$AD$97:$AD$97)/1000</f>
        <v>0</v>
      </c>
      <c r="L96" s="372">
        <f>SUMIF($AB$97:$AB$97,"잡수",$AD$97:$AD$97)/1000</f>
        <v>0</v>
      </c>
      <c r="M96" s="372">
        <f>E96-D96</f>
        <v>0</v>
      </c>
      <c r="N96" s="151">
        <f>IF(D96=0,0,M96/D96)</f>
        <v>0</v>
      </c>
      <c r="O96" s="67" t="s">
        <v>243</v>
      </c>
      <c r="P96" s="359"/>
      <c r="Q96" s="359"/>
      <c r="R96" s="359"/>
      <c r="S96" s="339"/>
      <c r="T96" s="65"/>
      <c r="U96" s="65"/>
      <c r="V96" s="65"/>
      <c r="W96" s="65"/>
      <c r="X96" s="65"/>
      <c r="Y96" s="272" t="s">
        <v>153</v>
      </c>
      <c r="Z96" s="272"/>
      <c r="AA96" s="272"/>
      <c r="AB96" s="272"/>
      <c r="AC96" s="332"/>
      <c r="AD96" s="332">
        <f>SUM(AD97:AD97)</f>
        <v>0</v>
      </c>
      <c r="AE96" s="282" t="s">
        <v>146</v>
      </c>
      <c r="AF96" s="31"/>
    </row>
    <row r="97" spans="1:32" s="38" customFormat="1" ht="21" customHeight="1" x14ac:dyDescent="0.15">
      <c r="A97" s="106"/>
      <c r="B97" s="58"/>
      <c r="C97" s="58"/>
      <c r="D97" s="268"/>
      <c r="E97" s="268"/>
      <c r="F97" s="268"/>
      <c r="G97" s="268"/>
      <c r="H97" s="268"/>
      <c r="I97" s="268"/>
      <c r="J97" s="268"/>
      <c r="K97" s="268"/>
      <c r="L97" s="268"/>
      <c r="M97" s="268"/>
      <c r="N97" s="82"/>
      <c r="O97" s="371"/>
      <c r="P97" s="85"/>
      <c r="Q97" s="85"/>
      <c r="R97" s="85"/>
      <c r="S97" s="370"/>
      <c r="T97" s="84"/>
      <c r="U97" s="84"/>
      <c r="V97" s="84"/>
      <c r="W97" s="84"/>
      <c r="X97" s="84"/>
      <c r="Y97" s="84"/>
      <c r="Z97" s="84"/>
      <c r="AA97" s="84"/>
      <c r="AB97" s="53"/>
      <c r="AC97" s="369"/>
      <c r="AD97" s="61"/>
      <c r="AE97" s="49"/>
      <c r="AF97" s="33"/>
    </row>
    <row r="98" spans="1:32" s="38" customFormat="1" ht="21" customHeight="1" x14ac:dyDescent="0.15">
      <c r="A98" s="106"/>
      <c r="B98" s="58"/>
      <c r="C98" s="80" t="s">
        <v>251</v>
      </c>
      <c r="D98" s="274">
        <v>3000</v>
      </c>
      <c r="E98" s="274">
        <f>AD98/1000</f>
        <v>2500</v>
      </c>
      <c r="F98" s="304">
        <f>SUMIF($AB$99:$AB$101,"보조",$AD$99:$AD$101)/1000</f>
        <v>0</v>
      </c>
      <c r="G98" s="304">
        <f>SUMIF($AB$99:$AB$101,"7종",$AD$99:$AD$101)/1000</f>
        <v>2000</v>
      </c>
      <c r="H98" s="304">
        <f>SUMIF($AB$99:$AB$101,"시비",$AD$99:$AD$101)/1000</f>
        <v>0</v>
      </c>
      <c r="I98" s="304">
        <f>SUMIF($AB$99:$AB$101,"후원",$AD$99:$AD$101)/1000</f>
        <v>0</v>
      </c>
      <c r="J98" s="304">
        <f>SUMIF($AB$99:$AB$101,"입소",$AD$99:$AD$101)/1000</f>
        <v>500</v>
      </c>
      <c r="K98" s="304">
        <f>SUMIF($AB$99:$AB$101,"법인",$AD$99:$AD$101)/1000</f>
        <v>0</v>
      </c>
      <c r="L98" s="304">
        <f>SUMIF($AB$99:$AB$101,"잡수",$AD$99:$AD$101)/1000</f>
        <v>0</v>
      </c>
      <c r="M98" s="304">
        <f>E98-D98</f>
        <v>-500</v>
      </c>
      <c r="N98" s="165">
        <f>IF(D98=0,0,M98/D98)</f>
        <v>-0.16666666666666666</v>
      </c>
      <c r="O98" s="67" t="s">
        <v>242</v>
      </c>
      <c r="P98" s="359"/>
      <c r="Q98" s="359"/>
      <c r="R98" s="359"/>
      <c r="S98" s="339"/>
      <c r="T98" s="65"/>
      <c r="U98" s="65"/>
      <c r="V98" s="65"/>
      <c r="W98" s="65"/>
      <c r="X98" s="65"/>
      <c r="Y98" s="272" t="s">
        <v>153</v>
      </c>
      <c r="Z98" s="272"/>
      <c r="AA98" s="272"/>
      <c r="AB98" s="272"/>
      <c r="AC98" s="332"/>
      <c r="AD98" s="332">
        <f>SUM(AD99:AD100)</f>
        <v>2500000</v>
      </c>
      <c r="AE98" s="282" t="s">
        <v>146</v>
      </c>
      <c r="AF98" s="31"/>
    </row>
    <row r="99" spans="1:32" s="38" customFormat="1" ht="21" customHeight="1" x14ac:dyDescent="0.15">
      <c r="A99" s="106"/>
      <c r="B99" s="58"/>
      <c r="C99" s="58"/>
      <c r="D99" s="268"/>
      <c r="E99" s="268"/>
      <c r="F99" s="268"/>
      <c r="G99" s="268"/>
      <c r="H99" s="268"/>
      <c r="I99" s="268"/>
      <c r="J99" s="268"/>
      <c r="K99" s="268"/>
      <c r="L99" s="268"/>
      <c r="M99" s="268"/>
      <c r="N99" s="82"/>
      <c r="O99" s="186" t="s">
        <v>323</v>
      </c>
      <c r="P99" s="186"/>
      <c r="Q99" s="186"/>
      <c r="R99" s="186"/>
      <c r="S99" s="184"/>
      <c r="T99" s="323"/>
      <c r="U99" s="323"/>
      <c r="V99" s="184"/>
      <c r="W99" s="186"/>
      <c r="X99" s="184"/>
      <c r="Y99" s="184"/>
      <c r="Z99" s="184"/>
      <c r="AA99" s="184"/>
      <c r="AB99" s="184" t="s">
        <v>113</v>
      </c>
      <c r="AC99" s="184"/>
      <c r="AD99" s="184">
        <v>2000000</v>
      </c>
      <c r="AE99" s="177" t="s">
        <v>146</v>
      </c>
      <c r="AF99" s="33"/>
    </row>
    <row r="100" spans="1:32" s="38" customFormat="1" ht="21" customHeight="1" x14ac:dyDescent="0.15">
      <c r="A100" s="106"/>
      <c r="B100" s="58"/>
      <c r="C100" s="58"/>
      <c r="D100" s="268"/>
      <c r="E100" s="268"/>
      <c r="F100" s="268"/>
      <c r="G100" s="268"/>
      <c r="H100" s="268"/>
      <c r="I100" s="268"/>
      <c r="J100" s="268"/>
      <c r="K100" s="268"/>
      <c r="L100" s="268"/>
      <c r="M100" s="268"/>
      <c r="N100" s="82"/>
      <c r="O100" s="186" t="s">
        <v>9</v>
      </c>
      <c r="P100" s="186"/>
      <c r="Q100" s="186"/>
      <c r="R100" s="186"/>
      <c r="S100" s="50"/>
      <c r="T100" s="323"/>
      <c r="U100" s="323"/>
      <c r="V100" s="184"/>
      <c r="W100" s="186"/>
      <c r="X100" s="184"/>
      <c r="Y100" s="184"/>
      <c r="Z100" s="184"/>
      <c r="AA100" s="184"/>
      <c r="AB100" s="184" t="s">
        <v>159</v>
      </c>
      <c r="AC100" s="184"/>
      <c r="AD100" s="184">
        <v>500000</v>
      </c>
      <c r="AE100" s="177" t="s">
        <v>146</v>
      </c>
      <c r="AF100" s="33"/>
    </row>
    <row r="101" spans="1:32" s="38" customFormat="1" ht="21" customHeight="1" x14ac:dyDescent="0.15">
      <c r="A101" s="106"/>
      <c r="B101" s="58"/>
      <c r="C101" s="58"/>
      <c r="D101" s="268"/>
      <c r="E101" s="268"/>
      <c r="F101" s="268"/>
      <c r="G101" s="268"/>
      <c r="H101" s="268"/>
      <c r="I101" s="268"/>
      <c r="J101" s="268"/>
      <c r="K101" s="268"/>
      <c r="L101" s="268"/>
      <c r="M101" s="268"/>
      <c r="N101" s="82"/>
      <c r="O101" s="51"/>
      <c r="P101" s="51"/>
      <c r="Q101" s="51"/>
      <c r="R101" s="51"/>
      <c r="S101" s="50"/>
      <c r="T101" s="368"/>
      <c r="U101" s="238"/>
      <c r="V101" s="62"/>
      <c r="W101" s="62"/>
      <c r="X101" s="53"/>
      <c r="Y101" s="53"/>
      <c r="Z101" s="53"/>
      <c r="AA101" s="53"/>
      <c r="AB101" s="53"/>
      <c r="AC101" s="53"/>
      <c r="AD101" s="53"/>
      <c r="AE101" s="49"/>
      <c r="AF101" s="33"/>
    </row>
    <row r="102" spans="1:32" s="38" customFormat="1" ht="21" customHeight="1" x14ac:dyDescent="0.15">
      <c r="A102" s="106"/>
      <c r="B102" s="58"/>
      <c r="C102" s="80" t="s">
        <v>247</v>
      </c>
      <c r="D102" s="274">
        <v>100</v>
      </c>
      <c r="E102" s="274">
        <f>AD102/1000</f>
        <v>100</v>
      </c>
      <c r="F102" s="304">
        <f>SUMIF($AB$103:$AB$107,"보조",$AD$103:$AD$107)/1000</f>
        <v>0</v>
      </c>
      <c r="G102" s="304">
        <f>SUMIF($AB$103:$AB$107,"7종",$AD$103:$AD$107)/1000</f>
        <v>0</v>
      </c>
      <c r="H102" s="304">
        <f>SUMIF($AB$103:$AB$107,"시비",$AD$103:$AD$107)/1000</f>
        <v>0</v>
      </c>
      <c r="I102" s="304">
        <f>SUMIF($AB$103:$AB$107,"후원",$AD$103:$AD$107)/1000</f>
        <v>0</v>
      </c>
      <c r="J102" s="304">
        <f>SUMIF($AB$103:$AB$107,"입소",$AD$103:$AD$107)/1000</f>
        <v>100</v>
      </c>
      <c r="K102" s="304">
        <f>SUMIF($AB$103:$AB$107,"법인",$AD$103:$AD$107)/1000</f>
        <v>0</v>
      </c>
      <c r="L102" s="304">
        <f>SUMIF($AB$103:$AB$107,"잡수",$AD$103:$AD$107)/1000</f>
        <v>0</v>
      </c>
      <c r="M102" s="304">
        <f>E102-D102</f>
        <v>0</v>
      </c>
      <c r="N102" s="165">
        <f>IF(D102=0,0,M102/D102)</f>
        <v>0</v>
      </c>
      <c r="O102" s="67" t="s">
        <v>60</v>
      </c>
      <c r="P102" s="359"/>
      <c r="Q102" s="359"/>
      <c r="R102" s="359"/>
      <c r="S102" s="339"/>
      <c r="T102" s="65"/>
      <c r="U102" s="65"/>
      <c r="V102" s="65"/>
      <c r="W102" s="65"/>
      <c r="X102" s="65"/>
      <c r="Y102" s="272" t="s">
        <v>153</v>
      </c>
      <c r="Z102" s="272"/>
      <c r="AA102" s="272"/>
      <c r="AB102" s="272"/>
      <c r="AC102" s="332"/>
      <c r="AD102" s="332">
        <f>SUM(AD103:AD106)</f>
        <v>100000</v>
      </c>
      <c r="AE102" s="282" t="s">
        <v>146</v>
      </c>
      <c r="AF102" s="31"/>
    </row>
    <row r="103" spans="1:32" s="31" customFormat="1" ht="21" customHeight="1" x14ac:dyDescent="0.15">
      <c r="A103" s="106"/>
      <c r="B103" s="58"/>
      <c r="C103" s="58" t="s">
        <v>97</v>
      </c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82"/>
      <c r="O103" s="545" t="s">
        <v>167</v>
      </c>
      <c r="P103" s="546"/>
      <c r="Q103" s="546"/>
      <c r="R103" s="186"/>
      <c r="S103" s="50"/>
      <c r="T103" s="323"/>
      <c r="U103" s="323"/>
      <c r="V103" s="184"/>
      <c r="W103" s="186"/>
      <c r="X103" s="184"/>
      <c r="Y103" s="184"/>
      <c r="Z103" s="184"/>
      <c r="AA103" s="184"/>
      <c r="AB103" s="184" t="s">
        <v>113</v>
      </c>
      <c r="AC103" s="184"/>
      <c r="AD103" s="184"/>
      <c r="AE103" s="177" t="s">
        <v>146</v>
      </c>
      <c r="AF103" s="33"/>
    </row>
    <row r="104" spans="1:32" s="31" customFormat="1" ht="21" customHeight="1" x14ac:dyDescent="0.15">
      <c r="A104" s="106"/>
      <c r="B104" s="58"/>
      <c r="C104" s="58"/>
      <c r="D104" s="268"/>
      <c r="E104" s="268"/>
      <c r="F104" s="268"/>
      <c r="G104" s="268"/>
      <c r="H104" s="268"/>
      <c r="I104" s="268"/>
      <c r="J104" s="268"/>
      <c r="K104" s="268"/>
      <c r="L104" s="268"/>
      <c r="M104" s="268"/>
      <c r="N104" s="82"/>
      <c r="O104" s="186" t="s">
        <v>189</v>
      </c>
      <c r="P104" s="186"/>
      <c r="Q104" s="186"/>
      <c r="R104" s="186"/>
      <c r="S104" s="50"/>
      <c r="T104" s="323"/>
      <c r="U104" s="323"/>
      <c r="V104" s="184"/>
      <c r="W104" s="186"/>
      <c r="X104" s="184"/>
      <c r="Y104" s="184"/>
      <c r="Z104" s="184"/>
      <c r="AA104" s="184"/>
      <c r="AB104" s="184" t="s">
        <v>159</v>
      </c>
      <c r="AC104" s="184"/>
      <c r="AD104" s="184"/>
      <c r="AE104" s="177" t="s">
        <v>146</v>
      </c>
      <c r="AF104" s="33"/>
    </row>
    <row r="105" spans="1:32" s="31" customFormat="1" ht="21" customHeight="1" x14ac:dyDescent="0.15">
      <c r="A105" s="106"/>
      <c r="B105" s="58"/>
      <c r="C105" s="58"/>
      <c r="D105" s="268"/>
      <c r="E105" s="268"/>
      <c r="F105" s="268"/>
      <c r="G105" s="268"/>
      <c r="H105" s="268"/>
      <c r="I105" s="268"/>
      <c r="J105" s="268"/>
      <c r="K105" s="268"/>
      <c r="L105" s="268"/>
      <c r="M105" s="268"/>
      <c r="N105" s="82"/>
      <c r="O105" s="163" t="s">
        <v>43</v>
      </c>
      <c r="P105" s="367"/>
      <c r="Q105" s="367"/>
      <c r="R105" s="367"/>
      <c r="S105" s="163"/>
      <c r="T105" s="61"/>
      <c r="U105" s="366"/>
      <c r="V105" s="365">
        <v>60000</v>
      </c>
      <c r="W105" s="364" t="s">
        <v>146</v>
      </c>
      <c r="X105" s="364" t="s">
        <v>128</v>
      </c>
      <c r="Y105" s="349">
        <v>1</v>
      </c>
      <c r="Z105" s="350" t="s">
        <v>140</v>
      </c>
      <c r="AA105" s="349" t="s">
        <v>127</v>
      </c>
      <c r="AB105" s="184" t="s">
        <v>159</v>
      </c>
      <c r="AC105" s="184"/>
      <c r="AD105" s="184">
        <f>V105*Y105</f>
        <v>60000</v>
      </c>
      <c r="AE105" s="177" t="s">
        <v>146</v>
      </c>
      <c r="AF105" s="33"/>
    </row>
    <row r="106" spans="1:32" s="31" customFormat="1" ht="21" customHeight="1" x14ac:dyDescent="0.15">
      <c r="A106" s="106"/>
      <c r="B106" s="58"/>
      <c r="C106" s="58"/>
      <c r="D106" s="268"/>
      <c r="E106" s="268"/>
      <c r="F106" s="268"/>
      <c r="G106" s="268"/>
      <c r="H106" s="268"/>
      <c r="I106" s="268"/>
      <c r="J106" s="268"/>
      <c r="K106" s="268"/>
      <c r="L106" s="268"/>
      <c r="M106" s="268"/>
      <c r="N106" s="82"/>
      <c r="O106" s="163" t="s">
        <v>38</v>
      </c>
      <c r="P106" s="367"/>
      <c r="Q106" s="367"/>
      <c r="R106" s="367"/>
      <c r="S106" s="163"/>
      <c r="T106" s="61"/>
      <c r="U106" s="366"/>
      <c r="V106" s="365">
        <v>40000</v>
      </c>
      <c r="W106" s="364" t="s">
        <v>146</v>
      </c>
      <c r="X106" s="364" t="s">
        <v>128</v>
      </c>
      <c r="Y106" s="349">
        <v>1</v>
      </c>
      <c r="Z106" s="350" t="s">
        <v>140</v>
      </c>
      <c r="AA106" s="349" t="s">
        <v>127</v>
      </c>
      <c r="AB106" s="184" t="s">
        <v>159</v>
      </c>
      <c r="AC106" s="184"/>
      <c r="AD106" s="184">
        <f>V106*Y106</f>
        <v>40000</v>
      </c>
      <c r="AE106" s="177" t="s">
        <v>146</v>
      </c>
      <c r="AF106" s="33"/>
    </row>
    <row r="107" spans="1:32" s="31" customFormat="1" ht="21" customHeight="1" x14ac:dyDescent="0.15">
      <c r="A107" s="106"/>
      <c r="B107" s="58"/>
      <c r="C107" s="58"/>
      <c r="D107" s="268"/>
      <c r="E107" s="268"/>
      <c r="F107" s="268"/>
      <c r="G107" s="268"/>
      <c r="H107" s="268"/>
      <c r="I107" s="268"/>
      <c r="J107" s="268"/>
      <c r="K107" s="268"/>
      <c r="L107" s="268"/>
      <c r="M107" s="268"/>
      <c r="N107" s="82"/>
      <c r="O107" s="51"/>
      <c r="P107" s="51"/>
      <c r="Q107" s="51"/>
      <c r="R107" s="51"/>
      <c r="S107" s="50"/>
      <c r="T107" s="238"/>
      <c r="U107" s="238"/>
      <c r="V107" s="53"/>
      <c r="W107" s="51"/>
      <c r="X107" s="53"/>
      <c r="Y107" s="53"/>
      <c r="Z107" s="53"/>
      <c r="AA107" s="53"/>
      <c r="AB107" s="53"/>
      <c r="AC107" s="53"/>
      <c r="AD107" s="53"/>
      <c r="AE107" s="49"/>
      <c r="AF107" s="33"/>
    </row>
    <row r="108" spans="1:32" s="38" customFormat="1" ht="21" customHeight="1" x14ac:dyDescent="0.15">
      <c r="A108" s="363" t="s">
        <v>106</v>
      </c>
      <c r="B108" s="568" t="s">
        <v>236</v>
      </c>
      <c r="C108" s="569"/>
      <c r="D108" s="362">
        <v>15814</v>
      </c>
      <c r="E108" s="362">
        <f t="shared" ref="E108:L108" si="7">SUM(E109,E131)</f>
        <v>13610</v>
      </c>
      <c r="F108" s="362">
        <f t="shared" si="7"/>
        <v>4102.1000000000004</v>
      </c>
      <c r="G108" s="362">
        <f t="shared" si="7"/>
        <v>0</v>
      </c>
      <c r="H108" s="362">
        <f t="shared" si="7"/>
        <v>0</v>
      </c>
      <c r="I108" s="362">
        <f t="shared" si="7"/>
        <v>2118</v>
      </c>
      <c r="J108" s="362">
        <f t="shared" si="7"/>
        <v>6670</v>
      </c>
      <c r="K108" s="362">
        <f t="shared" si="7"/>
        <v>0</v>
      </c>
      <c r="L108" s="362">
        <f t="shared" si="7"/>
        <v>720</v>
      </c>
      <c r="M108" s="362">
        <f>E108-D108</f>
        <v>-2204</v>
      </c>
      <c r="N108" s="361">
        <f>IF(D108=0,0,M108/D108)</f>
        <v>-0.13937017832300494</v>
      </c>
      <c r="O108" s="359" t="s">
        <v>106</v>
      </c>
      <c r="P108" s="359"/>
      <c r="Q108" s="359"/>
      <c r="R108" s="359"/>
      <c r="S108" s="339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>
        <f>SUM(AD109,AD131)</f>
        <v>13610000</v>
      </c>
      <c r="AE108" s="357" t="s">
        <v>146</v>
      </c>
      <c r="AF108" s="360"/>
    </row>
    <row r="109" spans="1:32" s="38" customFormat="1" ht="21" customHeight="1" x14ac:dyDescent="0.15">
      <c r="A109" s="58"/>
      <c r="B109" s="80" t="s">
        <v>129</v>
      </c>
      <c r="C109" s="80" t="s">
        <v>161</v>
      </c>
      <c r="D109" s="304">
        <v>12634</v>
      </c>
      <c r="E109" s="304">
        <f t="shared" ref="E109:L109" si="8">SUM(E110,E117,E121,E124,E128)</f>
        <v>11520</v>
      </c>
      <c r="F109" s="304">
        <f t="shared" si="8"/>
        <v>4102.1000000000004</v>
      </c>
      <c r="G109" s="304">
        <f t="shared" si="8"/>
        <v>0</v>
      </c>
      <c r="H109" s="304">
        <f t="shared" si="8"/>
        <v>0</v>
      </c>
      <c r="I109" s="304">
        <f t="shared" si="8"/>
        <v>2118</v>
      </c>
      <c r="J109" s="304">
        <f t="shared" si="8"/>
        <v>4580</v>
      </c>
      <c r="K109" s="304">
        <f t="shared" si="8"/>
        <v>0</v>
      </c>
      <c r="L109" s="304">
        <f t="shared" si="8"/>
        <v>720</v>
      </c>
      <c r="M109" s="304">
        <f>E109-D109</f>
        <v>-1114</v>
      </c>
      <c r="N109" s="165">
        <f>IF(D109=0,0,M109/D109)</f>
        <v>-8.8174766503086907E-2</v>
      </c>
      <c r="O109" s="359"/>
      <c r="P109" s="359"/>
      <c r="Q109" s="359"/>
      <c r="R109" s="359"/>
      <c r="S109" s="339"/>
      <c r="T109" s="65"/>
      <c r="U109" s="65"/>
      <c r="V109" s="65"/>
      <c r="W109" s="65"/>
      <c r="X109" s="65"/>
      <c r="Y109" s="65" t="s">
        <v>245</v>
      </c>
      <c r="Z109" s="65"/>
      <c r="AA109" s="65"/>
      <c r="AB109" s="65"/>
      <c r="AC109" s="358"/>
      <c r="AD109" s="358">
        <f>SUM(AD110,AD117,AD121,AD124,AD128)</f>
        <v>11520000</v>
      </c>
      <c r="AE109" s="357" t="s">
        <v>146</v>
      </c>
      <c r="AF109" s="31"/>
    </row>
    <row r="110" spans="1:32" s="38" customFormat="1" ht="21" customHeight="1" x14ac:dyDescent="0.15">
      <c r="A110" s="58"/>
      <c r="B110" s="58"/>
      <c r="C110" s="80" t="s">
        <v>102</v>
      </c>
      <c r="D110" s="274">
        <v>10950</v>
      </c>
      <c r="E110" s="351">
        <f>AD110/1000</f>
        <v>10012</v>
      </c>
      <c r="F110" s="304">
        <f>SUMIF($AB$111:$AB$116,"보조",$AD$111:$AD$116)/1000</f>
        <v>4102.1000000000004</v>
      </c>
      <c r="G110" s="304">
        <f>SUMIF($AB$111:$AB$116,"7종",$AD$111:$AD$116)/1000</f>
        <v>0</v>
      </c>
      <c r="H110" s="304">
        <f>SUMIF($AB$111:$AB$116,"시비",$AD$111:$AD$116)/1000</f>
        <v>0</v>
      </c>
      <c r="I110" s="304">
        <f>SUMIF($AB$111:$AB$116,"후원",$AD$111:$AD$116)/1000</f>
        <v>1050</v>
      </c>
      <c r="J110" s="304">
        <f>SUMIF($AB$111:$AB$116,"입소",$AD$111:$AD$116)/1000</f>
        <v>4140</v>
      </c>
      <c r="K110" s="304">
        <f>SUMIF($AB$111:$AB$116,"법인",$AD$111:$AD$116)/1000</f>
        <v>0</v>
      </c>
      <c r="L110" s="304">
        <f>SUMIF($AB$111:$AB$116,"잡수",$AD$111:$AD$116)/1000</f>
        <v>720</v>
      </c>
      <c r="M110" s="304">
        <f>E110-D110</f>
        <v>-938</v>
      </c>
      <c r="N110" s="165">
        <f>IF(D110=0,0,M110/D110)</f>
        <v>-8.566210045662101E-2</v>
      </c>
      <c r="O110" s="340" t="s">
        <v>257</v>
      </c>
      <c r="P110" s="302"/>
      <c r="Q110" s="302"/>
      <c r="R110" s="302"/>
      <c r="S110" s="339"/>
      <c r="T110" s="338"/>
      <c r="U110" s="338"/>
      <c r="V110" s="338"/>
      <c r="W110" s="338"/>
      <c r="X110" s="338"/>
      <c r="Y110" s="337" t="s">
        <v>153</v>
      </c>
      <c r="Z110" s="337"/>
      <c r="AA110" s="337"/>
      <c r="AB110" s="337"/>
      <c r="AC110" s="336"/>
      <c r="AD110" s="336">
        <f>ROUNDDOWN(SUM(AD111:AD115),-3)</f>
        <v>10012000</v>
      </c>
      <c r="AE110" s="335" t="s">
        <v>146</v>
      </c>
      <c r="AF110" s="31"/>
    </row>
    <row r="111" spans="1:32" s="38" customFormat="1" ht="21" customHeight="1" x14ac:dyDescent="0.15">
      <c r="A111" s="58"/>
      <c r="B111" s="58"/>
      <c r="C111" s="58"/>
      <c r="D111" s="268"/>
      <c r="E111" s="347"/>
      <c r="F111" s="268"/>
      <c r="G111" s="268"/>
      <c r="H111" s="268"/>
      <c r="I111" s="268"/>
      <c r="J111" s="268"/>
      <c r="K111" s="268"/>
      <c r="L111" s="268"/>
      <c r="M111" s="268"/>
      <c r="N111" s="82"/>
      <c r="O111" s="186" t="s">
        <v>51</v>
      </c>
      <c r="P111" s="186"/>
      <c r="Q111" s="184"/>
      <c r="R111" s="184"/>
      <c r="S111" s="50">
        <v>170950</v>
      </c>
      <c r="T111" s="184" t="s">
        <v>146</v>
      </c>
      <c r="U111" s="323" t="s">
        <v>128</v>
      </c>
      <c r="V111" s="184">
        <v>6</v>
      </c>
      <c r="W111" s="184" t="s">
        <v>108</v>
      </c>
      <c r="X111" s="323" t="s">
        <v>128</v>
      </c>
      <c r="Y111" s="184">
        <v>4</v>
      </c>
      <c r="Z111" s="184" t="s">
        <v>101</v>
      </c>
      <c r="AA111" s="178" t="s">
        <v>127</v>
      </c>
      <c r="AB111" s="184" t="s">
        <v>110</v>
      </c>
      <c r="AC111" s="153"/>
      <c r="AD111" s="153">
        <f>ROUNDDOWN(S111*V111*Y111,-3)+100</f>
        <v>4102100</v>
      </c>
      <c r="AE111" s="177" t="s">
        <v>146</v>
      </c>
      <c r="AF111" s="33"/>
    </row>
    <row r="112" spans="1:32" s="38" customFormat="1" ht="21" customHeight="1" x14ac:dyDescent="0.15">
      <c r="A112" s="58"/>
      <c r="B112" s="58"/>
      <c r="C112" s="58"/>
      <c r="D112" s="268"/>
      <c r="E112" s="268"/>
      <c r="F112" s="268"/>
      <c r="G112" s="268"/>
      <c r="H112" s="268"/>
      <c r="I112" s="268"/>
      <c r="J112" s="268"/>
      <c r="K112" s="268"/>
      <c r="L112" s="268"/>
      <c r="M112" s="268"/>
      <c r="N112" s="82"/>
      <c r="O112" s="186" t="s">
        <v>51</v>
      </c>
      <c r="P112" s="186"/>
      <c r="Q112" s="184"/>
      <c r="R112" s="184"/>
      <c r="S112" s="50">
        <v>230000</v>
      </c>
      <c r="T112" s="184" t="s">
        <v>108</v>
      </c>
      <c r="U112" s="323" t="s">
        <v>128</v>
      </c>
      <c r="V112" s="184">
        <v>6</v>
      </c>
      <c r="W112" s="184" t="s">
        <v>108</v>
      </c>
      <c r="X112" s="323" t="s">
        <v>128</v>
      </c>
      <c r="Y112" s="184">
        <v>3</v>
      </c>
      <c r="Z112" s="184" t="s">
        <v>101</v>
      </c>
      <c r="AA112" s="178" t="s">
        <v>127</v>
      </c>
      <c r="AB112" s="184" t="s">
        <v>159</v>
      </c>
      <c r="AC112" s="153"/>
      <c r="AD112" s="153">
        <f>ROUNDDOWN(S112*V112*Y112,-3)</f>
        <v>4140000</v>
      </c>
      <c r="AE112" s="177" t="s">
        <v>146</v>
      </c>
      <c r="AF112" s="33"/>
    </row>
    <row r="113" spans="1:32" s="38" customFormat="1" ht="21" customHeight="1" x14ac:dyDescent="0.15">
      <c r="A113" s="58"/>
      <c r="B113" s="58"/>
      <c r="C113" s="58"/>
      <c r="D113" s="268"/>
      <c r="E113" s="347"/>
      <c r="F113" s="268"/>
      <c r="G113" s="268"/>
      <c r="H113" s="268"/>
      <c r="I113" s="268"/>
      <c r="J113" s="268"/>
      <c r="K113" s="268"/>
      <c r="L113" s="268"/>
      <c r="M113" s="268"/>
      <c r="N113" s="82"/>
      <c r="O113" s="186" t="s">
        <v>298</v>
      </c>
      <c r="P113" s="186"/>
      <c r="Q113" s="186"/>
      <c r="R113" s="186"/>
      <c r="S113" s="50">
        <v>25000</v>
      </c>
      <c r="T113" s="184" t="s">
        <v>146</v>
      </c>
      <c r="U113" s="323" t="s">
        <v>128</v>
      </c>
      <c r="V113" s="184">
        <v>12</v>
      </c>
      <c r="W113" s="184" t="s">
        <v>108</v>
      </c>
      <c r="X113" s="323" t="s">
        <v>128</v>
      </c>
      <c r="Y113" s="184">
        <v>3</v>
      </c>
      <c r="Z113" s="184" t="s">
        <v>101</v>
      </c>
      <c r="AA113" s="178" t="s">
        <v>127</v>
      </c>
      <c r="AB113" s="184" t="s">
        <v>121</v>
      </c>
      <c r="AC113" s="153"/>
      <c r="AD113" s="153">
        <f>ROUNDDOWN(S113*V113*Y113,-3)</f>
        <v>900000</v>
      </c>
      <c r="AE113" s="177" t="s">
        <v>146</v>
      </c>
      <c r="AF113" s="33"/>
    </row>
    <row r="114" spans="1:32" s="38" customFormat="1" ht="21" customHeight="1" x14ac:dyDescent="0.15">
      <c r="A114" s="58"/>
      <c r="B114" s="58"/>
      <c r="C114" s="58"/>
      <c r="D114" s="268"/>
      <c r="E114" s="347"/>
      <c r="F114" s="268"/>
      <c r="G114" s="268"/>
      <c r="H114" s="268"/>
      <c r="I114" s="268"/>
      <c r="J114" s="268"/>
      <c r="K114" s="268"/>
      <c r="L114" s="268"/>
      <c r="M114" s="268"/>
      <c r="N114" s="82"/>
      <c r="O114" s="186" t="s">
        <v>182</v>
      </c>
      <c r="P114" s="186"/>
      <c r="Q114" s="186"/>
      <c r="R114" s="186"/>
      <c r="S114" s="50">
        <v>60000</v>
      </c>
      <c r="T114" s="184" t="s">
        <v>146</v>
      </c>
      <c r="U114" s="323" t="s">
        <v>128</v>
      </c>
      <c r="V114" s="184">
        <v>12</v>
      </c>
      <c r="W114" s="184" t="s">
        <v>108</v>
      </c>
      <c r="X114" s="323" t="s">
        <v>128</v>
      </c>
      <c r="Y114" s="184">
        <v>1</v>
      </c>
      <c r="Z114" s="184" t="s">
        <v>101</v>
      </c>
      <c r="AA114" s="178" t="s">
        <v>127</v>
      </c>
      <c r="AB114" s="184" t="s">
        <v>138</v>
      </c>
      <c r="AC114" s="153"/>
      <c r="AD114" s="153">
        <f>ROUNDDOWN(S114*V114*Y114,-3)</f>
        <v>720000</v>
      </c>
      <c r="AE114" s="177" t="s">
        <v>146</v>
      </c>
      <c r="AF114" s="33"/>
    </row>
    <row r="115" spans="1:32" s="38" customFormat="1" ht="21" customHeight="1" x14ac:dyDescent="0.15">
      <c r="A115" s="58"/>
      <c r="B115" s="58"/>
      <c r="C115" s="58"/>
      <c r="D115" s="268"/>
      <c r="E115" s="268"/>
      <c r="F115" s="268"/>
      <c r="G115" s="268"/>
      <c r="H115" s="268"/>
      <c r="I115" s="268"/>
      <c r="J115" s="268"/>
      <c r="K115" s="268"/>
      <c r="L115" s="268"/>
      <c r="M115" s="268"/>
      <c r="N115" s="82"/>
      <c r="O115" s="51" t="s">
        <v>3</v>
      </c>
      <c r="P115" s="51"/>
      <c r="Q115" s="51"/>
      <c r="R115" s="51"/>
      <c r="S115" s="50">
        <v>150000</v>
      </c>
      <c r="T115" s="50" t="s">
        <v>146</v>
      </c>
      <c r="U115" s="323" t="s">
        <v>128</v>
      </c>
      <c r="V115" s="184">
        <v>1</v>
      </c>
      <c r="W115" s="184" t="s">
        <v>140</v>
      </c>
      <c r="X115" s="238"/>
      <c r="Y115" s="50"/>
      <c r="Z115" s="50"/>
      <c r="AA115" s="52" t="s">
        <v>127</v>
      </c>
      <c r="AB115" s="50" t="s">
        <v>121</v>
      </c>
      <c r="AC115" s="61"/>
      <c r="AD115" s="153">
        <f>ROUNDDOWN(S115*V115,-3)</f>
        <v>150000</v>
      </c>
      <c r="AE115" s="177" t="s">
        <v>146</v>
      </c>
      <c r="AF115" s="33"/>
    </row>
    <row r="116" spans="1:32" s="38" customFormat="1" ht="21" customHeight="1" x14ac:dyDescent="0.15">
      <c r="A116" s="58"/>
      <c r="B116" s="58"/>
      <c r="C116" s="127"/>
      <c r="D116" s="294"/>
      <c r="E116" s="356"/>
      <c r="F116" s="294"/>
      <c r="G116" s="294"/>
      <c r="H116" s="294"/>
      <c r="I116" s="294"/>
      <c r="J116" s="294"/>
      <c r="K116" s="294"/>
      <c r="L116" s="294"/>
      <c r="M116" s="294"/>
      <c r="N116" s="124"/>
      <c r="O116" s="354"/>
      <c r="P116" s="354"/>
      <c r="Q116" s="354"/>
      <c r="R116" s="354"/>
      <c r="S116" s="355"/>
      <c r="T116" s="354"/>
      <c r="U116" s="354"/>
      <c r="V116" s="354"/>
      <c r="W116" s="354"/>
      <c r="X116" s="354"/>
      <c r="Y116" s="354"/>
      <c r="Z116" s="354"/>
      <c r="AA116" s="354"/>
      <c r="AB116" s="354"/>
      <c r="AC116" s="354"/>
      <c r="AD116" s="353"/>
      <c r="AE116" s="352"/>
      <c r="AF116" s="33"/>
    </row>
    <row r="117" spans="1:32" s="38" customFormat="1" ht="21" customHeight="1" x14ac:dyDescent="0.15">
      <c r="A117" s="58"/>
      <c r="B117" s="58"/>
      <c r="C117" s="58" t="s">
        <v>244</v>
      </c>
      <c r="D117" s="274">
        <v>444</v>
      </c>
      <c r="E117" s="351">
        <f>AD117/1000</f>
        <v>468</v>
      </c>
      <c r="F117" s="268">
        <v>0</v>
      </c>
      <c r="G117" s="268">
        <f>SUMIF($AB$118:$AB$120,"7종",$AD$118:$AD$120)/1000</f>
        <v>0</v>
      </c>
      <c r="H117" s="268">
        <f>SUMIF($AB$118:$AB$120,"시비",$AD$118:$AD$120)/1000</f>
        <v>0</v>
      </c>
      <c r="I117" s="268">
        <f>SUMIF($AB$118:$AB$120,"후원",$AD$118:$AD$120)/1000</f>
        <v>468</v>
      </c>
      <c r="J117" s="268">
        <f>SUMIF($AB$118:$AB$120,"입소",$AD$118:$AD$120)/1000</f>
        <v>0</v>
      </c>
      <c r="K117" s="268">
        <f>SUMIF($AB$118:$AB$120,"법인",$AD$118:$AD$120)/1000</f>
        <v>0</v>
      </c>
      <c r="L117" s="268">
        <f>SUMIF($AB$118:$AB$120,"잡수",$AD$118:$AD$120)/1000</f>
        <v>0</v>
      </c>
      <c r="M117" s="268">
        <f>E117-D117</f>
        <v>24</v>
      </c>
      <c r="N117" s="82">
        <f>IF(D117=0,0,M117/D117)</f>
        <v>5.4054054054054057E-2</v>
      </c>
      <c r="O117" s="340" t="s">
        <v>35</v>
      </c>
      <c r="P117" s="302"/>
      <c r="Q117" s="302"/>
      <c r="R117" s="302"/>
      <c r="S117" s="339"/>
      <c r="T117" s="338"/>
      <c r="U117" s="338"/>
      <c r="V117" s="338"/>
      <c r="W117" s="338"/>
      <c r="X117" s="338"/>
      <c r="Y117" s="337" t="s">
        <v>153</v>
      </c>
      <c r="Z117" s="337"/>
      <c r="AA117" s="337"/>
      <c r="AB117" s="337"/>
      <c r="AC117" s="336"/>
      <c r="AD117" s="336">
        <f>SUM(AD118:AD120)</f>
        <v>468000</v>
      </c>
      <c r="AE117" s="335" t="s">
        <v>146</v>
      </c>
      <c r="AF117" s="31"/>
    </row>
    <row r="118" spans="1:32" s="38" customFormat="1" ht="21" customHeight="1" x14ac:dyDescent="0.15">
      <c r="A118" s="58"/>
      <c r="B118" s="58"/>
      <c r="C118" s="58" t="s">
        <v>123</v>
      </c>
      <c r="D118" s="268"/>
      <c r="E118" s="347"/>
      <c r="F118" s="268"/>
      <c r="G118" s="268"/>
      <c r="H118" s="268"/>
      <c r="I118" s="268"/>
      <c r="J118" s="268"/>
      <c r="K118" s="268"/>
      <c r="L118" s="268"/>
      <c r="M118" s="268"/>
      <c r="N118" s="82"/>
      <c r="O118" s="186" t="s">
        <v>322</v>
      </c>
      <c r="P118" s="186"/>
      <c r="Q118" s="186"/>
      <c r="R118" s="186"/>
      <c r="S118" s="50"/>
      <c r="T118" s="323"/>
      <c r="U118" s="323"/>
      <c r="V118" s="184">
        <v>50000</v>
      </c>
      <c r="W118" s="323" t="s">
        <v>146</v>
      </c>
      <c r="X118" s="323" t="s">
        <v>128</v>
      </c>
      <c r="Y118" s="349">
        <v>5</v>
      </c>
      <c r="Z118" s="350" t="s">
        <v>108</v>
      </c>
      <c r="AA118" s="349" t="s">
        <v>127</v>
      </c>
      <c r="AB118" s="184" t="s">
        <v>121</v>
      </c>
      <c r="AC118" s="184"/>
      <c r="AD118" s="184">
        <f>V118*Y118</f>
        <v>250000</v>
      </c>
      <c r="AE118" s="177" t="s">
        <v>146</v>
      </c>
      <c r="AF118" s="33"/>
    </row>
    <row r="119" spans="1:32" s="38" customFormat="1" ht="21" customHeight="1" x14ac:dyDescent="0.15">
      <c r="A119" s="58"/>
      <c r="B119" s="58"/>
      <c r="C119" s="58"/>
      <c r="D119" s="268"/>
      <c r="E119" s="347"/>
      <c r="F119" s="268"/>
      <c r="G119" s="268"/>
      <c r="H119" s="268"/>
      <c r="I119" s="268"/>
      <c r="J119" s="268"/>
      <c r="K119" s="268"/>
      <c r="L119" s="268"/>
      <c r="M119" s="268"/>
      <c r="N119" s="82"/>
      <c r="O119" s="186" t="s">
        <v>88</v>
      </c>
      <c r="P119" s="186"/>
      <c r="Q119" s="186"/>
      <c r="R119" s="186"/>
      <c r="S119" s="50"/>
      <c r="T119" s="323"/>
      <c r="U119" s="323"/>
      <c r="V119" s="184"/>
      <c r="W119" s="184"/>
      <c r="X119" s="184"/>
      <c r="Y119" s="184"/>
      <c r="Z119" s="184"/>
      <c r="AA119" s="184"/>
      <c r="AB119" s="184" t="s">
        <v>121</v>
      </c>
      <c r="AC119" s="184"/>
      <c r="AD119" s="184">
        <v>218000</v>
      </c>
      <c r="AE119" s="177" t="s">
        <v>146</v>
      </c>
      <c r="AF119" s="33"/>
    </row>
    <row r="120" spans="1:32" s="38" customFormat="1" ht="21" customHeight="1" x14ac:dyDescent="0.15">
      <c r="A120" s="58"/>
      <c r="B120" s="58"/>
      <c r="C120" s="58"/>
      <c r="D120" s="268"/>
      <c r="E120" s="268"/>
      <c r="F120" s="268"/>
      <c r="G120" s="268"/>
      <c r="H120" s="268"/>
      <c r="I120" s="268"/>
      <c r="J120" s="268"/>
      <c r="K120" s="268"/>
      <c r="L120" s="268"/>
      <c r="M120" s="268"/>
      <c r="N120" s="82"/>
      <c r="O120" s="317"/>
      <c r="P120" s="317"/>
      <c r="Q120" s="317"/>
      <c r="R120" s="317"/>
      <c r="S120" s="206"/>
      <c r="T120" s="327"/>
      <c r="U120" s="323"/>
      <c r="V120" s="315"/>
      <c r="W120" s="316"/>
      <c r="X120" s="316"/>
      <c r="Y120" s="316"/>
      <c r="Z120" s="316"/>
      <c r="AA120" s="316"/>
      <c r="AB120" s="316"/>
      <c r="AC120" s="316"/>
      <c r="AD120" s="316"/>
      <c r="AE120" s="313"/>
      <c r="AF120" s="31"/>
    </row>
    <row r="121" spans="1:32" s="38" customFormat="1" ht="21" customHeight="1" x14ac:dyDescent="0.15">
      <c r="A121" s="58"/>
      <c r="B121" s="58"/>
      <c r="C121" s="80" t="s">
        <v>137</v>
      </c>
      <c r="D121" s="274">
        <v>600</v>
      </c>
      <c r="E121" s="351">
        <f>AD121/1000</f>
        <v>600</v>
      </c>
      <c r="F121" s="304">
        <v>0</v>
      </c>
      <c r="G121" s="304">
        <f>SUMIF($AB$123:$AB$123,"7종",$AD$123:$AD$123)/1000</f>
        <v>0</v>
      </c>
      <c r="H121" s="304">
        <f>SUMIF($AB$123:$AB$123,"시비",$AD$123:$AD$123)/1000</f>
        <v>0</v>
      </c>
      <c r="I121" s="304">
        <f>SUMIF($AB$122:$AB$123,"후원",$AD$122:$AD$123)/1000</f>
        <v>600</v>
      </c>
      <c r="J121" s="304">
        <f>SUMIF($AB$122:$AB$122,"입소",$AD$122:$AD$122)/1000</f>
        <v>0</v>
      </c>
      <c r="K121" s="304">
        <f>SUMIF($AB$123:$AB$123,"법인",$AD$123:$AD$123)/1000</f>
        <v>0</v>
      </c>
      <c r="L121" s="304">
        <f>SUMIF($AB$123:$AB$123,"잡수",$AD$123:$AD$123)/1000</f>
        <v>0</v>
      </c>
      <c r="M121" s="304">
        <f>E121-D121</f>
        <v>0</v>
      </c>
      <c r="N121" s="165">
        <f>IF(D121=0,0,M121/D121)</f>
        <v>0</v>
      </c>
      <c r="O121" s="340" t="s">
        <v>231</v>
      </c>
      <c r="P121" s="345"/>
      <c r="Q121" s="302"/>
      <c r="R121" s="302"/>
      <c r="S121" s="339"/>
      <c r="T121" s="338"/>
      <c r="U121" s="338"/>
      <c r="V121" s="338"/>
      <c r="W121" s="338"/>
      <c r="X121" s="338"/>
      <c r="Y121" s="337" t="s">
        <v>153</v>
      </c>
      <c r="Z121" s="337"/>
      <c r="AA121" s="337"/>
      <c r="AB121" s="337"/>
      <c r="AC121" s="336"/>
      <c r="AD121" s="336">
        <f>SUM(AD122:AD122)</f>
        <v>600000</v>
      </c>
      <c r="AE121" s="335" t="s">
        <v>146</v>
      </c>
      <c r="AF121" s="31"/>
    </row>
    <row r="122" spans="1:32" s="38" customFormat="1" ht="21" customHeight="1" x14ac:dyDescent="0.15">
      <c r="A122" s="58"/>
      <c r="B122" s="58"/>
      <c r="C122" s="58"/>
      <c r="D122" s="346"/>
      <c r="E122" s="346"/>
      <c r="F122" s="268"/>
      <c r="G122" s="268"/>
      <c r="H122" s="268"/>
      <c r="I122" s="268"/>
      <c r="J122" s="268"/>
      <c r="K122" s="268"/>
      <c r="L122" s="268"/>
      <c r="M122" s="268"/>
      <c r="N122" s="82"/>
      <c r="O122" s="186" t="s">
        <v>273</v>
      </c>
      <c r="P122" s="186"/>
      <c r="Q122" s="184"/>
      <c r="R122" s="184"/>
      <c r="S122" s="50">
        <v>150000</v>
      </c>
      <c r="T122" s="184" t="s">
        <v>146</v>
      </c>
      <c r="U122" s="186" t="s">
        <v>128</v>
      </c>
      <c r="V122" s="184">
        <v>4</v>
      </c>
      <c r="W122" s="184" t="s">
        <v>101</v>
      </c>
      <c r="X122" s="186"/>
      <c r="Y122" s="184"/>
      <c r="Z122" s="184"/>
      <c r="AA122" s="184" t="s">
        <v>127</v>
      </c>
      <c r="AB122" s="184" t="s">
        <v>121</v>
      </c>
      <c r="AC122" s="153"/>
      <c r="AD122" s="153">
        <f>S122*V122</f>
        <v>600000</v>
      </c>
      <c r="AE122" s="177" t="s">
        <v>146</v>
      </c>
      <c r="AF122" s="31"/>
    </row>
    <row r="123" spans="1:32" s="38" customFormat="1" ht="21" customHeight="1" x14ac:dyDescent="0.15">
      <c r="A123" s="58"/>
      <c r="B123" s="58"/>
      <c r="C123" s="5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82"/>
      <c r="O123" s="186"/>
      <c r="P123" s="186"/>
      <c r="Q123" s="184"/>
      <c r="R123" s="184"/>
      <c r="S123" s="50"/>
      <c r="T123" s="184"/>
      <c r="U123" s="186"/>
      <c r="V123" s="184"/>
      <c r="W123" s="184"/>
      <c r="X123" s="186"/>
      <c r="Y123" s="184"/>
      <c r="Z123" s="184"/>
      <c r="AA123" s="184"/>
      <c r="AB123" s="184"/>
      <c r="AC123" s="153"/>
      <c r="AD123" s="153"/>
      <c r="AE123" s="177"/>
      <c r="AF123" s="31"/>
    </row>
    <row r="124" spans="1:32" s="38" customFormat="1" ht="21" customHeight="1" x14ac:dyDescent="0.15">
      <c r="A124" s="58"/>
      <c r="B124" s="58"/>
      <c r="C124" s="80" t="s">
        <v>131</v>
      </c>
      <c r="D124" s="274">
        <v>460</v>
      </c>
      <c r="E124" s="274">
        <f>AD124/1000</f>
        <v>260</v>
      </c>
      <c r="F124" s="304">
        <v>0</v>
      </c>
      <c r="G124" s="304">
        <f>SUMIF($AB$125:$AB$127,"7종",$AD$125:$AD$127)/1000</f>
        <v>0</v>
      </c>
      <c r="H124" s="304">
        <f>SUMIF($AB$125:$AB$127,"시비",$AD$125:$AD$127)/1000</f>
        <v>0</v>
      </c>
      <c r="I124" s="304">
        <f>SUMIF($AB$125:$AB$127,"후원",$AD$125:$AD$127)/1000</f>
        <v>0</v>
      </c>
      <c r="J124" s="304">
        <f>SUMIF($AB$125:$AB$127,"입소",$AD$125:$AD$127)/1000</f>
        <v>260</v>
      </c>
      <c r="K124" s="304">
        <f>SUMIF($AB$125:$AB$127,"법인",$AD$125:$AD$127)/1000</f>
        <v>0</v>
      </c>
      <c r="L124" s="304">
        <f>SUMIF($AB$125:$AB$127,"잡수",$AD$125:$AD$127)/1000</f>
        <v>0</v>
      </c>
      <c r="M124" s="304">
        <f>E124-D124</f>
        <v>-200</v>
      </c>
      <c r="N124" s="165">
        <f>IF(D124=0,0,M124/D124)</f>
        <v>-0.43478260869565216</v>
      </c>
      <c r="O124" s="340" t="s">
        <v>239</v>
      </c>
      <c r="P124" s="345"/>
      <c r="Q124" s="302"/>
      <c r="R124" s="302"/>
      <c r="S124" s="339"/>
      <c r="T124" s="338"/>
      <c r="U124" s="338"/>
      <c r="V124" s="338"/>
      <c r="W124" s="338"/>
      <c r="X124" s="338"/>
      <c r="Y124" s="337" t="s">
        <v>153</v>
      </c>
      <c r="Z124" s="337"/>
      <c r="AA124" s="337"/>
      <c r="AB124" s="337"/>
      <c r="AC124" s="336"/>
      <c r="AD124" s="336">
        <f>SUM(AD125:AD126)</f>
        <v>260000</v>
      </c>
      <c r="AE124" s="335" t="s">
        <v>146</v>
      </c>
      <c r="AF124" s="31"/>
    </row>
    <row r="125" spans="1:32" s="285" customFormat="1" ht="21" customHeight="1" x14ac:dyDescent="0.15">
      <c r="A125" s="58"/>
      <c r="B125" s="58"/>
      <c r="C125" s="58"/>
      <c r="D125" s="268"/>
      <c r="E125" s="268"/>
      <c r="F125" s="268"/>
      <c r="G125" s="268"/>
      <c r="H125" s="268"/>
      <c r="I125" s="268"/>
      <c r="J125" s="268"/>
      <c r="K125" s="268"/>
      <c r="L125" s="268"/>
      <c r="M125" s="268"/>
      <c r="N125" s="82"/>
      <c r="O125" s="186" t="s">
        <v>58</v>
      </c>
      <c r="P125" s="186"/>
      <c r="Q125" s="184"/>
      <c r="R125" s="184"/>
      <c r="S125" s="50">
        <v>40000</v>
      </c>
      <c r="T125" s="184" t="s">
        <v>146</v>
      </c>
      <c r="U125" s="186" t="s">
        <v>128</v>
      </c>
      <c r="V125" s="184">
        <v>1</v>
      </c>
      <c r="W125" s="184" t="s">
        <v>140</v>
      </c>
      <c r="X125" s="186" t="s">
        <v>128</v>
      </c>
      <c r="Y125" s="184">
        <v>4</v>
      </c>
      <c r="Z125" s="184" t="s">
        <v>101</v>
      </c>
      <c r="AA125" s="184" t="s">
        <v>127</v>
      </c>
      <c r="AB125" s="184" t="s">
        <v>159</v>
      </c>
      <c r="AC125" s="153"/>
      <c r="AD125" s="153">
        <f>S125*V125*Y125</f>
        <v>160000</v>
      </c>
      <c r="AE125" s="177" t="s">
        <v>146</v>
      </c>
      <c r="AF125" s="256"/>
    </row>
    <row r="126" spans="1:32" s="285" customFormat="1" ht="21" customHeight="1" x14ac:dyDescent="0.15">
      <c r="A126" s="58"/>
      <c r="B126" s="58"/>
      <c r="C126" s="58"/>
      <c r="D126" s="268"/>
      <c r="E126" s="268"/>
      <c r="F126" s="268"/>
      <c r="G126" s="268"/>
      <c r="H126" s="268"/>
      <c r="I126" s="268"/>
      <c r="J126" s="268"/>
      <c r="K126" s="268"/>
      <c r="L126" s="268"/>
      <c r="M126" s="268"/>
      <c r="N126" s="344"/>
      <c r="O126" s="129" t="s">
        <v>174</v>
      </c>
      <c r="P126" s="186"/>
      <c r="Q126" s="184"/>
      <c r="R126" s="184"/>
      <c r="S126" s="50"/>
      <c r="T126" s="184"/>
      <c r="U126" s="186"/>
      <c r="V126" s="184"/>
      <c r="W126" s="184"/>
      <c r="X126" s="186"/>
      <c r="Y126" s="184"/>
      <c r="Z126" s="184"/>
      <c r="AA126" s="184"/>
      <c r="AB126" s="184" t="s">
        <v>159</v>
      </c>
      <c r="AC126" s="153"/>
      <c r="AD126" s="153">
        <v>100000</v>
      </c>
      <c r="AE126" s="177" t="s">
        <v>146</v>
      </c>
      <c r="AF126" s="256"/>
    </row>
    <row r="127" spans="1:32" s="38" customFormat="1" ht="21" customHeight="1" x14ac:dyDescent="0.15">
      <c r="A127" s="58"/>
      <c r="B127" s="58"/>
      <c r="C127" s="127"/>
      <c r="D127" s="343"/>
      <c r="E127" s="343"/>
      <c r="F127" s="343"/>
      <c r="G127" s="343"/>
      <c r="H127" s="343"/>
      <c r="I127" s="343"/>
      <c r="J127" s="343"/>
      <c r="K127" s="343"/>
      <c r="L127" s="343"/>
      <c r="M127" s="342"/>
      <c r="N127" s="124"/>
      <c r="O127" s="309"/>
      <c r="P127" s="309"/>
      <c r="Q127" s="309"/>
      <c r="R127" s="309"/>
      <c r="S127" s="325"/>
      <c r="T127" s="341"/>
      <c r="U127" s="184"/>
      <c r="V127" s="178"/>
      <c r="W127" s="184"/>
      <c r="X127" s="184"/>
      <c r="Y127" s="184"/>
      <c r="Z127" s="184"/>
      <c r="AA127" s="184"/>
      <c r="AB127" s="184"/>
      <c r="AC127" s="184"/>
      <c r="AD127" s="184"/>
      <c r="AE127" s="177"/>
      <c r="AF127" s="31"/>
    </row>
    <row r="128" spans="1:32" s="38" customFormat="1" ht="21" customHeight="1" x14ac:dyDescent="0.15">
      <c r="A128" s="58"/>
      <c r="B128" s="58"/>
      <c r="C128" s="58" t="s">
        <v>109</v>
      </c>
      <c r="D128" s="274">
        <v>180</v>
      </c>
      <c r="E128" s="274">
        <f>AD128/1000</f>
        <v>180</v>
      </c>
      <c r="F128" s="268">
        <v>0</v>
      </c>
      <c r="G128" s="268">
        <f>SUMIF($AB$129:$AB$130,"7종",$AD$129:$AD$130)/1000</f>
        <v>0</v>
      </c>
      <c r="H128" s="268">
        <f>SUMIF($AB$129:$AB$130,"시비",$AD$129:$AD$130)/1000</f>
        <v>0</v>
      </c>
      <c r="I128" s="268">
        <f>SUMIF($AB$129:$AB$130,"후원",$AD$129:$AD$130)/1000</f>
        <v>0</v>
      </c>
      <c r="J128" s="268">
        <f>SUMIF($AB$129:$AB$130,"입소",$AD$129:$AD$130)/1000</f>
        <v>180</v>
      </c>
      <c r="K128" s="268">
        <f>SUMIF($AB$129:$AB$130,"법인",$AD$129:$AD$130)/1000</f>
        <v>0</v>
      </c>
      <c r="L128" s="268">
        <f>SUMIF($AB$129:$AB$130,"잡수",$AD$129:$AD$130)/1000</f>
        <v>0</v>
      </c>
      <c r="M128" s="268">
        <f>E128-D128</f>
        <v>0</v>
      </c>
      <c r="N128" s="82">
        <f>IF(D128=0,0,M128/D128)</f>
        <v>0</v>
      </c>
      <c r="O128" s="340" t="s">
        <v>255</v>
      </c>
      <c r="P128" s="302"/>
      <c r="Q128" s="302"/>
      <c r="R128" s="302"/>
      <c r="S128" s="339"/>
      <c r="T128" s="338"/>
      <c r="U128" s="338"/>
      <c r="V128" s="338"/>
      <c r="W128" s="338"/>
      <c r="X128" s="338"/>
      <c r="Y128" s="337" t="s">
        <v>153</v>
      </c>
      <c r="Z128" s="337"/>
      <c r="AA128" s="337"/>
      <c r="AB128" s="337"/>
      <c r="AC128" s="336"/>
      <c r="AD128" s="336">
        <f>ROUND(SUM(AD129:AD129),-3)</f>
        <v>180000</v>
      </c>
      <c r="AE128" s="335" t="s">
        <v>146</v>
      </c>
      <c r="AF128" s="31"/>
    </row>
    <row r="129" spans="1:32" s="38" customFormat="1" ht="21" customHeight="1" x14ac:dyDescent="0.15">
      <c r="A129" s="58"/>
      <c r="B129" s="58"/>
      <c r="C129" s="58"/>
      <c r="D129" s="268"/>
      <c r="E129" s="268"/>
      <c r="F129" s="268"/>
      <c r="G129" s="268"/>
      <c r="H129" s="268"/>
      <c r="I129" s="268"/>
      <c r="J129" s="268"/>
      <c r="K129" s="268"/>
      <c r="L129" s="268"/>
      <c r="M129" s="268"/>
      <c r="N129" s="82"/>
      <c r="O129" s="186" t="s">
        <v>53</v>
      </c>
      <c r="P129" s="186"/>
      <c r="Q129" s="186"/>
      <c r="R129" s="186"/>
      <c r="S129" s="50">
        <v>30000</v>
      </c>
      <c r="T129" s="323" t="s">
        <v>146</v>
      </c>
      <c r="U129" s="323" t="s">
        <v>128</v>
      </c>
      <c r="V129" s="184">
        <v>6</v>
      </c>
      <c r="W129" s="184" t="s">
        <v>108</v>
      </c>
      <c r="X129" s="178"/>
      <c r="Y129" s="330"/>
      <c r="Z129" s="329"/>
      <c r="AA129" s="328" t="s">
        <v>127</v>
      </c>
      <c r="AB129" s="184" t="s">
        <v>159</v>
      </c>
      <c r="AC129" s="184"/>
      <c r="AD129" s="184">
        <f>S129*V129</f>
        <v>180000</v>
      </c>
      <c r="AE129" s="177" t="s">
        <v>146</v>
      </c>
      <c r="AF129" s="31"/>
    </row>
    <row r="130" spans="1:32" s="38" customFormat="1" ht="21" customHeight="1" x14ac:dyDescent="0.15">
      <c r="A130" s="58"/>
      <c r="B130" s="58"/>
      <c r="C130" s="58"/>
      <c r="D130" s="268"/>
      <c r="E130" s="268"/>
      <c r="F130" s="268"/>
      <c r="G130" s="268"/>
      <c r="H130" s="268"/>
      <c r="I130" s="268"/>
      <c r="J130" s="268"/>
      <c r="K130" s="268"/>
      <c r="L130" s="268"/>
      <c r="M130" s="268"/>
      <c r="N130" s="82"/>
      <c r="O130" s="186"/>
      <c r="P130" s="186"/>
      <c r="Q130" s="186"/>
      <c r="R130" s="186"/>
      <c r="S130" s="50"/>
      <c r="T130" s="323"/>
      <c r="U130" s="186"/>
      <c r="V130" s="184"/>
      <c r="W130" s="186"/>
      <c r="X130" s="184"/>
      <c r="Y130" s="184"/>
      <c r="Z130" s="184"/>
      <c r="AA130" s="184"/>
      <c r="AB130" s="184"/>
      <c r="AC130" s="184"/>
      <c r="AD130" s="184"/>
      <c r="AE130" s="177"/>
      <c r="AF130" s="31"/>
    </row>
    <row r="131" spans="1:32" s="38" customFormat="1" ht="21" customHeight="1" x14ac:dyDescent="0.15">
      <c r="A131" s="58"/>
      <c r="B131" s="80" t="s">
        <v>249</v>
      </c>
      <c r="C131" s="334" t="s">
        <v>161</v>
      </c>
      <c r="D131" s="284">
        <v>3080</v>
      </c>
      <c r="E131" s="284">
        <f t="shared" ref="E131:L131" si="9">SUM(E132,E136,E139,E142,E145,E149,E152)</f>
        <v>2090</v>
      </c>
      <c r="F131" s="284">
        <f t="shared" si="9"/>
        <v>0</v>
      </c>
      <c r="G131" s="284">
        <f t="shared" si="9"/>
        <v>0</v>
      </c>
      <c r="H131" s="284">
        <f t="shared" si="9"/>
        <v>0</v>
      </c>
      <c r="I131" s="284">
        <f t="shared" si="9"/>
        <v>0</v>
      </c>
      <c r="J131" s="284">
        <f t="shared" si="9"/>
        <v>2090</v>
      </c>
      <c r="K131" s="284">
        <f t="shared" si="9"/>
        <v>0</v>
      </c>
      <c r="L131" s="284">
        <f t="shared" si="9"/>
        <v>0</v>
      </c>
      <c r="M131" s="284">
        <f>E131-D131</f>
        <v>-990</v>
      </c>
      <c r="N131" s="283">
        <f>IF(D131=0,0,M131/D131)</f>
        <v>-0.32142857142857145</v>
      </c>
      <c r="O131" s="66"/>
      <c r="P131" s="66"/>
      <c r="Q131" s="66"/>
      <c r="R131" s="66"/>
      <c r="S131" s="333"/>
      <c r="T131" s="272"/>
      <c r="U131" s="272"/>
      <c r="V131" s="272"/>
      <c r="W131" s="272"/>
      <c r="X131" s="272"/>
      <c r="Y131" s="272" t="s">
        <v>245</v>
      </c>
      <c r="Z131" s="272"/>
      <c r="AA131" s="272"/>
      <c r="AB131" s="272"/>
      <c r="AC131" s="332"/>
      <c r="AD131" s="332">
        <f>SUM(AD132,AD136,AD139,AD142,AD145,AD149,AD152)</f>
        <v>2090000</v>
      </c>
      <c r="AE131" s="282" t="s">
        <v>146</v>
      </c>
      <c r="AF131" s="31"/>
    </row>
    <row r="132" spans="1:32" s="290" customFormat="1" ht="24" customHeight="1" x14ac:dyDescent="0.15">
      <c r="A132" s="58"/>
      <c r="B132" s="58" t="s">
        <v>106</v>
      </c>
      <c r="C132" s="80" t="s">
        <v>254</v>
      </c>
      <c r="D132" s="274">
        <v>700</v>
      </c>
      <c r="E132" s="274">
        <f>AD132/1000</f>
        <v>600</v>
      </c>
      <c r="F132" s="268">
        <f>SUMIF($AB$133:$AB$135,"보조",$AD$133:$AD$135)/1000</f>
        <v>0</v>
      </c>
      <c r="G132" s="268">
        <f>SUMIF($AB$133:$AB$135,"7종",$AD$133:$AD$135)/1000</f>
        <v>0</v>
      </c>
      <c r="H132" s="268">
        <f>SUMIF($AB$133:$AB$135,"시비",$AD$133:$AD$135)/1000</f>
        <v>0</v>
      </c>
      <c r="I132" s="268">
        <f>SUMIF($AB$133:$AB$135,"후원",$AD$133:$AD$135)/1000</f>
        <v>0</v>
      </c>
      <c r="J132" s="268">
        <f>SUMIF($AB$133:$AB$135,"입소",$AD$133:$AD$135)/1000</f>
        <v>600</v>
      </c>
      <c r="K132" s="268">
        <f>SUMIF($AB$133:$AB$135,"법인",$AD$133:$AD$135)/1000</f>
        <v>0</v>
      </c>
      <c r="L132" s="268">
        <f>SUMIF($AB$133:$AB$135,"잡수",$AD$133:$AD$135)/1000</f>
        <v>0</v>
      </c>
      <c r="M132" s="268">
        <f>E132-D132</f>
        <v>-100</v>
      </c>
      <c r="N132" s="82">
        <f>IF(D132=0,0,M132/D132)</f>
        <v>-0.14285714285714285</v>
      </c>
      <c r="O132" s="83"/>
      <c r="P132" s="92"/>
      <c r="Q132" s="92"/>
      <c r="R132" s="92"/>
      <c r="S132" s="311"/>
      <c r="T132" s="91"/>
      <c r="U132" s="91"/>
      <c r="V132" s="91"/>
      <c r="W132" s="331" t="s">
        <v>250</v>
      </c>
      <c r="X132" s="331"/>
      <c r="Y132" s="331"/>
      <c r="Z132" s="331"/>
      <c r="AA132" s="331"/>
      <c r="AB132" s="331"/>
      <c r="AC132" s="64"/>
      <c r="AD132" s="64">
        <f>SUM(AD133:AD134)</f>
        <v>600000</v>
      </c>
      <c r="AE132" s="63" t="s">
        <v>146</v>
      </c>
      <c r="AF132" s="291"/>
    </row>
    <row r="133" spans="1:32" s="290" customFormat="1" ht="24" customHeight="1" x14ac:dyDescent="0.15">
      <c r="A133" s="58"/>
      <c r="B133" s="58"/>
      <c r="C133" s="58" t="s">
        <v>270</v>
      </c>
      <c r="D133" s="268"/>
      <c r="E133" s="268"/>
      <c r="F133" s="268"/>
      <c r="G133" s="268"/>
      <c r="H133" s="268"/>
      <c r="I133" s="268"/>
      <c r="J133" s="268"/>
      <c r="K133" s="268"/>
      <c r="L133" s="268"/>
      <c r="M133" s="268"/>
      <c r="N133" s="82"/>
      <c r="O133" s="186" t="s">
        <v>48</v>
      </c>
      <c r="P133" s="186"/>
      <c r="Q133" s="186"/>
      <c r="R133" s="186"/>
      <c r="S133" s="50">
        <v>50000</v>
      </c>
      <c r="T133" s="323" t="s">
        <v>146</v>
      </c>
      <c r="U133" s="323" t="s">
        <v>128</v>
      </c>
      <c r="V133" s="184">
        <v>2</v>
      </c>
      <c r="W133" s="184" t="s">
        <v>101</v>
      </c>
      <c r="X133" s="323" t="s">
        <v>128</v>
      </c>
      <c r="Y133" s="330">
        <v>1</v>
      </c>
      <c r="Z133" s="329" t="s">
        <v>140</v>
      </c>
      <c r="AA133" s="328" t="s">
        <v>127</v>
      </c>
      <c r="AB133" s="184" t="s">
        <v>159</v>
      </c>
      <c r="AC133" s="184"/>
      <c r="AD133" s="184">
        <f>S133*V133*Y133</f>
        <v>100000</v>
      </c>
      <c r="AE133" s="177" t="s">
        <v>146</v>
      </c>
      <c r="AF133" s="291"/>
    </row>
    <row r="134" spans="1:32" s="290" customFormat="1" ht="24" customHeight="1" x14ac:dyDescent="0.15">
      <c r="A134" s="58"/>
      <c r="B134" s="58"/>
      <c r="C134" s="58"/>
      <c r="D134" s="268"/>
      <c r="E134" s="268"/>
      <c r="F134" s="268"/>
      <c r="G134" s="268"/>
      <c r="H134" s="268"/>
      <c r="I134" s="268"/>
      <c r="J134" s="268"/>
      <c r="K134" s="268"/>
      <c r="L134" s="268"/>
      <c r="M134" s="268"/>
      <c r="N134" s="82"/>
      <c r="O134" s="186" t="s">
        <v>200</v>
      </c>
      <c r="P134" s="186"/>
      <c r="Q134" s="186"/>
      <c r="R134" s="186"/>
      <c r="S134" s="50">
        <v>50000</v>
      </c>
      <c r="T134" s="323" t="s">
        <v>146</v>
      </c>
      <c r="U134" s="323" t="s">
        <v>128</v>
      </c>
      <c r="V134" s="184">
        <v>10</v>
      </c>
      <c r="W134" s="184" t="s">
        <v>140</v>
      </c>
      <c r="X134" s="323"/>
      <c r="Y134" s="330"/>
      <c r="Z134" s="329"/>
      <c r="AA134" s="328" t="s">
        <v>127</v>
      </c>
      <c r="AB134" s="184" t="s">
        <v>159</v>
      </c>
      <c r="AC134" s="184"/>
      <c r="AD134" s="184">
        <f>S134*V134</f>
        <v>500000</v>
      </c>
      <c r="AE134" s="177" t="s">
        <v>146</v>
      </c>
      <c r="AF134" s="291"/>
    </row>
    <row r="135" spans="1:32" s="290" customFormat="1" ht="24" customHeight="1" x14ac:dyDescent="0.15">
      <c r="A135" s="58"/>
      <c r="B135" s="58"/>
      <c r="C135" s="127"/>
      <c r="D135" s="294"/>
      <c r="E135" s="294"/>
      <c r="F135" s="294"/>
      <c r="G135" s="294"/>
      <c r="H135" s="294"/>
      <c r="I135" s="294"/>
      <c r="J135" s="294"/>
      <c r="K135" s="294"/>
      <c r="L135" s="294"/>
      <c r="M135" s="294"/>
      <c r="N135" s="124"/>
      <c r="O135" s="317"/>
      <c r="P135" s="317"/>
      <c r="Q135" s="317"/>
      <c r="R135" s="317"/>
      <c r="S135" s="206"/>
      <c r="T135" s="316"/>
      <c r="U135" s="317"/>
      <c r="V135" s="316"/>
      <c r="W135" s="316"/>
      <c r="X135" s="316"/>
      <c r="Y135" s="316"/>
      <c r="Z135" s="316"/>
      <c r="AA135" s="316"/>
      <c r="AB135" s="316"/>
      <c r="AC135" s="316"/>
      <c r="AD135" s="316"/>
      <c r="AE135" s="313"/>
      <c r="AF135" s="291"/>
    </row>
    <row r="136" spans="1:32" s="290" customFormat="1" ht="24" customHeight="1" x14ac:dyDescent="0.15">
      <c r="A136" s="58"/>
      <c r="B136" s="58"/>
      <c r="C136" s="80" t="s">
        <v>229</v>
      </c>
      <c r="D136" s="274">
        <v>200</v>
      </c>
      <c r="E136" s="274">
        <f>AD136/1000</f>
        <v>0</v>
      </c>
      <c r="F136" s="268">
        <f>SUMIF($AB$137:$AB$138,"보조",$AD$137:$AD$138)/1000</f>
        <v>0</v>
      </c>
      <c r="G136" s="268">
        <f>SUMIF($AB$137:$AB$138,"7종",$AD$137:$AD$138)/1000</f>
        <v>0</v>
      </c>
      <c r="H136" s="268">
        <f>SUMIF($AB$137:$AB$138,"시비",$AD$137:$AD$138)/1000</f>
        <v>0</v>
      </c>
      <c r="I136" s="268">
        <f>SUMIF($AB$137:$AB$138,"후원",$AD$137:$AD$138)/1000</f>
        <v>0</v>
      </c>
      <c r="J136" s="268">
        <f>SUMIF($AB$137:$AB$138,"입소",$AD$137:$AD$138)/1000</f>
        <v>0</v>
      </c>
      <c r="K136" s="268">
        <f>SUMIF($AB$137:$AB$138,"법인",$AD$137:$AD$138)/1000</f>
        <v>0</v>
      </c>
      <c r="L136" s="268">
        <f>SUMIF($AB$137:$AB$138,"잡수",$AD$137:$AD$138)/1000</f>
        <v>0</v>
      </c>
      <c r="M136" s="268">
        <f>E136-D136</f>
        <v>-200</v>
      </c>
      <c r="N136" s="82">
        <f>IF(D136=0,0,M136/D136)</f>
        <v>-1</v>
      </c>
      <c r="O136" s="303"/>
      <c r="P136" s="302"/>
      <c r="Q136" s="302"/>
      <c r="R136" s="300"/>
      <c r="S136" s="301"/>
      <c r="T136" s="300"/>
      <c r="U136" s="300"/>
      <c r="V136" s="300"/>
      <c r="W136" s="299" t="s">
        <v>250</v>
      </c>
      <c r="X136" s="299"/>
      <c r="Y136" s="299"/>
      <c r="Z136" s="299"/>
      <c r="AA136" s="299"/>
      <c r="AB136" s="299"/>
      <c r="AC136" s="298"/>
      <c r="AD136" s="298">
        <f>SUM(AD137:AD137)</f>
        <v>0</v>
      </c>
      <c r="AE136" s="297" t="s">
        <v>146</v>
      </c>
      <c r="AF136" s="291"/>
    </row>
    <row r="137" spans="1:32" s="290" customFormat="1" ht="24" customHeight="1" x14ac:dyDescent="0.15">
      <c r="A137" s="58"/>
      <c r="B137" s="58"/>
      <c r="C137" s="58" t="s">
        <v>106</v>
      </c>
      <c r="D137" s="268"/>
      <c r="E137" s="268"/>
      <c r="F137" s="268"/>
      <c r="G137" s="268"/>
      <c r="H137" s="268"/>
      <c r="I137" s="268"/>
      <c r="J137" s="268"/>
      <c r="K137" s="268"/>
      <c r="L137" s="268"/>
      <c r="M137" s="268"/>
      <c r="N137" s="82"/>
      <c r="O137" s="186" t="s">
        <v>318</v>
      </c>
      <c r="P137" s="186"/>
      <c r="Q137" s="186"/>
      <c r="R137" s="186"/>
      <c r="S137" s="50"/>
      <c r="T137" s="323"/>
      <c r="U137" s="323"/>
      <c r="V137" s="184"/>
      <c r="W137" s="186"/>
      <c r="X137" s="184"/>
      <c r="Y137" s="320"/>
      <c r="Z137" s="320"/>
      <c r="AA137" s="320"/>
      <c r="AB137" s="320"/>
      <c r="AC137" s="320"/>
      <c r="AD137" s="319"/>
      <c r="AE137" s="318"/>
      <c r="AF137" s="291"/>
    </row>
    <row r="138" spans="1:32" s="290" customFormat="1" ht="24" customHeight="1" x14ac:dyDescent="0.15">
      <c r="A138" s="58"/>
      <c r="B138" s="58"/>
      <c r="C138" s="127"/>
      <c r="D138" s="294"/>
      <c r="E138" s="294"/>
      <c r="F138" s="294"/>
      <c r="G138" s="294"/>
      <c r="H138" s="294"/>
      <c r="I138" s="294"/>
      <c r="J138" s="294"/>
      <c r="K138" s="294"/>
      <c r="L138" s="294"/>
      <c r="M138" s="294"/>
      <c r="N138" s="124"/>
      <c r="O138" s="317"/>
      <c r="P138" s="317"/>
      <c r="Q138" s="317"/>
      <c r="R138" s="317"/>
      <c r="S138" s="200"/>
      <c r="T138" s="316"/>
      <c r="U138" s="316"/>
      <c r="V138" s="316"/>
      <c r="W138" s="316"/>
      <c r="X138" s="316"/>
      <c r="Y138" s="316"/>
      <c r="Z138" s="316"/>
      <c r="AA138" s="316"/>
      <c r="AB138" s="316"/>
      <c r="AC138" s="315"/>
      <c r="AD138" s="315"/>
      <c r="AE138" s="313"/>
      <c r="AF138" s="291"/>
    </row>
    <row r="139" spans="1:32" s="290" customFormat="1" ht="24" customHeight="1" x14ac:dyDescent="0.15">
      <c r="A139" s="58"/>
      <c r="B139" s="58"/>
      <c r="C139" s="80" t="s">
        <v>234</v>
      </c>
      <c r="D139" s="274">
        <v>300</v>
      </c>
      <c r="E139" s="274">
        <f>AD139/1000</f>
        <v>300</v>
      </c>
      <c r="F139" s="304">
        <f>SUMIF($AB$140:$AB$141,"보조",$AD$140:$AD$141)/1000</f>
        <v>0</v>
      </c>
      <c r="G139" s="304">
        <f>SUMIF($AB$140:$AB$141,"7종",$AD$140:$AD$141)/1000</f>
        <v>0</v>
      </c>
      <c r="H139" s="304">
        <f>SUMIF($AB$140:$AB$141,"시비",$AD$140:$AD$141)/1000</f>
        <v>0</v>
      </c>
      <c r="I139" s="304">
        <f>SUMIF($AB$140:$AB$141,"후원",$AD$140:$AD$141)/1000</f>
        <v>0</v>
      </c>
      <c r="J139" s="304">
        <f>SUMIF($AB$140:$AB$141,"입소",$AD$140:$AD$141)/1000</f>
        <v>300</v>
      </c>
      <c r="K139" s="304">
        <f>SUMIF($AB$140:$AB$141,"법인",$AD$140:$AD$141)/1000</f>
        <v>0</v>
      </c>
      <c r="L139" s="304">
        <f>SUMIF($AB$140:$AB$141,"잡수",$AD$140:$AD$141)/1000</f>
        <v>0</v>
      </c>
      <c r="M139" s="304">
        <f>E139-D139</f>
        <v>0</v>
      </c>
      <c r="N139" s="165">
        <f>IF(D139=0,0,M139/D139)</f>
        <v>0</v>
      </c>
      <c r="O139" s="303"/>
      <c r="P139" s="302"/>
      <c r="Q139" s="302"/>
      <c r="R139" s="300"/>
      <c r="S139" s="301"/>
      <c r="T139" s="300"/>
      <c r="U139" s="300"/>
      <c r="V139" s="300"/>
      <c r="W139" s="299" t="s">
        <v>250</v>
      </c>
      <c r="X139" s="299"/>
      <c r="Y139" s="299"/>
      <c r="Z139" s="299"/>
      <c r="AA139" s="299"/>
      <c r="AB139" s="299"/>
      <c r="AC139" s="298"/>
      <c r="AD139" s="298">
        <f>SUM(AD140:AD140)</f>
        <v>300000</v>
      </c>
      <c r="AE139" s="297" t="s">
        <v>146</v>
      </c>
      <c r="AF139" s="291"/>
    </row>
    <row r="140" spans="1:32" s="290" customFormat="1" ht="24" customHeight="1" x14ac:dyDescent="0.15">
      <c r="A140" s="58"/>
      <c r="B140" s="58"/>
      <c r="C140" s="58" t="s">
        <v>270</v>
      </c>
      <c r="D140" s="268"/>
      <c r="E140" s="268"/>
      <c r="F140" s="268"/>
      <c r="G140" s="268"/>
      <c r="H140" s="268"/>
      <c r="I140" s="268"/>
      <c r="J140" s="268"/>
      <c r="K140" s="268"/>
      <c r="L140" s="268"/>
      <c r="M140" s="268"/>
      <c r="N140" s="82"/>
      <c r="O140" s="186" t="s">
        <v>248</v>
      </c>
      <c r="P140" s="296"/>
      <c r="Q140" s="296"/>
      <c r="R140" s="295"/>
      <c r="S140" s="50">
        <v>10000</v>
      </c>
      <c r="T140" s="184" t="s">
        <v>146</v>
      </c>
      <c r="U140" s="186" t="s">
        <v>128</v>
      </c>
      <c r="V140" s="184">
        <v>5</v>
      </c>
      <c r="W140" s="184" t="s">
        <v>101</v>
      </c>
      <c r="X140" s="186" t="s">
        <v>128</v>
      </c>
      <c r="Y140" s="326">
        <v>6</v>
      </c>
      <c r="Z140" s="178" t="s">
        <v>140</v>
      </c>
      <c r="AA140" s="178" t="s">
        <v>127</v>
      </c>
      <c r="AB140" s="184" t="s">
        <v>159</v>
      </c>
      <c r="AC140" s="153"/>
      <c r="AD140" s="184">
        <f>S140*V140*Y140</f>
        <v>300000</v>
      </c>
      <c r="AE140" s="177" t="s">
        <v>146</v>
      </c>
      <c r="AF140" s="291"/>
    </row>
    <row r="141" spans="1:32" s="290" customFormat="1" ht="24" customHeight="1" x14ac:dyDescent="0.15">
      <c r="A141" s="58"/>
      <c r="B141" s="58"/>
      <c r="C141" s="127"/>
      <c r="D141" s="294"/>
      <c r="E141" s="294"/>
      <c r="F141" s="294"/>
      <c r="G141" s="294"/>
      <c r="H141" s="294"/>
      <c r="I141" s="294"/>
      <c r="J141" s="294"/>
      <c r="K141" s="294"/>
      <c r="L141" s="294"/>
      <c r="M141" s="294"/>
      <c r="N141" s="124"/>
      <c r="O141" s="317"/>
      <c r="P141" s="317"/>
      <c r="Q141" s="317"/>
      <c r="R141" s="317"/>
      <c r="S141" s="200"/>
      <c r="T141" s="316"/>
      <c r="U141" s="316"/>
      <c r="V141" s="316"/>
      <c r="W141" s="316"/>
      <c r="X141" s="316"/>
      <c r="Y141" s="316"/>
      <c r="Z141" s="316"/>
      <c r="AA141" s="316"/>
      <c r="AB141" s="316"/>
      <c r="AC141" s="315"/>
      <c r="AD141" s="314"/>
      <c r="AE141" s="313"/>
      <c r="AF141" s="291"/>
    </row>
    <row r="142" spans="1:32" s="290" customFormat="1" ht="24" customHeight="1" x14ac:dyDescent="0.15">
      <c r="A142" s="58"/>
      <c r="B142" s="58"/>
      <c r="C142" s="80" t="s">
        <v>112</v>
      </c>
      <c r="D142" s="274">
        <v>750</v>
      </c>
      <c r="E142" s="274">
        <f>AD142/1000</f>
        <v>200</v>
      </c>
      <c r="F142" s="304">
        <f>SUMIF($AB$144:$AB$144,"보조",$AD$144:$AD$144)/1000</f>
        <v>0</v>
      </c>
      <c r="G142" s="304">
        <f>SUMIF($AB$144:$AB$144,"7종",$AD$144:$AD$144)/1000</f>
        <v>0</v>
      </c>
      <c r="H142" s="304">
        <f>SUMIF($AB$144:$AB$144,"시비",$AD$144:$AD$144)/1000</f>
        <v>0</v>
      </c>
      <c r="I142" s="304">
        <f>SUMIF($AB$144:$AB$144,"후원",$AD$144:$AD$144)/1000</f>
        <v>0</v>
      </c>
      <c r="J142" s="304">
        <f>SUMIF($AB$142:$AB$144,"입소",$AD$142:$AD$144)/1000</f>
        <v>200</v>
      </c>
      <c r="K142" s="304">
        <f>SUMIF($AB$144:$AB$144,"법인",$AD$144:$AD$144)/1000</f>
        <v>0</v>
      </c>
      <c r="L142" s="304">
        <f>SUMIF($AB$144:$AB$144,"잡수",$AD$144:$AD$144)/1000</f>
        <v>0</v>
      </c>
      <c r="M142" s="304">
        <f>E142-D142</f>
        <v>-550</v>
      </c>
      <c r="N142" s="165">
        <f>IF(D142=0,0,M142/D142)</f>
        <v>-0.73333333333333328</v>
      </c>
      <c r="O142" s="303"/>
      <c r="P142" s="302"/>
      <c r="Q142" s="302"/>
      <c r="R142" s="300"/>
      <c r="S142" s="301"/>
      <c r="T142" s="300"/>
      <c r="U142" s="300"/>
      <c r="V142" s="300"/>
      <c r="W142" s="299" t="s">
        <v>250</v>
      </c>
      <c r="X142" s="299"/>
      <c r="Y142" s="299"/>
      <c r="Z142" s="299"/>
      <c r="AA142" s="299"/>
      <c r="AB142" s="299"/>
      <c r="AC142" s="298"/>
      <c r="AD142" s="298">
        <f>SUM(AD143:AD143)</f>
        <v>200000</v>
      </c>
      <c r="AE142" s="297" t="s">
        <v>146</v>
      </c>
      <c r="AF142" s="291"/>
    </row>
    <row r="143" spans="1:32" s="290" customFormat="1" ht="24" customHeight="1" x14ac:dyDescent="0.15">
      <c r="A143" s="58"/>
      <c r="B143" s="58"/>
      <c r="C143" s="58"/>
      <c r="D143" s="346"/>
      <c r="E143" s="346"/>
      <c r="F143" s="268"/>
      <c r="G143" s="268"/>
      <c r="H143" s="268"/>
      <c r="I143" s="268"/>
      <c r="J143" s="268"/>
      <c r="K143" s="268"/>
      <c r="L143" s="268"/>
      <c r="M143" s="268"/>
      <c r="N143" s="82"/>
      <c r="O143" s="477" t="s">
        <v>8</v>
      </c>
      <c r="P143" s="477"/>
      <c r="Q143" s="477"/>
      <c r="R143" s="477"/>
      <c r="S143" s="382">
        <v>40000</v>
      </c>
      <c r="T143" s="323" t="s">
        <v>146</v>
      </c>
      <c r="U143" s="323" t="s">
        <v>128</v>
      </c>
      <c r="V143" s="382">
        <v>5</v>
      </c>
      <c r="W143" s="419" t="s">
        <v>101</v>
      </c>
      <c r="X143" s="382"/>
      <c r="Y143" s="479"/>
      <c r="Z143" s="479" t="s">
        <v>127</v>
      </c>
      <c r="AA143" s="479"/>
      <c r="AB143" s="479" t="s">
        <v>159</v>
      </c>
      <c r="AC143" s="479"/>
      <c r="AD143" s="319">
        <f>S143*V143</f>
        <v>200000</v>
      </c>
      <c r="AE143" s="480" t="s">
        <v>146</v>
      </c>
      <c r="AF143" s="291"/>
    </row>
    <row r="144" spans="1:32" s="290" customFormat="1" ht="24" customHeight="1" x14ac:dyDescent="0.15">
      <c r="A144" s="58"/>
      <c r="B144" s="58"/>
      <c r="C144" s="127"/>
      <c r="D144" s="294"/>
      <c r="E144" s="294"/>
      <c r="F144" s="294"/>
      <c r="G144" s="294"/>
      <c r="H144" s="294"/>
      <c r="I144" s="294"/>
      <c r="J144" s="294"/>
      <c r="K144" s="294"/>
      <c r="L144" s="294"/>
      <c r="M144" s="294"/>
      <c r="N144" s="124"/>
      <c r="O144" s="307"/>
      <c r="P144" s="307"/>
      <c r="Q144" s="307"/>
      <c r="R144" s="307"/>
      <c r="S144" s="206"/>
      <c r="T144" s="327"/>
      <c r="U144" s="327"/>
      <c r="V144" s="316"/>
      <c r="W144" s="317"/>
      <c r="X144" s="316"/>
      <c r="Y144" s="307"/>
      <c r="Z144" s="307"/>
      <c r="AA144" s="307"/>
      <c r="AB144" s="307"/>
      <c r="AC144" s="307"/>
      <c r="AD144" s="306"/>
      <c r="AE144" s="305"/>
      <c r="AF144" s="291"/>
    </row>
    <row r="145" spans="1:32" s="290" customFormat="1" ht="24" customHeight="1" x14ac:dyDescent="0.15">
      <c r="A145" s="58"/>
      <c r="B145" s="58"/>
      <c r="C145" s="80" t="s">
        <v>246</v>
      </c>
      <c r="D145" s="274">
        <v>230</v>
      </c>
      <c r="E145" s="274">
        <f>AD145/1000</f>
        <v>310</v>
      </c>
      <c r="F145" s="304">
        <f>SUMIF($AB$146:$AB$148,"보조",$AD$146:$AD$148)/1000</f>
        <v>0</v>
      </c>
      <c r="G145" s="304">
        <f>SUMIF($AB$146:$AB$148,"7종",$AD$146:$AD$148)/1000</f>
        <v>0</v>
      </c>
      <c r="H145" s="304">
        <f>SUMIF($AB$146:$AB$148,"시비",$AD$146:$AD$148)/1000</f>
        <v>0</v>
      </c>
      <c r="I145" s="304">
        <f>SUMIF($AB$146:$AB$148,"후원",$AD$146:$AD$148)/1000</f>
        <v>0</v>
      </c>
      <c r="J145" s="304">
        <f>SUMIF($AB$146:$AB$148,"입소",$AD$146:$AD$148)/1000</f>
        <v>310</v>
      </c>
      <c r="K145" s="304">
        <f>SUMIF($AB$146:$AB$148,"법인",$AD$146:$AD$148)/1000</f>
        <v>0</v>
      </c>
      <c r="L145" s="304">
        <f>SUMIF($AB$146:$AB$148,"잡수",$AD$146:$AD$148)/1000</f>
        <v>0</v>
      </c>
      <c r="M145" s="304">
        <f>E145-D145</f>
        <v>80</v>
      </c>
      <c r="N145" s="165">
        <f>IF(D145=0,0,M145/D145)</f>
        <v>0.34782608695652173</v>
      </c>
      <c r="O145" s="303"/>
      <c r="P145" s="302"/>
      <c r="Q145" s="302"/>
      <c r="R145" s="300"/>
      <c r="S145" s="301"/>
      <c r="T145" s="300"/>
      <c r="U145" s="300"/>
      <c r="V145" s="300"/>
      <c r="W145" s="299" t="s">
        <v>250</v>
      </c>
      <c r="X145" s="299"/>
      <c r="Y145" s="299"/>
      <c r="Z145" s="299"/>
      <c r="AA145" s="299"/>
      <c r="AB145" s="299"/>
      <c r="AC145" s="298"/>
      <c r="AD145" s="298">
        <f>SUM(AD146:AD147)</f>
        <v>310000</v>
      </c>
      <c r="AE145" s="297" t="s">
        <v>146</v>
      </c>
      <c r="AF145" s="291"/>
    </row>
    <row r="146" spans="1:32" s="290" customFormat="1" ht="24" customHeight="1" x14ac:dyDescent="0.15">
      <c r="A146" s="58"/>
      <c r="B146" s="58"/>
      <c r="C146" s="58"/>
      <c r="D146" s="268"/>
      <c r="E146" s="268"/>
      <c r="F146" s="268"/>
      <c r="G146" s="268"/>
      <c r="H146" s="268"/>
      <c r="I146" s="268"/>
      <c r="J146" s="268"/>
      <c r="K146" s="268"/>
      <c r="L146" s="268"/>
      <c r="M146" s="268"/>
      <c r="N146" s="82"/>
      <c r="O146" s="186" t="s">
        <v>321</v>
      </c>
      <c r="P146" s="324"/>
      <c r="Q146" s="324"/>
      <c r="R146" s="324"/>
      <c r="S146" s="50">
        <v>5000</v>
      </c>
      <c r="T146" s="323" t="s">
        <v>146</v>
      </c>
      <c r="U146" s="323" t="s">
        <v>128</v>
      </c>
      <c r="V146" s="184">
        <v>1</v>
      </c>
      <c r="W146" s="186" t="s">
        <v>101</v>
      </c>
      <c r="X146" s="323" t="s">
        <v>128</v>
      </c>
      <c r="Y146" s="322">
        <v>2</v>
      </c>
      <c r="Z146" s="321" t="s">
        <v>140</v>
      </c>
      <c r="AA146" s="320" t="s">
        <v>127</v>
      </c>
      <c r="AB146" s="320" t="s">
        <v>159</v>
      </c>
      <c r="AC146" s="320"/>
      <c r="AD146" s="319">
        <f>S146*V146*Y146</f>
        <v>10000</v>
      </c>
      <c r="AE146" s="318" t="s">
        <v>146</v>
      </c>
      <c r="AF146" s="291"/>
    </row>
    <row r="147" spans="1:32" s="290" customFormat="1" ht="24" customHeight="1" x14ac:dyDescent="0.15">
      <c r="A147" s="58"/>
      <c r="B147" s="58"/>
      <c r="C147" s="58"/>
      <c r="D147" s="268"/>
      <c r="E147" s="268"/>
      <c r="F147" s="268"/>
      <c r="G147" s="268"/>
      <c r="H147" s="268"/>
      <c r="I147" s="268"/>
      <c r="J147" s="268"/>
      <c r="K147" s="268"/>
      <c r="L147" s="268"/>
      <c r="M147" s="268"/>
      <c r="N147" s="82"/>
      <c r="O147" s="477" t="s">
        <v>300</v>
      </c>
      <c r="P147" s="477"/>
      <c r="Q147" s="477"/>
      <c r="R147" s="477"/>
      <c r="S147" s="382">
        <v>60000</v>
      </c>
      <c r="T147" s="323" t="s">
        <v>146</v>
      </c>
      <c r="U147" s="323" t="s">
        <v>128</v>
      </c>
      <c r="V147" s="382">
        <v>5</v>
      </c>
      <c r="W147" s="419" t="s">
        <v>101</v>
      </c>
      <c r="X147" s="382"/>
      <c r="Y147" s="479"/>
      <c r="Z147" s="479" t="s">
        <v>127</v>
      </c>
      <c r="AA147" s="479"/>
      <c r="AB147" s="479" t="s">
        <v>159</v>
      </c>
      <c r="AC147" s="479"/>
      <c r="AD147" s="319">
        <f>S147*V147</f>
        <v>300000</v>
      </c>
      <c r="AE147" s="480" t="s">
        <v>146</v>
      </c>
      <c r="AF147" s="291"/>
    </row>
    <row r="148" spans="1:32" s="290" customFormat="1" ht="24" customHeight="1" x14ac:dyDescent="0.15">
      <c r="A148" s="58"/>
      <c r="B148" s="58"/>
      <c r="C148" s="127"/>
      <c r="D148" s="294"/>
      <c r="E148" s="294"/>
      <c r="F148" s="294"/>
      <c r="G148" s="294"/>
      <c r="H148" s="294"/>
      <c r="I148" s="294"/>
      <c r="J148" s="294"/>
      <c r="K148" s="294"/>
      <c r="L148" s="294"/>
      <c r="M148" s="294"/>
      <c r="N148" s="124"/>
      <c r="O148" s="317"/>
      <c r="P148" s="317"/>
      <c r="Q148" s="317"/>
      <c r="R148" s="317"/>
      <c r="S148" s="200"/>
      <c r="T148" s="316"/>
      <c r="U148" s="316"/>
      <c r="V148" s="316"/>
      <c r="W148" s="316"/>
      <c r="X148" s="316"/>
      <c r="Y148" s="316"/>
      <c r="Z148" s="316"/>
      <c r="AA148" s="316"/>
      <c r="AB148" s="316"/>
      <c r="AC148" s="315"/>
      <c r="AD148" s="314"/>
      <c r="AE148" s="313"/>
      <c r="AF148" s="291"/>
    </row>
    <row r="149" spans="1:32" s="290" customFormat="1" ht="24" customHeight="1" x14ac:dyDescent="0.15">
      <c r="A149" s="58"/>
      <c r="B149" s="58"/>
      <c r="C149" s="80" t="s">
        <v>232</v>
      </c>
      <c r="D149" s="274">
        <v>465</v>
      </c>
      <c r="E149" s="274">
        <f>AD149/1000</f>
        <v>180</v>
      </c>
      <c r="F149" s="304">
        <f>SUMIF($AB$150:$AB$151,"보조",$AD$150:$AD$151)/1000</f>
        <v>0</v>
      </c>
      <c r="G149" s="304">
        <f>SUMIF($AB$150:$AB$151,"7종",$AD$150:$AD$151)/1000</f>
        <v>0</v>
      </c>
      <c r="H149" s="304">
        <f>SUMIF($AB$150:$AB$151,"시비",$AD$150:$AD$151)/1000</f>
        <v>0</v>
      </c>
      <c r="I149" s="304">
        <f>SUMIF($AB$150:$AB$151,"후원",$AD$150:$AD$151)/1000</f>
        <v>0</v>
      </c>
      <c r="J149" s="304">
        <f>SUMIF($AB$150:$AB$151,"입소",$AD$150:$AD$151)/1000</f>
        <v>180</v>
      </c>
      <c r="K149" s="304">
        <f>SUMIF($AB$150:$AB$151,"법인",$AD$150:$AD$151)/1000</f>
        <v>0</v>
      </c>
      <c r="L149" s="304">
        <f>SUMIF($AB$150:$AB$151,"잡수",$AD$150:$AD$151)/1000</f>
        <v>0</v>
      </c>
      <c r="M149" s="304">
        <f>E149-D149</f>
        <v>-285</v>
      </c>
      <c r="N149" s="165">
        <f>IF(D149=0,0,M149/D149)</f>
        <v>-0.61290322580645162</v>
      </c>
      <c r="O149" s="312"/>
      <c r="P149" s="312"/>
      <c r="Q149" s="312"/>
      <c r="R149" s="312"/>
      <c r="S149" s="311"/>
      <c r="T149" s="310"/>
      <c r="U149" s="310"/>
      <c r="V149" s="310"/>
      <c r="W149" s="299" t="s">
        <v>250</v>
      </c>
      <c r="X149" s="299"/>
      <c r="Y149" s="299"/>
      <c r="Z149" s="299"/>
      <c r="AA149" s="299"/>
      <c r="AB149" s="299"/>
      <c r="AC149" s="298"/>
      <c r="AD149" s="298">
        <f>SUM(AD150:AD150)</f>
        <v>180000</v>
      </c>
      <c r="AE149" s="297" t="s">
        <v>146</v>
      </c>
      <c r="AF149" s="291"/>
    </row>
    <row r="150" spans="1:32" s="290" customFormat="1" ht="24" customHeight="1" x14ac:dyDescent="0.15">
      <c r="A150" s="58"/>
      <c r="B150" s="58"/>
      <c r="C150" s="58" t="s">
        <v>106</v>
      </c>
      <c r="D150" s="268"/>
      <c r="E150" s="268"/>
      <c r="F150" s="268"/>
      <c r="G150" s="268"/>
      <c r="H150" s="268"/>
      <c r="I150" s="268"/>
      <c r="J150" s="268"/>
      <c r="K150" s="268"/>
      <c r="L150" s="268"/>
      <c r="M150" s="268"/>
      <c r="N150" s="82"/>
      <c r="O150" s="478" t="s">
        <v>201</v>
      </c>
      <c r="P150" s="475"/>
      <c r="Q150" s="475"/>
      <c r="R150" s="475"/>
      <c r="S150" s="464">
        <v>15000</v>
      </c>
      <c r="T150" s="464" t="s">
        <v>146</v>
      </c>
      <c r="U150" s="475" t="s">
        <v>128</v>
      </c>
      <c r="V150" s="464">
        <v>3</v>
      </c>
      <c r="W150" s="464" t="s">
        <v>101</v>
      </c>
      <c r="X150" s="475" t="s">
        <v>128</v>
      </c>
      <c r="Y150" s="476">
        <v>4</v>
      </c>
      <c r="Z150" s="465" t="s">
        <v>140</v>
      </c>
      <c r="AA150" s="465" t="s">
        <v>127</v>
      </c>
      <c r="AB150" s="464" t="s">
        <v>159</v>
      </c>
      <c r="AC150" s="470"/>
      <c r="AD150" s="464">
        <f>S150*V150*Y150</f>
        <v>180000</v>
      </c>
      <c r="AE150" s="471" t="s">
        <v>146</v>
      </c>
      <c r="AF150" s="291"/>
    </row>
    <row r="151" spans="1:32" s="290" customFormat="1" ht="24" customHeight="1" x14ac:dyDescent="0.15">
      <c r="A151" s="58"/>
      <c r="B151" s="58"/>
      <c r="C151" s="127"/>
      <c r="D151" s="294"/>
      <c r="E151" s="294"/>
      <c r="F151" s="294"/>
      <c r="G151" s="294"/>
      <c r="H151" s="294"/>
      <c r="I151" s="294"/>
      <c r="J151" s="294"/>
      <c r="K151" s="294"/>
      <c r="L151" s="294"/>
      <c r="M151" s="294"/>
      <c r="N151" s="124"/>
      <c r="O151" s="307"/>
      <c r="P151" s="307"/>
      <c r="Q151" s="307"/>
      <c r="R151" s="307"/>
      <c r="S151" s="308"/>
      <c r="T151" s="307"/>
      <c r="U151" s="307"/>
      <c r="V151" s="307"/>
      <c r="W151" s="307"/>
      <c r="X151" s="307"/>
      <c r="Y151" s="307"/>
      <c r="Z151" s="307"/>
      <c r="AA151" s="307"/>
      <c r="AB151" s="307"/>
      <c r="AC151" s="307"/>
      <c r="AD151" s="306"/>
      <c r="AE151" s="305"/>
      <c r="AF151" s="291"/>
    </row>
    <row r="152" spans="1:32" s="290" customFormat="1" ht="24" customHeight="1" x14ac:dyDescent="0.15">
      <c r="A152" s="58"/>
      <c r="B152" s="58"/>
      <c r="C152" s="80" t="s">
        <v>150</v>
      </c>
      <c r="D152" s="274">
        <v>535</v>
      </c>
      <c r="E152" s="274">
        <f>AD152/1000</f>
        <v>500</v>
      </c>
      <c r="F152" s="304">
        <f>SUMIF($AB$154:$AB$154,"보조",$AD$154:$AD$154)/1000</f>
        <v>0</v>
      </c>
      <c r="G152" s="304">
        <f>SUMIF($AB$154:$AB$154,"7종",$AD$154:$AD$154)/1000</f>
        <v>0</v>
      </c>
      <c r="H152" s="304">
        <f>SUMIF($AB$154:$AB$154,"시비",$AD$154:$AD$154)/1000</f>
        <v>0</v>
      </c>
      <c r="I152" s="304">
        <f>SUMIF($AB$154:$AB$154,"후원",$AD$154:$AD$154)/1000</f>
        <v>0</v>
      </c>
      <c r="J152" s="304">
        <f>SUMIF($AB$152:$AB$154,"입소",$AD$152:$AD$154)/1000</f>
        <v>500</v>
      </c>
      <c r="K152" s="304">
        <f>SUMIF($AB$154:$AB$154,"법인",$AD$154:$AD$154)/1000</f>
        <v>0</v>
      </c>
      <c r="L152" s="304">
        <f>SUMIF($AB$154:$AB$154,"잡수",$AD$154:$AD$154)/1000</f>
        <v>0</v>
      </c>
      <c r="M152" s="304">
        <f>E152-D152</f>
        <v>-35</v>
      </c>
      <c r="N152" s="165">
        <f>IF(D152=0,0,M152/D152)</f>
        <v>-6.5420560747663545E-2</v>
      </c>
      <c r="O152" s="303"/>
      <c r="P152" s="302"/>
      <c r="Q152" s="302"/>
      <c r="R152" s="300"/>
      <c r="S152" s="301"/>
      <c r="T152" s="300"/>
      <c r="U152" s="300"/>
      <c r="V152" s="300"/>
      <c r="W152" s="299" t="s">
        <v>250</v>
      </c>
      <c r="X152" s="299"/>
      <c r="Y152" s="299"/>
      <c r="Z152" s="299"/>
      <c r="AA152" s="299"/>
      <c r="AB152" s="299"/>
      <c r="AC152" s="298"/>
      <c r="AD152" s="298">
        <f>SUM(AD153:AD154)</f>
        <v>500000</v>
      </c>
      <c r="AE152" s="297" t="s">
        <v>146</v>
      </c>
      <c r="AF152" s="291"/>
    </row>
    <row r="153" spans="1:32" s="290" customFormat="1" ht="24" customHeight="1" x14ac:dyDescent="0.15">
      <c r="A153" s="58"/>
      <c r="B153" s="58"/>
      <c r="C153" s="58" t="s">
        <v>249</v>
      </c>
      <c r="D153" s="346"/>
      <c r="E153" s="346"/>
      <c r="F153" s="268"/>
      <c r="G153" s="268"/>
      <c r="H153" s="268"/>
      <c r="I153" s="268"/>
      <c r="J153" s="268"/>
      <c r="K153" s="268"/>
      <c r="L153" s="268"/>
      <c r="M153" s="268"/>
      <c r="N153" s="82"/>
      <c r="O153" s="419" t="s">
        <v>237</v>
      </c>
      <c r="P153" s="370"/>
      <c r="Q153" s="370"/>
      <c r="R153" s="367"/>
      <c r="S153" s="382">
        <v>500000</v>
      </c>
      <c r="T153" s="382" t="s">
        <v>146</v>
      </c>
      <c r="U153" s="419" t="s">
        <v>128</v>
      </c>
      <c r="V153" s="382">
        <v>1</v>
      </c>
      <c r="W153" s="382" t="s">
        <v>140</v>
      </c>
      <c r="X153" s="419"/>
      <c r="Y153" s="476"/>
      <c r="Z153" s="501" t="s">
        <v>127</v>
      </c>
      <c r="AA153" s="501"/>
      <c r="AB153" s="382" t="s">
        <v>159</v>
      </c>
      <c r="AC153" s="153"/>
      <c r="AD153" s="382">
        <f>S153*V153</f>
        <v>500000</v>
      </c>
      <c r="AE153" s="177" t="s">
        <v>146</v>
      </c>
      <c r="AF153" s="291"/>
    </row>
    <row r="154" spans="1:32" s="290" customFormat="1" ht="24" customHeight="1" x14ac:dyDescent="0.15">
      <c r="A154" s="58"/>
      <c r="B154" s="58"/>
      <c r="C154" s="127"/>
      <c r="D154" s="294"/>
      <c r="E154" s="294"/>
      <c r="F154" s="294"/>
      <c r="G154" s="294"/>
      <c r="H154" s="294"/>
      <c r="I154" s="294"/>
      <c r="J154" s="294"/>
      <c r="K154" s="294"/>
      <c r="L154" s="294"/>
      <c r="M154" s="294"/>
      <c r="N154" s="124"/>
      <c r="O154" s="186"/>
      <c r="P154" s="286"/>
      <c r="Q154" s="286"/>
      <c r="R154" s="293"/>
      <c r="S154" s="50"/>
      <c r="T154" s="184"/>
      <c r="U154" s="186"/>
      <c r="V154" s="184"/>
      <c r="W154" s="184"/>
      <c r="X154" s="186"/>
      <c r="Y154" s="292"/>
      <c r="Z154" s="178"/>
      <c r="AA154" s="178"/>
      <c r="AB154" s="184"/>
      <c r="AC154" s="153"/>
      <c r="AD154" s="184"/>
      <c r="AE154" s="177"/>
      <c r="AF154" s="291"/>
    </row>
    <row r="155" spans="1:32" s="38" customFormat="1" ht="21" customHeight="1" x14ac:dyDescent="0.15">
      <c r="A155" s="289" t="s">
        <v>156</v>
      </c>
      <c r="B155" s="566" t="s">
        <v>236</v>
      </c>
      <c r="C155" s="567"/>
      <c r="D155" s="284">
        <v>15</v>
      </c>
      <c r="E155" s="284">
        <f t="shared" ref="E155:L155" si="10">SUM(E156)</f>
        <v>15</v>
      </c>
      <c r="F155" s="284">
        <f t="shared" si="10"/>
        <v>15</v>
      </c>
      <c r="G155" s="284">
        <f t="shared" si="10"/>
        <v>0</v>
      </c>
      <c r="H155" s="284">
        <f t="shared" si="10"/>
        <v>0</v>
      </c>
      <c r="I155" s="284">
        <f t="shared" si="10"/>
        <v>0</v>
      </c>
      <c r="J155" s="284">
        <f t="shared" si="10"/>
        <v>0</v>
      </c>
      <c r="K155" s="284">
        <f t="shared" si="10"/>
        <v>0</v>
      </c>
      <c r="L155" s="284">
        <f t="shared" si="10"/>
        <v>0</v>
      </c>
      <c r="M155" s="284">
        <f>E155-D155</f>
        <v>0</v>
      </c>
      <c r="N155" s="283">
        <f>IF(D155=0,0,M155/D155)</f>
        <v>0</v>
      </c>
      <c r="O155" s="67" t="s">
        <v>233</v>
      </c>
      <c r="P155" s="66"/>
      <c r="Q155" s="66"/>
      <c r="R155" s="66"/>
      <c r="S155" s="288"/>
      <c r="T155" s="272"/>
      <c r="U155" s="272"/>
      <c r="V155" s="272"/>
      <c r="W155" s="272"/>
      <c r="X155" s="272"/>
      <c r="Y155" s="272"/>
      <c r="Z155" s="272"/>
      <c r="AA155" s="272"/>
      <c r="AB155" s="272"/>
      <c r="AC155" s="272"/>
      <c r="AD155" s="272">
        <f>SUM(AD156)</f>
        <v>15000</v>
      </c>
      <c r="AE155" s="282" t="s">
        <v>146</v>
      </c>
      <c r="AF155" s="31"/>
    </row>
    <row r="156" spans="1:32" s="38" customFormat="1" ht="21" customHeight="1" x14ac:dyDescent="0.15">
      <c r="A156" s="287" t="s">
        <v>145</v>
      </c>
      <c r="B156" s="58" t="s">
        <v>156</v>
      </c>
      <c r="C156" s="58" t="s">
        <v>156</v>
      </c>
      <c r="D156" s="274">
        <v>15</v>
      </c>
      <c r="E156" s="274">
        <f>AD156/1000</f>
        <v>15</v>
      </c>
      <c r="F156" s="268">
        <f>SUMIF($AB$157:$AB$163,"보조",$AD$157:$AD$163)/1000</f>
        <v>15</v>
      </c>
      <c r="G156" s="268">
        <f>SUMIF($AB$157:$AB$163,"7종",$AD$157:$AD$163)/1000</f>
        <v>0</v>
      </c>
      <c r="H156" s="268">
        <f>SUMIF($AB$157:$AB$163,"시비",$AD$157:$AD$163)/1000</f>
        <v>0</v>
      </c>
      <c r="I156" s="268">
        <f>SUMIF($AB$157:$AB$163,"후원",$AD$157:$AD$163)/1000</f>
        <v>0</v>
      </c>
      <c r="J156" s="268">
        <f>SUMIF($AB$157:$AB$163,"입소",$AD$157:$AD$163)/1000</f>
        <v>0</v>
      </c>
      <c r="K156" s="268">
        <f>SUMIF($AB$157:$AB$163,"법인",$AD$157:$AD$163)/1000</f>
        <v>0</v>
      </c>
      <c r="L156" s="268">
        <f>SUMIF($AB$157:$AB$163,"잡수",$AD$157:$AD$163)/1000</f>
        <v>0</v>
      </c>
      <c r="M156" s="268">
        <f>E156-D156</f>
        <v>0</v>
      </c>
      <c r="N156" s="82">
        <f>IF(D156=0,0,M156/D156)</f>
        <v>0</v>
      </c>
      <c r="O156" s="286" t="s">
        <v>169</v>
      </c>
      <c r="P156" s="85"/>
      <c r="Q156" s="85"/>
      <c r="R156" s="85"/>
      <c r="S156" s="85"/>
      <c r="T156" s="84"/>
      <c r="U156" s="84"/>
      <c r="V156" s="84"/>
      <c r="W156" s="84"/>
      <c r="X156" s="84"/>
      <c r="Y156" s="272" t="s">
        <v>153</v>
      </c>
      <c r="Z156" s="271"/>
      <c r="AA156" s="271"/>
      <c r="AB156" s="271"/>
      <c r="AC156" s="270"/>
      <c r="AD156" s="270">
        <f>ROUNDUP(SUM(AD157:AD161),-3)</f>
        <v>15000</v>
      </c>
      <c r="AE156" s="269" t="s">
        <v>146</v>
      </c>
      <c r="AF156" s="31"/>
    </row>
    <row r="157" spans="1:32" ht="21" customHeight="1" x14ac:dyDescent="0.15">
      <c r="A157" s="106"/>
      <c r="B157" s="58" t="s">
        <v>145</v>
      </c>
      <c r="C157" s="58" t="s">
        <v>145</v>
      </c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82"/>
      <c r="O157" s="186" t="s">
        <v>173</v>
      </c>
      <c r="P157" s="186"/>
      <c r="Q157" s="186"/>
      <c r="R157" s="186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 t="s">
        <v>110</v>
      </c>
      <c r="AC157" s="184"/>
      <c r="AD157" s="62"/>
      <c r="AE157" s="177" t="s">
        <v>146</v>
      </c>
    </row>
    <row r="158" spans="1:32" ht="21" customHeight="1" x14ac:dyDescent="0.15">
      <c r="A158" s="106"/>
      <c r="B158" s="58"/>
      <c r="C158" s="58"/>
      <c r="D158" s="268"/>
      <c r="E158" s="268"/>
      <c r="F158" s="268"/>
      <c r="G158" s="268"/>
      <c r="H158" s="268"/>
      <c r="I158" s="268"/>
      <c r="J158" s="268"/>
      <c r="K158" s="268"/>
      <c r="L158" s="268"/>
      <c r="M158" s="268"/>
      <c r="N158" s="82"/>
      <c r="O158" s="186" t="s">
        <v>181</v>
      </c>
      <c r="P158" s="186"/>
      <c r="Q158" s="186"/>
      <c r="R158" s="186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 t="s">
        <v>110</v>
      </c>
      <c r="AC158" s="184"/>
      <c r="AD158" s="62">
        <v>15000</v>
      </c>
      <c r="AE158" s="177" t="s">
        <v>146</v>
      </c>
    </row>
    <row r="159" spans="1:32" ht="21" customHeight="1" x14ac:dyDescent="0.15">
      <c r="A159" s="106"/>
      <c r="B159" s="58"/>
      <c r="C159" s="58"/>
      <c r="D159" s="268"/>
      <c r="E159" s="268"/>
      <c r="F159" s="268"/>
      <c r="G159" s="268"/>
      <c r="H159" s="268"/>
      <c r="I159" s="268"/>
      <c r="J159" s="268"/>
      <c r="K159" s="268"/>
      <c r="L159" s="268"/>
      <c r="M159" s="268"/>
      <c r="N159" s="82"/>
      <c r="O159" s="186" t="s">
        <v>45</v>
      </c>
      <c r="P159" s="186"/>
      <c r="Q159" s="186"/>
      <c r="R159" s="186"/>
      <c r="S159" s="184"/>
      <c r="T159" s="184"/>
      <c r="U159" s="184"/>
      <c r="V159" s="184"/>
      <c r="W159" s="184"/>
      <c r="X159" s="184"/>
      <c r="Y159" s="184"/>
      <c r="Z159" s="184"/>
      <c r="AA159" s="184"/>
      <c r="AB159" s="184" t="s">
        <v>113</v>
      </c>
      <c r="AC159" s="184"/>
      <c r="AD159" s="62"/>
      <c r="AE159" s="177" t="s">
        <v>146</v>
      </c>
    </row>
    <row r="160" spans="1:32" ht="21" customHeight="1" x14ac:dyDescent="0.15">
      <c r="A160" s="106"/>
      <c r="B160" s="58"/>
      <c r="C160" s="58"/>
      <c r="D160" s="268"/>
      <c r="E160" s="268"/>
      <c r="F160" s="268"/>
      <c r="G160" s="268"/>
      <c r="H160" s="268"/>
      <c r="I160" s="268"/>
      <c r="J160" s="268"/>
      <c r="K160" s="268"/>
      <c r="L160" s="268"/>
      <c r="M160" s="268"/>
      <c r="N160" s="82"/>
      <c r="O160" s="186" t="s">
        <v>188</v>
      </c>
      <c r="P160" s="186"/>
      <c r="Q160" s="186"/>
      <c r="R160" s="186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 t="s">
        <v>113</v>
      </c>
      <c r="AC160" s="184"/>
      <c r="AD160" s="62"/>
      <c r="AE160" s="177" t="s">
        <v>146</v>
      </c>
    </row>
    <row r="161" spans="1:32" ht="21" customHeight="1" x14ac:dyDescent="0.15">
      <c r="A161" s="106"/>
      <c r="B161" s="58"/>
      <c r="C161" s="58"/>
      <c r="D161" s="268"/>
      <c r="E161" s="268"/>
      <c r="F161" s="268"/>
      <c r="G161" s="268"/>
      <c r="H161" s="268"/>
      <c r="I161" s="268"/>
      <c r="J161" s="268"/>
      <c r="K161" s="268"/>
      <c r="L161" s="268"/>
      <c r="M161" s="268"/>
      <c r="N161" s="82"/>
      <c r="O161" s="186" t="s">
        <v>313</v>
      </c>
      <c r="P161" s="186"/>
      <c r="Q161" s="186"/>
      <c r="R161" s="186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 t="s">
        <v>144</v>
      </c>
      <c r="AC161" s="184"/>
      <c r="AD161" s="62"/>
      <c r="AE161" s="177" t="s">
        <v>146</v>
      </c>
    </row>
    <row r="162" spans="1:32" ht="21" customHeight="1" x14ac:dyDescent="0.15">
      <c r="A162" s="106"/>
      <c r="B162" s="58"/>
      <c r="C162" s="241"/>
      <c r="D162" s="268"/>
      <c r="E162" s="268"/>
      <c r="F162" s="268"/>
      <c r="G162" s="268"/>
      <c r="H162" s="268"/>
      <c r="I162" s="268"/>
      <c r="J162" s="268"/>
      <c r="K162" s="268"/>
      <c r="L162" s="268"/>
      <c r="M162" s="268"/>
      <c r="N162" s="82"/>
      <c r="O162" s="186" t="s">
        <v>303</v>
      </c>
      <c r="P162" s="186"/>
      <c r="Q162" s="186"/>
      <c r="R162" s="186"/>
      <c r="S162" s="184"/>
      <c r="T162" s="184"/>
      <c r="U162" s="184"/>
      <c r="V162" s="184"/>
      <c r="W162" s="184"/>
      <c r="X162" s="184"/>
      <c r="Y162" s="184"/>
      <c r="Z162" s="184"/>
      <c r="AA162" s="184"/>
      <c r="AB162" s="184" t="s">
        <v>144</v>
      </c>
      <c r="AC162" s="184"/>
      <c r="AD162" s="62"/>
      <c r="AE162" s="177" t="s">
        <v>146</v>
      </c>
    </row>
    <row r="163" spans="1:32" s="285" customFormat="1" ht="21" customHeight="1" x14ac:dyDescent="0.15">
      <c r="A163" s="106"/>
      <c r="B163" s="127"/>
      <c r="C163" s="241"/>
      <c r="D163" s="268"/>
      <c r="E163" s="268"/>
      <c r="F163" s="268"/>
      <c r="G163" s="268"/>
      <c r="H163" s="268"/>
      <c r="I163" s="268"/>
      <c r="J163" s="268"/>
      <c r="K163" s="268"/>
      <c r="L163" s="268"/>
      <c r="M163" s="268"/>
      <c r="N163" s="82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3"/>
      <c r="AE163" s="49"/>
      <c r="AF163" s="95"/>
    </row>
    <row r="164" spans="1:32" s="38" customFormat="1" ht="21" customHeight="1" x14ac:dyDescent="0.15">
      <c r="A164" s="137" t="s">
        <v>136</v>
      </c>
      <c r="B164" s="566" t="s">
        <v>236</v>
      </c>
      <c r="C164" s="567"/>
      <c r="D164" s="284">
        <v>0</v>
      </c>
      <c r="E164" s="284">
        <f t="shared" ref="E164:L164" si="11">E165</f>
        <v>0</v>
      </c>
      <c r="F164" s="284">
        <f t="shared" si="11"/>
        <v>0</v>
      </c>
      <c r="G164" s="284">
        <f t="shared" si="11"/>
        <v>0</v>
      </c>
      <c r="H164" s="284">
        <f t="shared" si="11"/>
        <v>0</v>
      </c>
      <c r="I164" s="284">
        <f t="shared" si="11"/>
        <v>0</v>
      </c>
      <c r="J164" s="284">
        <f t="shared" si="11"/>
        <v>0</v>
      </c>
      <c r="K164" s="284">
        <f t="shared" si="11"/>
        <v>0</v>
      </c>
      <c r="L164" s="284">
        <f t="shared" si="11"/>
        <v>0</v>
      </c>
      <c r="M164" s="284">
        <f>E164-D164</f>
        <v>0</v>
      </c>
      <c r="N164" s="283">
        <f>IF(D164=0,0,M164/D164)</f>
        <v>0</v>
      </c>
      <c r="O164" s="66" t="s">
        <v>136</v>
      </c>
      <c r="P164" s="66"/>
      <c r="Q164" s="66"/>
      <c r="R164" s="66"/>
      <c r="S164" s="272"/>
      <c r="T164" s="272"/>
      <c r="U164" s="272"/>
      <c r="V164" s="272"/>
      <c r="W164" s="272"/>
      <c r="X164" s="272"/>
      <c r="Y164" s="272"/>
      <c r="Z164" s="272"/>
      <c r="AA164" s="272"/>
      <c r="AB164" s="272"/>
      <c r="AC164" s="272"/>
      <c r="AD164" s="272">
        <f>SUM(AD165)</f>
        <v>0</v>
      </c>
      <c r="AE164" s="282" t="s">
        <v>146</v>
      </c>
      <c r="AF164" s="31"/>
    </row>
    <row r="165" spans="1:32" s="38" customFormat="1" ht="21" customHeight="1" x14ac:dyDescent="0.15">
      <c r="A165" s="106"/>
      <c r="B165" s="58" t="s">
        <v>136</v>
      </c>
      <c r="C165" s="58" t="s">
        <v>136</v>
      </c>
      <c r="D165" s="274">
        <v>0</v>
      </c>
      <c r="E165" s="274">
        <f>AD165/1000</f>
        <v>0</v>
      </c>
      <c r="F165" s="268">
        <f>SUMIF($AB$165:$AB$166,"보조",$AD$165:$AD$166)/1000</f>
        <v>0</v>
      </c>
      <c r="G165" s="268">
        <f>SUMIF($AB$165:$AB$166,"7종",$AD$165:$AD$166)/1000</f>
        <v>0</v>
      </c>
      <c r="H165" s="268">
        <f>SUMIF($AB$165:$AB$166,"시비",$AD$165:$AD$166)/1000</f>
        <v>0</v>
      </c>
      <c r="I165" s="268">
        <f>SUMIF($AB$165:$AB$166,"후원",$AD$165:$AD$166)/1000</f>
        <v>0</v>
      </c>
      <c r="J165" s="268">
        <f>SUMIF($AB$165:$AB$166,"입소",$AD$165:$AD$166)/1000</f>
        <v>0</v>
      </c>
      <c r="K165" s="268">
        <f>SUMIF($AB$165:$AB$166,"법인",$AD$165:$AD$166)/1000</f>
        <v>0</v>
      </c>
      <c r="L165" s="268">
        <f>SUMIF($AB$165:$AB$166,"잡수",$AD$165:$AD$166)/1000</f>
        <v>0</v>
      </c>
      <c r="M165" s="268">
        <f>E165-D165</f>
        <v>0</v>
      </c>
      <c r="N165" s="82">
        <f>IF(D165=0,0,M165/D165)</f>
        <v>0</v>
      </c>
      <c r="O165" s="273" t="s">
        <v>252</v>
      </c>
      <c r="P165" s="85"/>
      <c r="Q165" s="85"/>
      <c r="R165" s="85"/>
      <c r="S165" s="85"/>
      <c r="T165" s="84"/>
      <c r="U165" s="84"/>
      <c r="V165" s="84"/>
      <c r="W165" s="84"/>
      <c r="X165" s="84"/>
      <c r="Y165" s="272" t="s">
        <v>153</v>
      </c>
      <c r="Z165" s="271"/>
      <c r="AA165" s="271"/>
      <c r="AB165" s="271"/>
      <c r="AC165" s="270"/>
      <c r="AD165" s="270"/>
      <c r="AE165" s="269" t="s">
        <v>146</v>
      </c>
      <c r="AF165" s="31"/>
    </row>
    <row r="166" spans="1:32" s="31" customFormat="1" ht="21" customHeight="1" x14ac:dyDescent="0.15">
      <c r="A166" s="267"/>
      <c r="B166" s="58"/>
      <c r="C166" s="58"/>
      <c r="D166" s="268"/>
      <c r="E166" s="268"/>
      <c r="F166" s="268"/>
      <c r="G166" s="268"/>
      <c r="H166" s="268"/>
      <c r="I166" s="268"/>
      <c r="J166" s="268"/>
      <c r="K166" s="268"/>
      <c r="L166" s="268"/>
      <c r="M166" s="268"/>
      <c r="N166" s="82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281"/>
    </row>
    <row r="167" spans="1:32" s="38" customFormat="1" ht="21" customHeight="1" x14ac:dyDescent="0.15">
      <c r="A167" s="137" t="s">
        <v>104</v>
      </c>
      <c r="B167" s="564" t="s">
        <v>236</v>
      </c>
      <c r="C167" s="565"/>
      <c r="D167" s="280">
        <v>22</v>
      </c>
      <c r="E167" s="280">
        <f t="shared" ref="E167:L167" si="12">SUM(E168)</f>
        <v>31</v>
      </c>
      <c r="F167" s="280">
        <f t="shared" si="12"/>
        <v>0</v>
      </c>
      <c r="G167" s="280">
        <f t="shared" si="12"/>
        <v>0</v>
      </c>
      <c r="H167" s="280">
        <f t="shared" si="12"/>
        <v>0</v>
      </c>
      <c r="I167" s="280">
        <f t="shared" si="12"/>
        <v>5</v>
      </c>
      <c r="J167" s="280">
        <f t="shared" si="12"/>
        <v>23</v>
      </c>
      <c r="K167" s="280">
        <f t="shared" si="12"/>
        <v>1</v>
      </c>
      <c r="L167" s="280">
        <f t="shared" si="12"/>
        <v>2</v>
      </c>
      <c r="M167" s="280">
        <f>E167-D167</f>
        <v>9</v>
      </c>
      <c r="N167" s="279">
        <f>IF(D167=0,0,M167/D167)</f>
        <v>0.40909090909090912</v>
      </c>
      <c r="O167" s="278" t="s">
        <v>104</v>
      </c>
      <c r="P167" s="277"/>
      <c r="Q167" s="277"/>
      <c r="R167" s="277"/>
      <c r="S167" s="276"/>
      <c r="T167" s="276"/>
      <c r="U167" s="276"/>
      <c r="V167" s="276"/>
      <c r="W167" s="276"/>
      <c r="X167" s="276"/>
      <c r="Y167" s="276"/>
      <c r="Z167" s="276"/>
      <c r="AA167" s="276"/>
      <c r="AB167" s="276"/>
      <c r="AC167" s="276"/>
      <c r="AD167" s="276">
        <f>AD168</f>
        <v>31000</v>
      </c>
      <c r="AE167" s="275" t="s">
        <v>146</v>
      </c>
      <c r="AF167" s="31"/>
    </row>
    <row r="168" spans="1:32" s="38" customFormat="1" ht="21" customHeight="1" x14ac:dyDescent="0.15">
      <c r="A168" s="106"/>
      <c r="B168" s="58" t="s">
        <v>104</v>
      </c>
      <c r="C168" s="58" t="s">
        <v>104</v>
      </c>
      <c r="D168" s="274">
        <v>22</v>
      </c>
      <c r="E168" s="274">
        <f>AD168/1000</f>
        <v>31</v>
      </c>
      <c r="F168" s="268">
        <f>SUMIF($AB$169:$AB$175,"보조",$AD$169:$AD$175)/1000</f>
        <v>0</v>
      </c>
      <c r="G168" s="268">
        <f>SUMIF($AB$169:$AB$175,"7종",$AD$169:$AD$175)/1000</f>
        <v>0</v>
      </c>
      <c r="H168" s="268">
        <f>SUMIF($AB$169:$AB$175,"시비",$AD$169:$AD$175)/1000</f>
        <v>0</v>
      </c>
      <c r="I168" s="268">
        <f>SUMIF($AB$169:$AB$175,"후원",$AD$169:$AD$175)/1000</f>
        <v>5</v>
      </c>
      <c r="J168" s="268">
        <f>SUMIF($AB$169:$AB$175,"입소",$AD$169:$AD$175)/1000</f>
        <v>23</v>
      </c>
      <c r="K168" s="268">
        <f>SUMIF($AB$169:$AB$175,"법인",$AD$169:$AD$175)/1000</f>
        <v>1</v>
      </c>
      <c r="L168" s="268">
        <f>SUMIF($AB$169:$AB$175,"잡수",$AD$169:$AD$175)/1000</f>
        <v>2</v>
      </c>
      <c r="M168" s="268">
        <f>SUMIF($AB$169:$AB$175,"보조",$AD$169:$AD$175)/1000</f>
        <v>0</v>
      </c>
      <c r="N168" s="82">
        <f>IF(D168=0,0,M168/D168)</f>
        <v>0</v>
      </c>
      <c r="O168" s="273" t="s">
        <v>238</v>
      </c>
      <c r="P168" s="85"/>
      <c r="Q168" s="85"/>
      <c r="R168" s="85"/>
      <c r="S168" s="85"/>
      <c r="T168" s="84"/>
      <c r="U168" s="84"/>
      <c r="V168" s="84"/>
      <c r="W168" s="84"/>
      <c r="X168" s="84"/>
      <c r="Y168" s="272" t="s">
        <v>153</v>
      </c>
      <c r="Z168" s="271"/>
      <c r="AA168" s="271"/>
      <c r="AB168" s="271"/>
      <c r="AC168" s="270"/>
      <c r="AD168" s="270">
        <f>SUM(AD169:AD175)</f>
        <v>31000</v>
      </c>
      <c r="AE168" s="269" t="s">
        <v>146</v>
      </c>
      <c r="AF168" s="31"/>
    </row>
    <row r="169" spans="1:32" s="38" customFormat="1" ht="21" customHeight="1" x14ac:dyDescent="0.15">
      <c r="A169" s="106"/>
      <c r="B169" s="58"/>
      <c r="C169" s="58"/>
      <c r="D169" s="268"/>
      <c r="E169" s="268"/>
      <c r="F169" s="268"/>
      <c r="G169" s="268"/>
      <c r="H169" s="268"/>
      <c r="I169" s="268"/>
      <c r="J169" s="268"/>
      <c r="K169" s="268"/>
      <c r="L169" s="268"/>
      <c r="M169" s="268"/>
      <c r="N169" s="82"/>
      <c r="O169" s="186" t="s">
        <v>26</v>
      </c>
      <c r="P169" s="186"/>
      <c r="Q169" s="186"/>
      <c r="R169" s="186"/>
      <c r="S169" s="186"/>
      <c r="T169" s="184"/>
      <c r="U169" s="184"/>
      <c r="V169" s="184"/>
      <c r="W169" s="184"/>
      <c r="X169" s="184"/>
      <c r="Y169" s="184"/>
      <c r="Z169" s="184"/>
      <c r="AA169" s="184"/>
      <c r="AB169" s="184" t="s">
        <v>159</v>
      </c>
      <c r="AC169" s="153"/>
      <c r="AD169" s="62">
        <v>3000</v>
      </c>
      <c r="AE169" s="177" t="s">
        <v>146</v>
      </c>
      <c r="AF169" s="33"/>
    </row>
    <row r="170" spans="1:32" s="38" customFormat="1" ht="21" customHeight="1" x14ac:dyDescent="0.15">
      <c r="A170" s="106"/>
      <c r="B170" s="58"/>
      <c r="C170" s="58"/>
      <c r="D170" s="268"/>
      <c r="E170" s="268"/>
      <c r="F170" s="268"/>
      <c r="G170" s="268"/>
      <c r="H170" s="268"/>
      <c r="I170" s="268"/>
      <c r="J170" s="268"/>
      <c r="K170" s="268"/>
      <c r="L170" s="268"/>
      <c r="M170" s="268"/>
      <c r="N170" s="82"/>
      <c r="O170" s="186" t="s">
        <v>306</v>
      </c>
      <c r="P170" s="186"/>
      <c r="Q170" s="186"/>
      <c r="R170" s="186"/>
      <c r="S170" s="186"/>
      <c r="T170" s="184"/>
      <c r="U170" s="184"/>
      <c r="V170" s="184"/>
      <c r="W170" s="184"/>
      <c r="X170" s="184"/>
      <c r="Y170" s="184"/>
      <c r="Z170" s="184"/>
      <c r="AA170" s="184"/>
      <c r="AB170" s="184" t="s">
        <v>159</v>
      </c>
      <c r="AC170" s="153"/>
      <c r="AD170" s="62">
        <v>20000</v>
      </c>
      <c r="AE170" s="177" t="s">
        <v>146</v>
      </c>
      <c r="AF170" s="33"/>
    </row>
    <row r="171" spans="1:32" s="38" customFormat="1" ht="21" customHeight="1" x14ac:dyDescent="0.15">
      <c r="A171" s="106"/>
      <c r="B171" s="58"/>
      <c r="C171" s="58"/>
      <c r="D171" s="268"/>
      <c r="E171" s="268"/>
      <c r="F171" s="268"/>
      <c r="G171" s="268"/>
      <c r="H171" s="268"/>
      <c r="I171" s="268"/>
      <c r="J171" s="268"/>
      <c r="K171" s="268"/>
      <c r="L171" s="268"/>
      <c r="M171" s="268"/>
      <c r="N171" s="82"/>
      <c r="O171" s="186" t="s">
        <v>21</v>
      </c>
      <c r="P171" s="186"/>
      <c r="Q171" s="186"/>
      <c r="R171" s="186"/>
      <c r="S171" s="186"/>
      <c r="T171" s="184"/>
      <c r="U171" s="184"/>
      <c r="V171" s="184"/>
      <c r="W171" s="184"/>
      <c r="X171" s="184"/>
      <c r="Y171" s="184"/>
      <c r="Z171" s="184"/>
      <c r="AA171" s="184"/>
      <c r="AB171" s="184" t="s">
        <v>121</v>
      </c>
      <c r="AC171" s="153"/>
      <c r="AD171" s="62">
        <v>2000</v>
      </c>
      <c r="AE171" s="177" t="s">
        <v>146</v>
      </c>
      <c r="AF171" s="33"/>
    </row>
    <row r="172" spans="1:32" s="38" customFormat="1" ht="21" customHeight="1" x14ac:dyDescent="0.15">
      <c r="A172" s="106"/>
      <c r="B172" s="58"/>
      <c r="C172" s="58"/>
      <c r="D172" s="268"/>
      <c r="E172" s="268"/>
      <c r="F172" s="268"/>
      <c r="G172" s="268"/>
      <c r="H172" s="268"/>
      <c r="I172" s="268"/>
      <c r="J172" s="268"/>
      <c r="K172" s="268"/>
      <c r="L172" s="268"/>
      <c r="M172" s="268"/>
      <c r="N172" s="82"/>
      <c r="O172" s="186" t="s">
        <v>310</v>
      </c>
      <c r="P172" s="186"/>
      <c r="Q172" s="186"/>
      <c r="R172" s="186"/>
      <c r="S172" s="186"/>
      <c r="T172" s="184"/>
      <c r="U172" s="184"/>
      <c r="V172" s="184"/>
      <c r="W172" s="184"/>
      <c r="X172" s="184"/>
      <c r="Y172" s="184"/>
      <c r="Z172" s="184"/>
      <c r="AA172" s="184"/>
      <c r="AB172" s="184" t="s">
        <v>121</v>
      </c>
      <c r="AC172" s="153"/>
      <c r="AD172" s="62">
        <v>3000</v>
      </c>
      <c r="AE172" s="177" t="s">
        <v>146</v>
      </c>
      <c r="AF172" s="33"/>
    </row>
    <row r="173" spans="1:32" s="38" customFormat="1" ht="21" customHeight="1" x14ac:dyDescent="0.15">
      <c r="A173" s="106"/>
      <c r="B173" s="58"/>
      <c r="C173" s="58"/>
      <c r="D173" s="268"/>
      <c r="E173" s="268"/>
      <c r="F173" s="268"/>
      <c r="G173" s="268"/>
      <c r="H173" s="268"/>
      <c r="I173" s="268"/>
      <c r="J173" s="268"/>
      <c r="K173" s="268"/>
      <c r="L173" s="268"/>
      <c r="M173" s="268"/>
      <c r="N173" s="82"/>
      <c r="O173" s="186" t="s">
        <v>56</v>
      </c>
      <c r="P173" s="186"/>
      <c r="Q173" s="186"/>
      <c r="R173" s="186"/>
      <c r="S173" s="186"/>
      <c r="T173" s="184"/>
      <c r="U173" s="184"/>
      <c r="V173" s="184"/>
      <c r="W173" s="184"/>
      <c r="X173" s="184"/>
      <c r="Y173" s="184"/>
      <c r="Z173" s="184"/>
      <c r="AA173" s="184"/>
      <c r="AB173" s="184" t="s">
        <v>138</v>
      </c>
      <c r="AC173" s="153"/>
      <c r="AD173" s="62">
        <v>1000</v>
      </c>
      <c r="AE173" s="177" t="s">
        <v>146</v>
      </c>
      <c r="AF173" s="33"/>
    </row>
    <row r="174" spans="1:32" s="38" customFormat="1" ht="21" customHeight="1" x14ac:dyDescent="0.15">
      <c r="A174" s="106"/>
      <c r="B174" s="58"/>
      <c r="C174" s="58"/>
      <c r="D174" s="268"/>
      <c r="E174" s="268"/>
      <c r="F174" s="268"/>
      <c r="G174" s="268"/>
      <c r="H174" s="268"/>
      <c r="I174" s="268"/>
      <c r="J174" s="268"/>
      <c r="K174" s="268"/>
      <c r="L174" s="268"/>
      <c r="M174" s="268"/>
      <c r="N174" s="82"/>
      <c r="O174" s="186" t="s">
        <v>305</v>
      </c>
      <c r="P174" s="186"/>
      <c r="Q174" s="186"/>
      <c r="R174" s="186"/>
      <c r="S174" s="186"/>
      <c r="T174" s="184"/>
      <c r="U174" s="184"/>
      <c r="V174" s="184"/>
      <c r="W174" s="184"/>
      <c r="X174" s="184"/>
      <c r="Y174" s="184"/>
      <c r="Z174" s="184"/>
      <c r="AA174" s="184"/>
      <c r="AB174" s="184" t="s">
        <v>138</v>
      </c>
      <c r="AC174" s="153"/>
      <c r="AD174" s="62">
        <v>1000</v>
      </c>
      <c r="AE174" s="177" t="s">
        <v>146</v>
      </c>
      <c r="AF174" s="33"/>
    </row>
    <row r="175" spans="1:32" s="31" customFormat="1" ht="21" customHeight="1" x14ac:dyDescent="0.15">
      <c r="A175" s="106"/>
      <c r="B175" s="58"/>
      <c r="C175" s="58"/>
      <c r="D175" s="391"/>
      <c r="E175" s="391"/>
      <c r="F175" s="391"/>
      <c r="G175" s="391"/>
      <c r="H175" s="391"/>
      <c r="I175" s="391"/>
      <c r="J175" s="391"/>
      <c r="K175" s="391"/>
      <c r="L175" s="391"/>
      <c r="M175" s="391"/>
      <c r="N175" s="149"/>
      <c r="O175" s="419" t="s">
        <v>163</v>
      </c>
      <c r="P175" s="419"/>
      <c r="Q175" s="419"/>
      <c r="R175" s="419"/>
      <c r="S175" s="419"/>
      <c r="T175" s="382"/>
      <c r="U175" s="382"/>
      <c r="V175" s="382"/>
      <c r="W175" s="382"/>
      <c r="X175" s="382"/>
      <c r="Y175" s="382"/>
      <c r="Z175" s="382"/>
      <c r="AA175" s="382"/>
      <c r="AB175" s="382" t="s">
        <v>134</v>
      </c>
      <c r="AC175" s="153"/>
      <c r="AD175" s="153">
        <v>1000</v>
      </c>
      <c r="AE175" s="177" t="s">
        <v>146</v>
      </c>
    </row>
    <row r="176" spans="1:32" ht="21" customHeight="1" x14ac:dyDescent="0.15">
      <c r="A176" s="486"/>
      <c r="B176" s="266"/>
      <c r="C176" s="266"/>
      <c r="D176" s="265"/>
      <c r="E176" s="265"/>
      <c r="F176" s="265"/>
      <c r="G176" s="265"/>
      <c r="H176" s="265"/>
      <c r="I176" s="265"/>
      <c r="J176" s="265"/>
      <c r="K176" s="265"/>
      <c r="L176" s="265"/>
      <c r="M176" s="265"/>
      <c r="N176" s="264"/>
      <c r="O176" s="263"/>
      <c r="P176" s="263"/>
      <c r="Q176" s="263"/>
      <c r="R176" s="263"/>
      <c r="S176" s="263"/>
      <c r="T176" s="262"/>
      <c r="U176" s="262"/>
      <c r="V176" s="262"/>
      <c r="W176" s="262"/>
      <c r="X176" s="262"/>
      <c r="Y176" s="262"/>
      <c r="Z176" s="262"/>
      <c r="AA176" s="262"/>
      <c r="AB176" s="262"/>
      <c r="AC176" s="487"/>
      <c r="AD176" s="487"/>
      <c r="AE176" s="261"/>
    </row>
    <row r="177" spans="1:31" ht="21" customHeight="1" x14ac:dyDescent="0.15">
      <c r="A177" s="484"/>
      <c r="B177" s="484"/>
      <c r="C177" s="484"/>
      <c r="D177" s="485"/>
      <c r="E177" s="485"/>
      <c r="F177" s="485"/>
      <c r="G177" s="485"/>
      <c r="H177" s="485"/>
      <c r="I177" s="485"/>
      <c r="J177" s="485"/>
      <c r="K177" s="485"/>
      <c r="L177" s="485"/>
      <c r="M177" s="485"/>
      <c r="N177" s="432"/>
      <c r="O177" s="419"/>
      <c r="P177" s="419"/>
      <c r="Q177" s="419"/>
      <c r="R177" s="419"/>
      <c r="S177" s="382"/>
      <c r="T177" s="382"/>
      <c r="U177" s="382"/>
      <c r="V177" s="382"/>
      <c r="W177" s="382"/>
      <c r="X177" s="382"/>
      <c r="Y177" s="382"/>
      <c r="Z177" s="382"/>
      <c r="AA177" s="382"/>
      <c r="AB177" s="382"/>
      <c r="AC177" s="382"/>
      <c r="AD177" s="382"/>
      <c r="AE177" s="382"/>
    </row>
    <row r="178" spans="1:31" ht="21" customHeight="1" x14ac:dyDescent="0.15">
      <c r="E178" s="260"/>
      <c r="F178" s="260"/>
    </row>
    <row r="179" spans="1:31" ht="21" customHeight="1" x14ac:dyDescent="0.15">
      <c r="F179" s="260"/>
    </row>
    <row r="180" spans="1:31" ht="21" customHeight="1" x14ac:dyDescent="0.15">
      <c r="E180" s="260"/>
      <c r="F180" s="260"/>
    </row>
    <row r="181" spans="1:31" ht="21" customHeight="1" x14ac:dyDescent="0.15">
      <c r="E181" s="260"/>
      <c r="F181" s="260"/>
    </row>
    <row r="182" spans="1:31" ht="21" customHeight="1" x14ac:dyDescent="0.15">
      <c r="E182" s="260"/>
      <c r="F182" s="260"/>
    </row>
  </sheetData>
  <mergeCells count="16">
    <mergeCell ref="A1:E1"/>
    <mergeCell ref="B167:C167"/>
    <mergeCell ref="B164:C164"/>
    <mergeCell ref="B155:C155"/>
    <mergeCell ref="B108:C108"/>
    <mergeCell ref="B94:C94"/>
    <mergeCell ref="O103:Q103"/>
    <mergeCell ref="O2:AE3"/>
    <mergeCell ref="V90:W90"/>
    <mergeCell ref="V62:W62"/>
    <mergeCell ref="B5:C5"/>
    <mergeCell ref="A4:C4"/>
    <mergeCell ref="M2:N2"/>
    <mergeCell ref="A2:C2"/>
    <mergeCell ref="D2:D3"/>
    <mergeCell ref="E2:L2"/>
  </mergeCells>
  <phoneticPr fontId="28" type="noConversion"/>
  <printOptions horizontalCentered="1"/>
  <pageMargins left="3.9305556565523148E-2" right="3.9305556565523148E-2" top="0.35430556535720825" bottom="0.35430556535720825" header="0.15722222626209259" footer="0.15722222626209259"/>
  <pageSetup paperSize="9" scale="61" fitToHeight="0" orientation="landscape" r:id="rId1"/>
  <headerFooter>
    <oddFooter>&amp;C&amp;"맑은 고딕,Regular"&amp;P/&amp;N&amp;R&amp;"맑은 고딕,Regular"공동생활가정 몬띠의 집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마르따의집</cp:lastModifiedBy>
  <cp:revision>131</cp:revision>
  <cp:lastPrinted>2021-10-02T14:10:54Z</cp:lastPrinted>
  <dcterms:created xsi:type="dcterms:W3CDTF">2003-12-18T04:11:57Z</dcterms:created>
  <dcterms:modified xsi:type="dcterms:W3CDTF">2021-11-05T04:36:02Z</dcterms:modified>
  <cp:version>1100.0100.01</cp:version>
</cp:coreProperties>
</file>