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1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D247" i="5"/>
  <c r="AF4"/>
  <c r="AD171" l="1"/>
  <c r="I171"/>
  <c r="AD219"/>
  <c r="AD294"/>
  <c r="F260" i="29"/>
  <c r="AD69" i="5"/>
  <c r="AD37"/>
  <c r="K171"/>
  <c r="X217" i="29"/>
  <c r="X218"/>
  <c r="X243"/>
  <c r="X239"/>
  <c r="X7"/>
  <c r="X213"/>
  <c r="X202"/>
  <c r="D5" i="30" l="1"/>
  <c r="D6"/>
  <c r="F5"/>
  <c r="F6"/>
  <c r="D19"/>
  <c r="E19"/>
  <c r="G18"/>
  <c r="D18" s="1"/>
  <c r="F19"/>
  <c r="D38"/>
  <c r="F38"/>
  <c r="D37"/>
  <c r="F37"/>
  <c r="D22"/>
  <c r="F22"/>
  <c r="F18"/>
  <c r="X85" i="29"/>
  <c r="X24"/>
  <c r="X20"/>
  <c r="K35" i="30"/>
  <c r="K37"/>
  <c r="K38"/>
  <c r="G30"/>
  <c r="D21"/>
  <c r="D13"/>
  <c r="X264" i="29"/>
  <c r="G9" i="30"/>
  <c r="E9"/>
  <c r="X16" i="29"/>
  <c r="I320" i="5"/>
  <c r="AD166"/>
  <c r="AD237"/>
  <c r="AD236"/>
  <c r="AD185"/>
  <c r="X211" i="29"/>
  <c r="K320" i="5"/>
  <c r="AD157"/>
  <c r="AD156"/>
  <c r="AD155"/>
  <c r="AD72"/>
  <c r="M65" i="29"/>
  <c r="M129" s="1"/>
  <c r="M64"/>
  <c r="M128" s="1"/>
  <c r="X64" l="1"/>
  <c r="K45" i="30"/>
  <c r="E45" s="1"/>
  <c r="K40"/>
  <c r="F40" s="1"/>
  <c r="K44"/>
  <c r="G44" s="1"/>
  <c r="F44"/>
  <c r="E44"/>
  <c r="G43"/>
  <c r="F43"/>
  <c r="E43"/>
  <c r="G42"/>
  <c r="F42"/>
  <c r="D42" s="1"/>
  <c r="U42" s="1"/>
  <c r="E42"/>
  <c r="K41"/>
  <c r="G41" s="1"/>
  <c r="K39"/>
  <c r="G39"/>
  <c r="F39"/>
  <c r="E39"/>
  <c r="D39" s="1"/>
  <c r="U39" s="1"/>
  <c r="M33"/>
  <c r="M38" s="1"/>
  <c r="G32"/>
  <c r="F32"/>
  <c r="D32" s="1"/>
  <c r="U32" s="1"/>
  <c r="E32"/>
  <c r="G31"/>
  <c r="F31"/>
  <c r="E31"/>
  <c r="F30"/>
  <c r="D30" s="1"/>
  <c r="U30" s="1"/>
  <c r="E30"/>
  <c r="G29"/>
  <c r="F29"/>
  <c r="E29"/>
  <c r="K28"/>
  <c r="F28" s="1"/>
  <c r="G28"/>
  <c r="E28"/>
  <c r="D28" s="1"/>
  <c r="U28" s="1"/>
  <c r="K27"/>
  <c r="E27" s="1"/>
  <c r="G27"/>
  <c r="K26"/>
  <c r="G26"/>
  <c r="F26"/>
  <c r="E26"/>
  <c r="D26" s="1"/>
  <c r="U26" s="1"/>
  <c r="K25"/>
  <c r="G25"/>
  <c r="F25"/>
  <c r="E25"/>
  <c r="D25" s="1"/>
  <c r="U25" s="1"/>
  <c r="K24"/>
  <c r="F24" s="1"/>
  <c r="G24"/>
  <c r="E24"/>
  <c r="K23"/>
  <c r="E23" s="1"/>
  <c r="G23"/>
  <c r="K22"/>
  <c r="G22" s="1"/>
  <c r="M16"/>
  <c r="M21" s="1"/>
  <c r="K21" s="1"/>
  <c r="G15"/>
  <c r="F15"/>
  <c r="E15"/>
  <c r="D15" s="1"/>
  <c r="U15" s="1"/>
  <c r="G14"/>
  <c r="F14"/>
  <c r="E14"/>
  <c r="G13"/>
  <c r="F13"/>
  <c r="E13"/>
  <c r="G12"/>
  <c r="F12"/>
  <c r="E12"/>
  <c r="G11"/>
  <c r="F11"/>
  <c r="E11"/>
  <c r="D11"/>
  <c r="U11" s="1"/>
  <c r="K10"/>
  <c r="G10" s="1"/>
  <c r="K9"/>
  <c r="F9" s="1"/>
  <c r="K8"/>
  <c r="G8" s="1"/>
  <c r="K7"/>
  <c r="E7" s="1"/>
  <c r="K6"/>
  <c r="G6" s="1"/>
  <c r="K5"/>
  <c r="AD113" i="5"/>
  <c r="X275" i="29"/>
  <c r="I283" i="5"/>
  <c r="AD283"/>
  <c r="X236" i="29"/>
  <c r="X231"/>
  <c r="AD16" i="5"/>
  <c r="AD274"/>
  <c r="E249" i="29"/>
  <c r="E264"/>
  <c r="AD94" i="5"/>
  <c r="AD93" s="1"/>
  <c r="E291" i="29"/>
  <c r="X260"/>
  <c r="F8" i="30" l="1"/>
  <c r="D29"/>
  <c r="U29" s="1"/>
  <c r="E21"/>
  <c r="G21"/>
  <c r="D43"/>
  <c r="U43" s="1"/>
  <c r="E22"/>
  <c r="D31"/>
  <c r="U31" s="1"/>
  <c r="D14"/>
  <c r="U14" s="1"/>
  <c r="U13"/>
  <c r="D12"/>
  <c r="U12" s="1"/>
  <c r="G45"/>
  <c r="D45" s="1"/>
  <c r="U45" s="1"/>
  <c r="F45"/>
  <c r="E40"/>
  <c r="G40"/>
  <c r="F41"/>
  <c r="E41"/>
  <c r="F21"/>
  <c r="D24"/>
  <c r="U24" s="1"/>
  <c r="D44"/>
  <c r="U44" s="1"/>
  <c r="E38"/>
  <c r="G38"/>
  <c r="G5"/>
  <c r="E8"/>
  <c r="M17"/>
  <c r="K17" s="1"/>
  <c r="K33"/>
  <c r="M34"/>
  <c r="K34" s="1"/>
  <c r="D9"/>
  <c r="U9" s="1"/>
  <c r="M18"/>
  <c r="M35"/>
  <c r="F10"/>
  <c r="E6"/>
  <c r="U6" s="1"/>
  <c r="G7"/>
  <c r="E10"/>
  <c r="F23"/>
  <c r="D23" s="1"/>
  <c r="U23" s="1"/>
  <c r="F27"/>
  <c r="D27" s="1"/>
  <c r="U27" s="1"/>
  <c r="M20"/>
  <c r="K20" s="1"/>
  <c r="M37"/>
  <c r="E5"/>
  <c r="F7"/>
  <c r="D7" s="1"/>
  <c r="U7" s="1"/>
  <c r="AD152" i="5"/>
  <c r="AD184"/>
  <c r="X246" i="29"/>
  <c r="F262"/>
  <c r="G262" s="1"/>
  <c r="H262" s="1"/>
  <c r="F267"/>
  <c r="G267" s="1"/>
  <c r="H267" s="1"/>
  <c r="F265"/>
  <c r="AD123" i="5"/>
  <c r="AD214"/>
  <c r="AD165"/>
  <c r="AD164" s="1"/>
  <c r="X233" i="29"/>
  <c r="X229"/>
  <c r="X227"/>
  <c r="X226" s="1"/>
  <c r="X219"/>
  <c r="X216" s="1"/>
  <c r="X210"/>
  <c r="E241"/>
  <c r="X22"/>
  <c r="X15"/>
  <c r="M109"/>
  <c r="X109" s="1"/>
  <c r="M110"/>
  <c r="M108"/>
  <c r="M45"/>
  <c r="X45" s="1"/>
  <c r="M46"/>
  <c r="M44"/>
  <c r="X44" s="1"/>
  <c r="U21" i="30" l="1"/>
  <c r="D8"/>
  <c r="U8" s="1"/>
  <c r="D40"/>
  <c r="U40" s="1"/>
  <c r="X208" i="29"/>
  <c r="U22" i="30"/>
  <c r="D41"/>
  <c r="U41" s="1"/>
  <c r="U38"/>
  <c r="F35"/>
  <c r="G35"/>
  <c r="M36"/>
  <c r="K36" s="1"/>
  <c r="E35"/>
  <c r="E34"/>
  <c r="F34"/>
  <c r="G34"/>
  <c r="G37"/>
  <c r="E37"/>
  <c r="D10"/>
  <c r="U10" s="1"/>
  <c r="E16"/>
  <c r="F16"/>
  <c r="G16"/>
  <c r="E33"/>
  <c r="F33"/>
  <c r="G33"/>
  <c r="E17"/>
  <c r="F17"/>
  <c r="G17"/>
  <c r="G20"/>
  <c r="E20"/>
  <c r="F20"/>
  <c r="M19"/>
  <c r="K19" s="1"/>
  <c r="E18"/>
  <c r="X241" i="29"/>
  <c r="F242" s="1"/>
  <c r="F241" s="1"/>
  <c r="F264"/>
  <c r="AD320" i="5"/>
  <c r="D33" i="30" l="1"/>
  <c r="U33" s="1"/>
  <c r="K4"/>
  <c r="X201" i="29"/>
  <c r="D16" i="30"/>
  <c r="U16" s="1"/>
  <c r="U37"/>
  <c r="G36"/>
  <c r="E36"/>
  <c r="F36"/>
  <c r="U5"/>
  <c r="D17"/>
  <c r="U17" s="1"/>
  <c r="D35"/>
  <c r="U35" s="1"/>
  <c r="G19"/>
  <c r="F4"/>
  <c r="D20"/>
  <c r="U20" s="1"/>
  <c r="U18"/>
  <c r="D34"/>
  <c r="U34" s="1"/>
  <c r="AD332" i="5"/>
  <c r="G4" i="30" l="1"/>
  <c r="U19"/>
  <c r="D36"/>
  <c r="U36" s="1"/>
  <c r="E4"/>
  <c r="AD234" i="5"/>
  <c r="X189" i="29"/>
  <c r="AD151" i="5"/>
  <c r="AD159"/>
  <c r="AD66"/>
  <c r="AD161"/>
  <c r="D4" i="30" l="1"/>
  <c r="U4" s="1"/>
  <c r="X295" i="29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24" i="5" l="1"/>
  <c r="X144" i="29" l="1"/>
  <c r="AD248" i="5"/>
  <c r="AD241" l="1"/>
  <c r="AD228" l="1"/>
  <c r="S38"/>
  <c r="X148" i="29"/>
  <c r="M150"/>
  <c r="X150" s="1"/>
  <c r="X113"/>
  <c r="M119"/>
  <c r="M122" s="1"/>
  <c r="X122" s="1"/>
  <c r="M55"/>
  <c r="M58" s="1"/>
  <c r="X58" s="1"/>
  <c r="X296"/>
  <c r="AD215" i="5"/>
  <c r="AD209"/>
  <c r="X6" i="29"/>
  <c r="X166"/>
  <c r="M153" l="1"/>
  <c r="X153" s="1"/>
  <c r="M156"/>
  <c r="X156" s="1"/>
  <c r="M155"/>
  <c r="X155" s="1"/>
  <c r="M152"/>
  <c r="X152" s="1"/>
  <c r="M121"/>
  <c r="M125"/>
  <c r="X125" s="1"/>
  <c r="M124"/>
  <c r="X124" s="1"/>
  <c r="M57"/>
  <c r="X57" s="1"/>
  <c r="M61"/>
  <c r="M60"/>
  <c r="X55"/>
  <c r="M154" l="1"/>
  <c r="X154" s="1"/>
  <c r="X253"/>
  <c r="X250"/>
  <c r="AD162" i="5" l="1"/>
  <c r="I27" i="18"/>
  <c r="I23"/>
  <c r="I16"/>
  <c r="I12"/>
  <c r="I8"/>
  <c r="D22"/>
  <c r="D20"/>
  <c r="D18"/>
  <c r="D15"/>
  <c r="D10"/>
  <c r="D8"/>
  <c r="AD235" i="5"/>
  <c r="AD227"/>
  <c r="D7" i="18" l="1"/>
  <c r="I7"/>
  <c r="AD340" i="5"/>
  <c r="AD242"/>
  <c r="AD213"/>
  <c r="X132" i="29" l="1"/>
  <c r="X117"/>
  <c r="X36"/>
  <c r="X185" l="1"/>
  <c r="M26"/>
  <c r="X26" s="1"/>
  <c r="X146"/>
  <c r="X51"/>
  <c r="L372" i="5" l="1"/>
  <c r="K372"/>
  <c r="J372"/>
  <c r="I372"/>
  <c r="H372"/>
  <c r="G372"/>
  <c r="F372"/>
  <c r="J369"/>
  <c r="L369"/>
  <c r="K369"/>
  <c r="I369"/>
  <c r="H369"/>
  <c r="G369"/>
  <c r="F369"/>
  <c r="L356"/>
  <c r="K356"/>
  <c r="J356"/>
  <c r="I356"/>
  <c r="H356"/>
  <c r="G356"/>
  <c r="F356"/>
  <c r="L349"/>
  <c r="K349"/>
  <c r="H349"/>
  <c r="G349"/>
  <c r="F349"/>
  <c r="L340"/>
  <c r="K340"/>
  <c r="J340"/>
  <c r="I340"/>
  <c r="H340"/>
  <c r="G340"/>
  <c r="F340"/>
  <c r="L332"/>
  <c r="K332"/>
  <c r="J332"/>
  <c r="I332"/>
  <c r="H332"/>
  <c r="G332"/>
  <c r="F332"/>
  <c r="L320"/>
  <c r="J320"/>
  <c r="H320"/>
  <c r="G320"/>
  <c r="F320"/>
  <c r="L316"/>
  <c r="K316"/>
  <c r="J316"/>
  <c r="I316"/>
  <c r="H316"/>
  <c r="G316"/>
  <c r="F316"/>
  <c r="L312"/>
  <c r="K312"/>
  <c r="J312"/>
  <c r="I312"/>
  <c r="H312"/>
  <c r="G312"/>
  <c r="F312"/>
  <c r="L306"/>
  <c r="K306"/>
  <c r="I306"/>
  <c r="H306"/>
  <c r="G306"/>
  <c r="F306"/>
  <c r="L294"/>
  <c r="K294"/>
  <c r="J294"/>
  <c r="I294"/>
  <c r="H294"/>
  <c r="G294"/>
  <c r="F294"/>
  <c r="L283"/>
  <c r="K283"/>
  <c r="J283"/>
  <c r="H283"/>
  <c r="G283"/>
  <c r="F283"/>
  <c r="L274"/>
  <c r="K274"/>
  <c r="J274"/>
  <c r="I274"/>
  <c r="H274"/>
  <c r="G274"/>
  <c r="F274"/>
  <c r="L267"/>
  <c r="K267"/>
  <c r="J267"/>
  <c r="I267"/>
  <c r="H267"/>
  <c r="G267"/>
  <c r="F267"/>
  <c r="L253"/>
  <c r="K253"/>
  <c r="H253"/>
  <c r="G253"/>
  <c r="L248"/>
  <c r="K248"/>
  <c r="J248"/>
  <c r="I248"/>
  <c r="H248"/>
  <c r="G248"/>
  <c r="F248"/>
  <c r="L239"/>
  <c r="K239"/>
  <c r="J239"/>
  <c r="H239"/>
  <c r="G239"/>
  <c r="L231"/>
  <c r="K231"/>
  <c r="J231"/>
  <c r="L226"/>
  <c r="K226"/>
  <c r="I226"/>
  <c r="G226"/>
  <c r="F226"/>
  <c r="L222"/>
  <c r="K222"/>
  <c r="J222"/>
  <c r="I222"/>
  <c r="H222"/>
  <c r="G222"/>
  <c r="F222"/>
  <c r="K207"/>
  <c r="J207"/>
  <c r="I207"/>
  <c r="G207"/>
  <c r="L195"/>
  <c r="K195"/>
  <c r="J195"/>
  <c r="I195"/>
  <c r="H195"/>
  <c r="G195"/>
  <c r="L184"/>
  <c r="K184"/>
  <c r="J184"/>
  <c r="H184"/>
  <c r="G184"/>
  <c r="F184"/>
  <c r="L171"/>
  <c r="J171"/>
  <c r="H171"/>
  <c r="G171"/>
  <c r="F171"/>
  <c r="L145"/>
  <c r="J145"/>
  <c r="H145"/>
  <c r="G145"/>
  <c r="L139"/>
  <c r="K139"/>
  <c r="J139"/>
  <c r="I139"/>
  <c r="H139"/>
  <c r="L127"/>
  <c r="K127"/>
  <c r="J127"/>
  <c r="I127"/>
  <c r="H127"/>
  <c r="G127"/>
  <c r="L119"/>
  <c r="K119"/>
  <c r="J119"/>
  <c r="I119"/>
  <c r="H119"/>
  <c r="G119"/>
  <c r="L96"/>
  <c r="K96"/>
  <c r="J96"/>
  <c r="H96"/>
  <c r="G96"/>
  <c r="L93"/>
  <c r="J93"/>
  <c r="H93"/>
  <c r="G93"/>
  <c r="F93"/>
  <c r="J88"/>
  <c r="I88"/>
  <c r="H88"/>
  <c r="G88"/>
  <c r="F88"/>
  <c r="L86"/>
  <c r="K86"/>
  <c r="J86"/>
  <c r="I86"/>
  <c r="H86"/>
  <c r="G86"/>
  <c r="F86"/>
  <c r="L84"/>
  <c r="K84"/>
  <c r="J84"/>
  <c r="I84"/>
  <c r="H84"/>
  <c r="G84"/>
  <c r="F84"/>
  <c r="J64"/>
  <c r="H64"/>
  <c r="F64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L247" l="1"/>
  <c r="K247"/>
  <c r="G247"/>
  <c r="H247"/>
  <c r="F231"/>
  <c r="AD100"/>
  <c r="AD90"/>
  <c r="AD88" s="1"/>
  <c r="F250" i="29"/>
  <c r="G250" l="1"/>
  <c r="H250" s="1"/>
  <c r="K88" i="5"/>
  <c r="L88"/>
  <c r="X119" i="29"/>
  <c r="AD312" i="5"/>
  <c r="X184" i="29"/>
  <c r="X183" s="1"/>
  <c r="M123" l="1"/>
  <c r="M59"/>
  <c r="X59" s="1"/>
  <c r="X61"/>
  <c r="X60"/>
  <c r="AD240" i="5" l="1"/>
  <c r="AD239" s="1"/>
  <c r="F145"/>
  <c r="AD122"/>
  <c r="AD121"/>
  <c r="I93"/>
  <c r="AD208"/>
  <c r="AD7"/>
  <c r="I231" l="1"/>
  <c r="I184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5"/>
  <c r="X68"/>
  <c r="X71"/>
  <c r="X72"/>
  <c r="X73"/>
  <c r="X74"/>
  <c r="X76"/>
  <c r="X82"/>
  <c r="X83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3"/>
  <c r="G183" s="1"/>
  <c r="H183" s="1"/>
  <c r="E187"/>
  <c r="X188"/>
  <c r="E193"/>
  <c r="H193" s="1"/>
  <c r="H194"/>
  <c r="X194"/>
  <c r="X193" s="1"/>
  <c r="E196"/>
  <c r="H196" s="1"/>
  <c r="X196"/>
  <c r="F197"/>
  <c r="F196" s="1"/>
  <c r="H197"/>
  <c r="E200"/>
  <c r="X200"/>
  <c r="X256"/>
  <c r="X249" s="1"/>
  <c r="G260"/>
  <c r="H260" s="1"/>
  <c r="E270"/>
  <c r="H270" s="1"/>
  <c r="H271"/>
  <c r="X270"/>
  <c r="E274"/>
  <c r="E273" s="1"/>
  <c r="X274"/>
  <c r="E279"/>
  <c r="X280"/>
  <c r="X279" s="1"/>
  <c r="X293"/>
  <c r="X297"/>
  <c r="X299"/>
  <c r="X298" s="1"/>
  <c r="X163" l="1"/>
  <c r="F163" s="1"/>
  <c r="G163" s="1"/>
  <c r="H163" s="1"/>
  <c r="F256"/>
  <c r="G256" s="1"/>
  <c r="H256" s="1"/>
  <c r="X292"/>
  <c r="X291" s="1"/>
  <c r="X273" s="1"/>
  <c r="F298"/>
  <c r="X102"/>
  <c r="F102" s="1"/>
  <c r="G102" s="1"/>
  <c r="H102" s="1"/>
  <c r="F280"/>
  <c r="G280" s="1"/>
  <c r="H280" s="1"/>
  <c r="M91"/>
  <c r="X91" s="1"/>
  <c r="X88"/>
  <c r="X158"/>
  <c r="X127"/>
  <c r="F127" s="1"/>
  <c r="G127" s="1"/>
  <c r="H127" s="1"/>
  <c r="X50"/>
  <c r="X43"/>
  <c r="F43" s="1"/>
  <c r="G43" s="1"/>
  <c r="H43" s="1"/>
  <c r="X141"/>
  <c r="F201"/>
  <c r="G201" s="1"/>
  <c r="H201" s="1"/>
  <c r="G168"/>
  <c r="H168" s="1"/>
  <c r="E192"/>
  <c r="H192" s="1"/>
  <c r="G196"/>
  <c r="X14"/>
  <c r="F14" s="1"/>
  <c r="E171"/>
  <c r="X80"/>
  <c r="E248"/>
  <c r="G197"/>
  <c r="F271"/>
  <c r="G271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2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9"/>
  <c r="E12"/>
  <c r="F5"/>
  <c r="E9" i="18" s="1"/>
  <c r="F188" i="29"/>
  <c r="X187"/>
  <c r="F173"/>
  <c r="X172"/>
  <c r="G265"/>
  <c r="H265" s="1"/>
  <c r="G264"/>
  <c r="H264" s="1"/>
  <c r="F275"/>
  <c r="F253"/>
  <c r="F194"/>
  <c r="M32"/>
  <c r="X32" s="1"/>
  <c r="F249" l="1"/>
  <c r="G298"/>
  <c r="H298" s="1"/>
  <c r="M30"/>
  <c r="X30" s="1"/>
  <c r="M93"/>
  <c r="X93" s="1"/>
  <c r="F200"/>
  <c r="G200" s="1"/>
  <c r="H200" s="1"/>
  <c r="F279"/>
  <c r="G279" s="1"/>
  <c r="H279" s="1"/>
  <c r="F270"/>
  <c r="G270" s="1"/>
  <c r="X120"/>
  <c r="X112" s="1"/>
  <c r="F292"/>
  <c r="X248"/>
  <c r="X56"/>
  <c r="X48" s="1"/>
  <c r="F48" s="1"/>
  <c r="G48" s="1"/>
  <c r="H48" s="1"/>
  <c r="G107"/>
  <c r="H107" s="1"/>
  <c r="G275"/>
  <c r="H275" s="1"/>
  <c r="F274"/>
  <c r="G14"/>
  <c r="H14" s="1"/>
  <c r="G188"/>
  <c r="H188" s="1"/>
  <c r="F187"/>
  <c r="G194"/>
  <c r="F193"/>
  <c r="G173"/>
  <c r="H173" s="1"/>
  <c r="F172"/>
  <c r="E16" i="18" s="1"/>
  <c r="G253" i="29"/>
  <c r="H253" s="1"/>
  <c r="G5"/>
  <c r="E4"/>
  <c r="X171"/>
  <c r="G187" l="1"/>
  <c r="H187" s="1"/>
  <c r="E17" i="18"/>
  <c r="G292" i="29"/>
  <c r="H292" s="1"/>
  <c r="F291"/>
  <c r="G291" s="1"/>
  <c r="H291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74"/>
  <c r="H274" s="1"/>
  <c r="F248"/>
  <c r="G249"/>
  <c r="H249" s="1"/>
  <c r="F192"/>
  <c r="G192" s="1"/>
  <c r="G193"/>
  <c r="G248" l="1"/>
  <c r="H248" s="1"/>
  <c r="E21" i="18"/>
  <c r="F273" i="29"/>
  <c r="F78"/>
  <c r="X42"/>
  <c r="X13"/>
  <c r="F13"/>
  <c r="F139"/>
  <c r="G139" s="1"/>
  <c r="H139" s="1"/>
  <c r="X106"/>
  <c r="G112"/>
  <c r="H112" s="1"/>
  <c r="G273" l="1"/>
  <c r="H273" s="1"/>
  <c r="E23" i="18"/>
  <c r="E22" s="1"/>
  <c r="G13" i="29"/>
  <c r="H13" s="1"/>
  <c r="E11" i="18"/>
  <c r="G78" i="29"/>
  <c r="H78" s="1"/>
  <c r="F42"/>
  <c r="X12"/>
  <c r="F106"/>
  <c r="G42" l="1"/>
  <c r="H42" s="1"/>
  <c r="E12" i="18"/>
  <c r="G106" i="29"/>
  <c r="H106" s="1"/>
  <c r="E13" i="18"/>
  <c r="F13" s="1"/>
  <c r="F12" i="29"/>
  <c r="G12" l="1"/>
  <c r="AD99" i="5"/>
  <c r="AD97"/>
  <c r="AD351"/>
  <c r="I349" s="1"/>
  <c r="E332"/>
  <c r="M332" s="1"/>
  <c r="N332" s="1"/>
  <c r="AD316"/>
  <c r="E316" s="1"/>
  <c r="M316" s="1"/>
  <c r="N316" s="1"/>
  <c r="E312"/>
  <c r="M312" s="1"/>
  <c r="N312" s="1"/>
  <c r="AD306"/>
  <c r="E294"/>
  <c r="M294" s="1"/>
  <c r="N294" s="1"/>
  <c r="E274"/>
  <c r="M274" s="1"/>
  <c r="N274" s="1"/>
  <c r="E248"/>
  <c r="AD27"/>
  <c r="M248" l="1"/>
  <c r="N248" s="1"/>
  <c r="F253"/>
  <c r="F247" s="1"/>
  <c r="AD253"/>
  <c r="J253"/>
  <c r="I253"/>
  <c r="I247" s="1"/>
  <c r="AD349"/>
  <c r="E349" s="1"/>
  <c r="M349" s="1"/>
  <c r="N349" s="1"/>
  <c r="J349"/>
  <c r="J306"/>
  <c r="E320"/>
  <c r="M320" s="1"/>
  <c r="N320" s="1"/>
  <c r="E340"/>
  <c r="M340" s="1"/>
  <c r="N340" s="1"/>
  <c r="H12" i="29"/>
  <c r="E306" i="5"/>
  <c r="M306" s="1"/>
  <c r="N306" s="1"/>
  <c r="J247" l="1"/>
  <c r="F239"/>
  <c r="I239"/>
  <c r="I145"/>
  <c r="AD130"/>
  <c r="AD104"/>
  <c r="AD98"/>
  <c r="AD101" l="1"/>
  <c r="F96" s="1"/>
  <c r="J226" l="1"/>
  <c r="AD229"/>
  <c r="H226" s="1"/>
  <c r="AD356"/>
  <c r="J27" i="18" l="1"/>
  <c r="J25"/>
  <c r="K26"/>
  <c r="K25" s="1"/>
  <c r="E20"/>
  <c r="E15"/>
  <c r="E10"/>
  <c r="E8"/>
  <c r="E253" i="5" l="1"/>
  <c r="M253" l="1"/>
  <c r="N253" s="1"/>
  <c r="AD158"/>
  <c r="AD146" s="1"/>
  <c r="AD145" s="1"/>
  <c r="E145" s="1"/>
  <c r="AD140" l="1"/>
  <c r="AD217" l="1"/>
  <c r="E283" l="1"/>
  <c r="M283" s="1"/>
  <c r="N283" s="1"/>
  <c r="AD267"/>
  <c r="AD247" s="1"/>
  <c r="S36"/>
  <c r="S34"/>
  <c r="AD34" s="1"/>
  <c r="AD36" l="1"/>
  <c r="E267"/>
  <c r="F207"/>
  <c r="F32"/>
  <c r="AD233"/>
  <c r="G231" s="1"/>
  <c r="E247" l="1"/>
  <c r="J22" i="18" s="1"/>
  <c r="K22" s="1"/>
  <c r="AD35" i="5"/>
  <c r="G32"/>
  <c r="M267"/>
  <c r="N267" s="1"/>
  <c r="L64" l="1"/>
  <c r="AD77"/>
  <c r="I64" s="1"/>
  <c r="D371" l="1"/>
  <c r="D368"/>
  <c r="D355"/>
  <c r="D170"/>
  <c r="D169" s="1"/>
  <c r="K28" i="18" l="1"/>
  <c r="K27" s="1"/>
  <c r="F23"/>
  <c r="F22" s="1"/>
  <c r="F21"/>
  <c r="F20" s="1"/>
  <c r="F17"/>
  <c r="F16"/>
  <c r="F14"/>
  <c r="F12"/>
  <c r="F11"/>
  <c r="F9"/>
  <c r="F8" s="1"/>
  <c r="F15" l="1"/>
  <c r="F10"/>
  <c r="AD141" i="5"/>
  <c r="AD75"/>
  <c r="G64" s="1"/>
  <c r="F139" l="1"/>
  <c r="G139"/>
  <c r="AD139"/>
  <c r="AD210"/>
  <c r="AD19"/>
  <c r="D206"/>
  <c r="D205" s="1"/>
  <c r="D92"/>
  <c r="D83"/>
  <c r="S44"/>
  <c r="AD44" s="1"/>
  <c r="S48" l="1"/>
  <c r="AD48" s="1"/>
  <c r="S43"/>
  <c r="AD43" s="1"/>
  <c r="F371"/>
  <c r="G371"/>
  <c r="H371"/>
  <c r="I371"/>
  <c r="J371"/>
  <c r="K371"/>
  <c r="L371"/>
  <c r="AD372"/>
  <c r="AD371" s="1"/>
  <c r="F368"/>
  <c r="G368"/>
  <c r="H368"/>
  <c r="I368"/>
  <c r="J368"/>
  <c r="K368"/>
  <c r="L368"/>
  <c r="I355"/>
  <c r="J355"/>
  <c r="K355"/>
  <c r="L355"/>
  <c r="H355"/>
  <c r="G355"/>
  <c r="F355"/>
  <c r="G92"/>
  <c r="H92"/>
  <c r="G206"/>
  <c r="K206"/>
  <c r="AD222"/>
  <c r="AD218"/>
  <c r="AD197"/>
  <c r="AD196"/>
  <c r="G170"/>
  <c r="G169" s="1"/>
  <c r="H170"/>
  <c r="H169" s="1"/>
  <c r="I170"/>
  <c r="I169" s="1"/>
  <c r="J170"/>
  <c r="J169" s="1"/>
  <c r="K170"/>
  <c r="K169" s="1"/>
  <c r="L170"/>
  <c r="L169" s="1"/>
  <c r="E171"/>
  <c r="AD120"/>
  <c r="F119" s="1"/>
  <c r="J92"/>
  <c r="J6"/>
  <c r="G83"/>
  <c r="H83"/>
  <c r="I83"/>
  <c r="J83"/>
  <c r="L83"/>
  <c r="AD84"/>
  <c r="M171" l="1"/>
  <c r="N171" s="1"/>
  <c r="J13" i="18"/>
  <c r="K13" s="1"/>
  <c r="F195" i="5"/>
  <c r="F170" s="1"/>
  <c r="F169" s="1"/>
  <c r="AD195"/>
  <c r="AD170" s="1"/>
  <c r="L207"/>
  <c r="K93"/>
  <c r="AD119"/>
  <c r="S56"/>
  <c r="AD56" s="1"/>
  <c r="S52"/>
  <c r="AD52" s="1"/>
  <c r="S47"/>
  <c r="AD47" s="1"/>
  <c r="E372"/>
  <c r="K205"/>
  <c r="J5"/>
  <c r="G205"/>
  <c r="AD42"/>
  <c r="G40" l="1"/>
  <c r="S55"/>
  <c r="AD55" s="1"/>
  <c r="AD54" s="1"/>
  <c r="S60"/>
  <c r="AD60" s="1"/>
  <c r="J206"/>
  <c r="S59" l="1"/>
  <c r="AD59" s="1"/>
  <c r="S51"/>
  <c r="AD51" s="1"/>
  <c r="AD46"/>
  <c r="J205"/>
  <c r="J4" s="1"/>
  <c r="I206"/>
  <c r="AD226"/>
  <c r="E226" s="1"/>
  <c r="J19" i="18" s="1"/>
  <c r="K19" s="1"/>
  <c r="AD58" i="5" l="1"/>
  <c r="AD50"/>
  <c r="F40"/>
  <c r="I205"/>
  <c r="E7"/>
  <c r="AD40" l="1"/>
  <c r="M7"/>
  <c r="K18"/>
  <c r="E40" l="1"/>
  <c r="M40" s="1"/>
  <c r="N40" s="1"/>
  <c r="AD33"/>
  <c r="F6" l="1"/>
  <c r="AD355" l="1"/>
  <c r="K145"/>
  <c r="F83"/>
  <c r="AD65"/>
  <c r="AD64" s="1"/>
  <c r="AD23"/>
  <c r="AD18" s="1"/>
  <c r="AD15"/>
  <c r="AD129"/>
  <c r="AD127" s="1"/>
  <c r="AD131"/>
  <c r="AD116"/>
  <c r="AD117"/>
  <c r="AD211"/>
  <c r="AD212"/>
  <c r="AD232"/>
  <c r="H231" s="1"/>
  <c r="AD207" l="1"/>
  <c r="E207" s="1"/>
  <c r="J17" i="18" s="1"/>
  <c r="H207" i="5"/>
  <c r="F127"/>
  <c r="F92" s="1"/>
  <c r="F5" s="1"/>
  <c r="K32"/>
  <c r="K64"/>
  <c r="AD13"/>
  <c r="G13"/>
  <c r="E127"/>
  <c r="M127" s="1"/>
  <c r="N127" s="1"/>
  <c r="H6"/>
  <c r="H5" s="1"/>
  <c r="L206"/>
  <c r="L205" s="1"/>
  <c r="K92"/>
  <c r="AD231"/>
  <c r="E231" s="1"/>
  <c r="I6"/>
  <c r="L92"/>
  <c r="L6"/>
  <c r="E184"/>
  <c r="E64"/>
  <c r="E18"/>
  <c r="N7"/>
  <c r="E195"/>
  <c r="J15" i="18" s="1"/>
  <c r="K15" s="1"/>
  <c r="AD115" i="5"/>
  <c r="E84"/>
  <c r="E93"/>
  <c r="E222"/>
  <c r="E356"/>
  <c r="M184" l="1"/>
  <c r="N184" s="1"/>
  <c r="J14" i="18"/>
  <c r="M222" i="5"/>
  <c r="N222" s="1"/>
  <c r="J18" i="18"/>
  <c r="K18" s="1"/>
  <c r="M231" i="5"/>
  <c r="N231" s="1"/>
  <c r="J20" i="18"/>
  <c r="K20" s="1"/>
  <c r="K17"/>
  <c r="AD32" i="5"/>
  <c r="AD6" s="1"/>
  <c r="I96"/>
  <c r="I92" s="1"/>
  <c r="I5" s="1"/>
  <c r="I4" s="1"/>
  <c r="AD96"/>
  <c r="AD92" s="1"/>
  <c r="AD83"/>
  <c r="K83"/>
  <c r="E88"/>
  <c r="M88" s="1"/>
  <c r="N88" s="1"/>
  <c r="H206"/>
  <c r="H205" s="1"/>
  <c r="H4" s="1"/>
  <c r="L5"/>
  <c r="L4" s="1"/>
  <c r="M64"/>
  <c r="N64" s="1"/>
  <c r="G6"/>
  <c r="G5" s="1"/>
  <c r="G4" s="1"/>
  <c r="M207"/>
  <c r="N207" s="1"/>
  <c r="AD206"/>
  <c r="AD205" s="1"/>
  <c r="M93"/>
  <c r="N93" s="1"/>
  <c r="F206"/>
  <c r="F205" s="1"/>
  <c r="F4" s="1"/>
  <c r="M195"/>
  <c r="N195" s="1"/>
  <c r="E170"/>
  <c r="E169" s="1"/>
  <c r="AD169"/>
  <c r="M145"/>
  <c r="N145" s="1"/>
  <c r="E139"/>
  <c r="M139" s="1"/>
  <c r="N139" s="1"/>
  <c r="K6"/>
  <c r="M84"/>
  <c r="N84" s="1"/>
  <c r="E119"/>
  <c r="M119" s="1"/>
  <c r="N119" s="1"/>
  <c r="M226"/>
  <c r="N226" s="1"/>
  <c r="E239"/>
  <c r="M356"/>
  <c r="N356" s="1"/>
  <c r="E355"/>
  <c r="J24" i="18" s="1"/>
  <c r="D6" i="5"/>
  <c r="D5" s="1"/>
  <c r="D4" s="1"/>
  <c r="E13"/>
  <c r="M247"/>
  <c r="E86"/>
  <c r="M86" s="1"/>
  <c r="N86" s="1"/>
  <c r="K24" i="18" l="1"/>
  <c r="K23" s="1"/>
  <c r="J23"/>
  <c r="K14"/>
  <c r="K12" s="1"/>
  <c r="J12"/>
  <c r="M239" i="5"/>
  <c r="N239" s="1"/>
  <c r="J21" i="18"/>
  <c r="K21" s="1"/>
  <c r="K16" s="1"/>
  <c r="E32" i="5"/>
  <c r="M32" s="1"/>
  <c r="N32" s="1"/>
  <c r="K5"/>
  <c r="K4" s="1"/>
  <c r="N247"/>
  <c r="M13"/>
  <c r="N13" s="1"/>
  <c r="AD5"/>
  <c r="M355"/>
  <c r="N355" s="1"/>
  <c r="E369"/>
  <c r="AD368"/>
  <c r="E206"/>
  <c r="E205" s="1"/>
  <c r="M169"/>
  <c r="N169" s="1"/>
  <c r="M170"/>
  <c r="N170" s="1"/>
  <c r="E83"/>
  <c r="M18"/>
  <c r="N18" s="1"/>
  <c r="E96"/>
  <c r="M372"/>
  <c r="N372" s="1"/>
  <c r="E371"/>
  <c r="M371" s="1"/>
  <c r="N371" s="1"/>
  <c r="J16" i="18" l="1"/>
  <c r="M83" i="5"/>
  <c r="N83" s="1"/>
  <c r="J10" i="18"/>
  <c r="E6" i="5"/>
  <c r="AD4"/>
  <c r="M206"/>
  <c r="M369"/>
  <c r="N369" s="1"/>
  <c r="E368"/>
  <c r="M368" s="1"/>
  <c r="N368" s="1"/>
  <c r="M96"/>
  <c r="N96" s="1"/>
  <c r="E92"/>
  <c r="M6" l="1"/>
  <c r="N6" s="1"/>
  <c r="J9" i="18"/>
  <c r="K9" s="1"/>
  <c r="M92" i="5"/>
  <c r="N92" s="1"/>
  <c r="J11" i="18"/>
  <c r="K11" s="1"/>
  <c r="K10"/>
  <c r="N206" i="5"/>
  <c r="M205"/>
  <c r="N205" s="1"/>
  <c r="E5"/>
  <c r="E4" s="1"/>
  <c r="J8" i="18" l="1"/>
  <c r="J7" s="1"/>
  <c r="K8"/>
  <c r="K7" s="1"/>
  <c r="M4" i="5"/>
  <c r="N4" s="1"/>
  <c r="M5"/>
  <c r="N5" s="1"/>
  <c r="X199" i="29"/>
  <c r="X4" s="1"/>
  <c r="G242" l="1"/>
  <c r="H242" s="1"/>
  <c r="F199"/>
  <c r="G241"/>
  <c r="H241" s="1"/>
  <c r="F4" l="1"/>
  <c r="E19" i="18"/>
  <c r="G199" i="29"/>
  <c r="E18" i="18" l="1"/>
  <c r="E7" s="1"/>
  <c r="F19"/>
  <c r="F18" s="1"/>
  <c r="F7" s="1"/>
  <c r="H199" i="29"/>
  <c r="G4"/>
  <c r="H4" s="1"/>
</calcChain>
</file>

<file path=xl/sharedStrings.xml><?xml version="1.0" encoding="utf-8"?>
<sst xmlns="http://schemas.openxmlformats.org/spreadsheetml/2006/main" count="3018" uniqueCount="986">
  <si>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</si>
  <si>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</si>
  <si>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</si>
  <si>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</si>
  <si>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</si>
  <si>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</si>
  <si>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</si>
  <si>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</si>
  <si>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</si>
  <si>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</si>
  <si>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</si>
  <si>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</si>
  <si>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</si>
  <si>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</si>
  <si>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</si>
  <si>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</si>
  <si>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</si>
  <si>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</si>
  <si>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</si>
  <si>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</si>
  <si>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</si>
  <si>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</si>
  <si>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</si>
  <si>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</si>
  <si>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</si>
  <si>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</si>
  <si>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</si>
  <si>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</si>
  <si>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</si>
  <si>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</si>
  <si>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</si>
  <si>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</si>
  <si>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</si>
  <si>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</si>
  <si>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</si>
  <si>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</si>
  <si>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</si>
  <si>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</si>
  <si>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</si>
  <si>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</si>
  <si>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</si>
  <si>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</si>
  <si>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</si>
  <si>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</si>
  <si>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</si>
  <si>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</si>
  <si>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</si>
  <si>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</si>
  <si>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</si>
  <si>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</si>
  <si>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</si>
  <si>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</si>
  <si>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</si>
  <si>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</si>
  <si>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</si>
  <si>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</si>
  <si>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</si>
  <si>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</si>
  <si>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</si>
  <si>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</si>
  <si>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</si>
  <si>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</si>
  <si>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</si>
  <si>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</si>
  <si>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</si>
  <si>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</si>
  <si>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</si>
  <si>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</si>
  <si>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</si>
  <si>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</si>
  <si>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</si>
  <si>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</si>
  <si>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</si>
  <si>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</si>
  <si>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</si>
  <si>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</si>
  <si>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</si>
  <si>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</si>
  <si>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</si>
  <si>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</si>
  <si>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</si>
  <si>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</si>
  <si>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</si>
  <si>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</si>
  <si>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</si>
  <si>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</si>
  <si>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</si>
  <si>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</si>
  <si>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</si>
  <si>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</si>
  <si>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</si>
  <si>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</si>
  <si>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</si>
  <si>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</si>
  <si>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</si>
  <si>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</si>
  <si>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</si>
  <si>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</si>
  <si>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</si>
  <si>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</si>
  <si>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</si>
  <si>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</si>
  <si>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</si>
  <si>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</si>
  <si>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</si>
  <si>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</si>
  <si>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</si>
  <si>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</si>
  <si>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</si>
  <si>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</si>
  <si>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</si>
  <si>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</si>
  <si>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</si>
  <si>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</si>
  <si>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</si>
  <si>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</si>
  <si>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</si>
  <si>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</si>
  <si>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</si>
  <si>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</si>
  <si>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</si>
  <si>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</si>
  <si>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</si>
  <si>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</si>
  <si>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</si>
  <si>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</si>
  <si>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</si>
  <si>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</si>
  <si>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</si>
  <si>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</si>
  <si>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</si>
  <si>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</si>
  <si>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</si>
  <si>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</si>
  <si>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</si>
  <si>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</si>
  <si>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</si>
  <si>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</si>
  <si>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</si>
  <si>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</si>
  <si>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</si>
  <si>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</si>
  <si>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</si>
  <si>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</si>
  <si>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</si>
  <si>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</si>
  <si>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</si>
  <si>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</si>
  <si>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</si>
  <si>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</si>
  <si>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</si>
  <si>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</si>
  <si>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</si>
  <si>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</si>
  <si>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</si>
  <si>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</si>
  <si>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</si>
  <si>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</si>
  <si>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</si>
  <si>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</si>
  <si>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</si>
  <si>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</si>
  <si>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</si>
  <si>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</si>
  <si>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</si>
  <si>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</si>
  <si>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</si>
  <si>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</si>
  <si>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</si>
  <si>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</si>
  <si>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</si>
  <si>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</si>
  <si>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</si>
  <si>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</si>
  <si>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</si>
  <si>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</si>
  <si>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</si>
  <si>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</si>
  <si>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</si>
  <si>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</si>
  <si>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</si>
  <si>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</si>
  <si>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</si>
  <si>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</si>
  <si>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</si>
  <si>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</si>
  <si>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</si>
  <si>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</si>
  <si>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</si>
  <si>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</si>
  <si>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</si>
  <si>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</si>
  <si>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</si>
  <si>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</si>
  <si>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</si>
  <si>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</si>
  <si>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</si>
  <si>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</si>
  <si>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</si>
  <si>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</si>
  <si>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</si>
  <si>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</si>
  <si>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</si>
  <si>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</si>
  <si>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</si>
  <si>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</si>
  <si>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</si>
  <si>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</si>
  <si>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</si>
  <si>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</si>
  <si>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</si>
  <si>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</si>
  <si>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</si>
  <si>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</si>
  <si>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</si>
  <si>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</si>
  <si>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</si>
  <si>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</si>
  <si>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</si>
  <si>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</si>
  <si>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</si>
  <si>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</si>
  <si>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</si>
  <si>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</si>
  <si>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</si>
  <si>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</si>
  <si>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</si>
  <si>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</si>
  <si>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</si>
  <si>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</si>
  <si>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</si>
  <si>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</si>
  <si>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</si>
  <si>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</si>
  <si>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</si>
  <si>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</si>
  <si>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</si>
  <si>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</si>
  <si>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</si>
  <si>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</si>
  <si>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</si>
  <si>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</si>
  <si>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</si>
  <si>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</si>
  <si>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</si>
  <si>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</si>
  <si>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</si>
  <si>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</si>
  <si>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</si>
  <si>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</si>
  <si>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</si>
  <si>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</si>
  <si>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</si>
  <si>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</si>
  <si>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</si>
  <si>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</si>
  <si>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</si>
  <si>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</si>
  <si>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</si>
  <si>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</si>
  <si>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</si>
  <si>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</si>
  <si>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</si>
  <si>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</si>
  <si>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</si>
  <si>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</si>
  <si>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</si>
  <si>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</si>
  <si>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</si>
  <si>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</si>
  <si>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</si>
  <si>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</si>
  <si>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</si>
  <si>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</si>
  <si>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</si>
  <si>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</si>
  <si>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</si>
  <si>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</si>
  <si>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</si>
  <si>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</si>
  <si>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</si>
  <si>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</si>
  <si>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</si>
  <si>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</si>
  <si>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</si>
  <si>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</si>
  <si>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</si>
  <si>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</si>
  <si>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</si>
  <si>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</si>
  <si>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</si>
  <si>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</si>
  <si>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</si>
  <si>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</si>
  <si>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</si>
  <si>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</si>
  <si>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</si>
  <si>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</si>
  <si>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</si>
  <si>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</si>
  <si>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</si>
  <si>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</si>
  <si>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</si>
  <si>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</si>
  <si>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</si>
  <si>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</si>
  <si>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</si>
  <si>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</si>
  <si>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</si>
  <si>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</si>
  <si>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</si>
  <si>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</si>
  <si>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</si>
  <si>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</si>
  <si>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</si>
  <si>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</si>
  <si>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</si>
  <si>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</si>
  <si>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</si>
  <si>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</si>
  <si>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</si>
  <si>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</si>
  <si>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</si>
  <si>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</si>
  <si>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</si>
  <si>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</si>
  <si>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</si>
  <si>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</si>
  <si>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</si>
  <si>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</si>
  <si>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</si>
  <si>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</si>
  <si>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</si>
  <si>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</si>
  <si>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</si>
  <si>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</si>
  <si>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</si>
  <si>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</si>
  <si>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</si>
  <si>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</si>
  <si>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</si>
  <si>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</si>
  <si>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</si>
  <si>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</si>
  <si>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</si>
  <si>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</si>
  <si>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</si>
  <si>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</si>
  <si>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</si>
  <si>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</si>
  <si>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</si>
  <si>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</si>
  <si>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</si>
  <si>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</si>
  <si>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</si>
  <si>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</si>
  <si>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</si>
  <si>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</si>
  <si>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</si>
  <si>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</si>
  <si>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</si>
  <si>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</si>
  <si>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</si>
  <si>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</si>
  <si>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</si>
  <si>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</si>
  <si>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</si>
  <si>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</si>
  <si>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</si>
  <si>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</si>
  <si>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</si>
  <si>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</si>
  <si>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</si>
  <si>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</si>
  <si>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</si>
  <si>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</si>
  <si>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</si>
  <si>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</si>
  <si>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</si>
  <si>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</si>
  <si>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</si>
  <si>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</si>
  <si>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</si>
  <si>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</si>
  <si>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</si>
  <si>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</si>
  <si>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</si>
  <si>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</si>
  <si>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</si>
  <si>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</si>
  <si>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</si>
  <si>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</si>
  <si>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</si>
  <si>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</si>
  <si>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</si>
  <si>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</si>
  <si>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</si>
  <si>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</si>
  <si>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</si>
  <si>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</si>
  <si>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</si>
  <si>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</si>
  <si>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</si>
  <si>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</si>
  <si>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</si>
  <si>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</si>
  <si>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</si>
  <si>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</si>
  <si>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</si>
  <si>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</si>
  <si>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</si>
  <si>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</si>
  <si>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</si>
  <si>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</si>
  <si>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</si>
  <si>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</si>
  <si>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</si>
  <si>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</si>
  <si>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</si>
  <si>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</si>
  <si>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</si>
  <si>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</si>
  <si>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</si>
  <si>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</si>
  <si>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</si>
  <si>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</si>
  <si>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</si>
  <si>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</si>
  <si>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</si>
  <si>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</si>
  <si>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</si>
  <si>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</si>
  <si>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</si>
  <si>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</si>
  <si>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</si>
  <si>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</si>
  <si>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</si>
  <si>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</si>
  <si>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</si>
  <si>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</si>
  <si>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</si>
  <si>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</si>
  <si>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</si>
  <si>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</si>
  <si>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</si>
  <si>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</si>
  <si>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</si>
  <si>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</si>
  <si>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</si>
  <si>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</si>
  <si>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</si>
  <si>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</si>
  <si>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</si>
  <si>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</si>
  <si>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</si>
  <si>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</si>
  <si>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</si>
  <si>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</si>
  <si>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</si>
  <si>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</si>
  <si>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</si>
  <si>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</si>
  <si>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</si>
  <si>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</si>
  <si>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</si>
  <si>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</si>
  <si>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</si>
  <si>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</si>
  <si>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</si>
  <si>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</si>
  <si>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</si>
  <si>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</si>
  <si>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</si>
  <si>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</si>
  <si>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</si>
  <si>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</si>
  <si>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</si>
  <si>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</si>
  <si>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</si>
  <si>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</si>
  <si>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</si>
  <si>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</si>
  <si>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</si>
  <si>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</si>
  <si>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</si>
  <si>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</si>
  <si>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</si>
  <si>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</si>
  <si>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</si>
  <si>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</si>
  <si>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</si>
  <si>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</si>
  <si>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</si>
  <si>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</si>
  <si>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</si>
  <si>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</si>
  <si>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</si>
  <si>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</si>
  <si>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</si>
  <si>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</si>
  <si>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</si>
  <si>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</si>
  <si>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</si>
  <si>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</si>
  <si>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</si>
  <si>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</si>
  <si>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</si>
  <si>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</si>
  <si>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</si>
  <si>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</si>
  <si>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</si>
  <si>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</si>
  <si>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</si>
  <si>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</si>
  <si>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</si>
  <si>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</si>
  <si>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</si>
  <si>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</si>
  <si>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</si>
  <si>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</si>
  <si>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</si>
  <si>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</si>
  <si>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</si>
  <si>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</si>
  <si>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</si>
  <si>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</si>
  <si>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</si>
  <si>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</si>
  <si>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</si>
  <si>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</si>
  <si>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</si>
  <si>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</si>
  <si>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</si>
  <si>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</si>
  <si>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</si>
  <si>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</si>
  <si>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</si>
  <si>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</si>
  <si>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</si>
  <si>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</si>
  <si>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</si>
  <si>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</si>
  <si>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</si>
  <si>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</si>
  <si>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</si>
  <si>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</si>
  <si>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</si>
  <si>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</si>
  <si>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</si>
  <si>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</si>
  <si>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</si>
  <si>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</si>
  <si>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</si>
  <si>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</si>
  <si>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</si>
  <si>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</si>
  <si>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</si>
  <si>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</si>
  <si>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</si>
  <si>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</si>
  <si>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*차량운영비</t>
    <phoneticPr fontId="7" type="noConversion"/>
  </si>
  <si>
    <t>원</t>
    <phoneticPr fontId="7" type="noConversion"/>
  </si>
  <si>
    <t>7종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</si>
  <si>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</si>
  <si>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</si>
  <si>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</si>
  <si>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</si>
  <si>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</si>
  <si>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</si>
  <si>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</si>
  <si>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</si>
  <si>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</si>
  <si>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</si>
  <si>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</si>
  <si>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</si>
  <si>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</si>
  <si>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</si>
  <si>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</si>
  <si>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</si>
  <si>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</si>
  <si>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</si>
  <si>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</si>
  <si>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</si>
  <si>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</si>
  <si>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</si>
  <si>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</si>
  <si>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</si>
  <si>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</si>
  <si>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</si>
  <si>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</si>
  <si>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</si>
  <si>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</si>
  <si>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</si>
  <si>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</si>
  <si>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</si>
  <si>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</si>
  <si>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</si>
  <si>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</si>
  <si>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</si>
  <si>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</si>
  <si>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</si>
  <si>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</si>
  <si>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</si>
  <si>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</si>
  <si>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</si>
  <si>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</si>
  <si>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</si>
  <si>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</si>
  <si>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</si>
  <si>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</si>
  <si>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</si>
  <si>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</si>
  <si>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</si>
  <si>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</si>
  <si>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</si>
  <si>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</si>
  <si>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</si>
  <si>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</si>
  <si>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</si>
  <si>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</si>
  <si>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</si>
  <si>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</si>
  <si>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</si>
  <si>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</si>
  <si>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</si>
  <si>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</si>
  <si>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</si>
  <si>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</si>
  <si>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</si>
  <si>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</si>
  <si>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3. 경로잔치</t>
    <phoneticPr fontId="7" type="noConversion"/>
  </si>
  <si>
    <t>5. 정규활동(몸짱)</t>
    <phoneticPr fontId="7" type="noConversion"/>
  </si>
  <si>
    <t>2. 종교활동(레지오)</t>
    <phoneticPr fontId="7" type="noConversion"/>
  </si>
  <si>
    <t>1. 자원봉사자 교육/연계프로그램</t>
    <phoneticPr fontId="7" type="noConversion"/>
  </si>
  <si>
    <t>(지정후원금)</t>
    <phoneticPr fontId="7" type="noConversion"/>
  </si>
  <si>
    <t>1. 마음의소리</t>
    <phoneticPr fontId="7" type="noConversion"/>
  </si>
  <si>
    <t>2. 스누젤렌</t>
    <phoneticPr fontId="7" type="noConversion"/>
  </si>
  <si>
    <t>3. 송년회</t>
    <phoneticPr fontId="7" type="noConversion"/>
  </si>
  <si>
    <t>4. 사회적응/여가활동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</si>
  <si>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</si>
  <si>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</si>
  <si>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</si>
  <si>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</si>
  <si>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</si>
  <si>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</si>
  <si>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</si>
  <si>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</si>
  <si>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</si>
  <si>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</si>
  <si>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</si>
  <si>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</si>
  <si>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</si>
  <si>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</si>
  <si>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</si>
  <si>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</si>
  <si>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</si>
  <si>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</si>
  <si>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</si>
  <si>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</si>
  <si>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</si>
  <si>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</si>
  <si>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</si>
  <si>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</si>
  <si>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</si>
  <si>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</si>
  <si>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</si>
  <si>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</si>
  <si>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</si>
  <si>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</si>
  <si>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</si>
  <si>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</si>
  <si>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</si>
  <si>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</si>
  <si>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</si>
  <si>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</si>
  <si>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</si>
  <si>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</si>
  <si>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(단위:천원)</t>
    <phoneticPr fontId="28" type="noConversion"/>
  </si>
  <si>
    <t>원</t>
    <phoneticPr fontId="7" type="noConversion"/>
  </si>
  <si>
    <t>후원</t>
    <phoneticPr fontId="7" type="noConversion"/>
  </si>
  <si>
    <t>④신원보증보험갱신</t>
    <phoneticPr fontId="7" type="noConversion"/>
  </si>
  <si>
    <t>5. 성탄행사(이용인선물)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</si>
  <si>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</si>
  <si>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</si>
  <si>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</si>
  <si>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</si>
  <si>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원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</si>
  <si>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</si>
  <si>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</si>
  <si>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</si>
  <si>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</si>
  <si>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</si>
  <si>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</si>
  <si>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</si>
  <si>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</si>
  <si>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</si>
  <si>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</si>
  <si>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</si>
  <si>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원</t>
    <phoneticPr fontId="7" type="noConversion"/>
  </si>
  <si>
    <t>법인</t>
    <phoneticPr fontId="7" type="noConversion"/>
  </si>
  <si>
    <t>1. 회의관련 다과비등</t>
    <phoneticPr fontId="7" type="noConversion"/>
  </si>
  <si>
    <t>후원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</si>
  <si>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</si>
  <si>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</si>
  <si>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</si>
  <si>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</si>
  <si>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</si>
  <si>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</si>
  <si>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</si>
  <si>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</si>
  <si>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>6.시설장여비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</si>
  <si>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</si>
  <si>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</si>
  <si>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</si>
  <si>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 xml:space="preserve">2.주방 보조인력 </t>
    <phoneticPr fontId="7" type="noConversion"/>
  </si>
  <si>
    <t>일</t>
    <phoneticPr fontId="7" type="noConversion"/>
  </si>
  <si>
    <t>6. 신규후원자개발</t>
    <phoneticPr fontId="7" type="noConversion"/>
  </si>
  <si>
    <t>2. 자원봉사자 나들이&amp;간담회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</si>
  <si>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</si>
  <si>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</si>
  <si>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</si>
  <si>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t>항 목</t>
    <phoneticPr fontId="7" type="noConversion"/>
  </si>
  <si>
    <t>금   액</t>
    <phoneticPr fontId="7" type="noConversion"/>
  </si>
  <si>
    <t>부담비율</t>
    <phoneticPr fontId="7" type="noConversion"/>
  </si>
  <si>
    <t>산출액</t>
    <phoneticPr fontId="7" type="noConversion"/>
  </si>
  <si>
    <t>산  출  내  역</t>
  </si>
  <si>
    <t>검증</t>
    <phoneticPr fontId="7" type="noConversion"/>
  </si>
  <si>
    <t>합계</t>
    <phoneticPr fontId="7" type="noConversion"/>
  </si>
  <si>
    <t>국비</t>
    <phoneticPr fontId="7" type="noConversion"/>
  </si>
  <si>
    <t>도비</t>
    <phoneticPr fontId="7" type="noConversion"/>
  </si>
  <si>
    <t>시비</t>
    <phoneticPr fontId="7" type="noConversion"/>
  </si>
  <si>
    <t>총 계</t>
    <phoneticPr fontId="7" type="noConversion"/>
  </si>
  <si>
    <t>생계비(주부식비)</t>
    <phoneticPr fontId="7" type="noConversion"/>
  </si>
  <si>
    <t>생계비(피복비)</t>
    <phoneticPr fontId="7" type="noConversion"/>
  </si>
  <si>
    <t>생계비(취사연료비)</t>
    <phoneticPr fontId="7" type="noConversion"/>
  </si>
  <si>
    <t>월동대책비</t>
    <phoneticPr fontId="7" type="noConversion"/>
  </si>
  <si>
    <t>특별위로금</t>
    <phoneticPr fontId="7" type="noConversion"/>
  </si>
  <si>
    <t>기능보강</t>
    <phoneticPr fontId="7" type="noConversion"/>
  </si>
  <si>
    <t>국비기능보강사업</t>
    <phoneticPr fontId="7" type="noConversion"/>
  </si>
  <si>
    <t xml:space="preserve"> * 건물외벽 공사(창호교체 등)</t>
    <phoneticPr fontId="7" type="noConversion"/>
  </si>
  <si>
    <t>기본급</t>
    <phoneticPr fontId="7" type="noConversion"/>
  </si>
  <si>
    <t>(인건비 산출내역 참조)</t>
    <phoneticPr fontId="7" type="noConversion"/>
  </si>
  <si>
    <t>명절휴가비</t>
    <phoneticPr fontId="7" type="noConversion"/>
  </si>
  <si>
    <t>가족수당</t>
    <phoneticPr fontId="7" type="noConversion"/>
  </si>
  <si>
    <t>연장근로수당</t>
    <phoneticPr fontId="7" type="noConversion"/>
  </si>
  <si>
    <t>퇴직금적립금</t>
    <phoneticPr fontId="7" type="noConversion"/>
  </si>
  <si>
    <t>국민연금부담금</t>
    <phoneticPr fontId="7" type="noConversion"/>
  </si>
  <si>
    <t>건강보험부담금</t>
    <phoneticPr fontId="7" type="noConversion"/>
  </si>
  <si>
    <t>장기요양보험부담금</t>
    <phoneticPr fontId="7" type="noConversion"/>
  </si>
  <si>
    <t>고용보험부담금</t>
    <phoneticPr fontId="7" type="noConversion"/>
  </si>
  <si>
    <t>산재보험부담금</t>
    <phoneticPr fontId="7" type="noConversion"/>
  </si>
  <si>
    <t>시설당 기본지원금</t>
    <phoneticPr fontId="7" type="noConversion"/>
  </si>
  <si>
    <t>거주장애인 가중지원</t>
    <phoneticPr fontId="7" type="noConversion"/>
  </si>
  <si>
    <t>입소자부식비</t>
    <phoneticPr fontId="7" type="noConversion"/>
  </si>
  <si>
    <t>입소자간식비</t>
    <phoneticPr fontId="7" type="noConversion"/>
  </si>
  <si>
    <t>입소자구료비
(특별피복비)</t>
    <phoneticPr fontId="7" type="noConversion"/>
  </si>
  <si>
    <t>입소자구료비
(특별급식비)</t>
    <phoneticPr fontId="7" type="noConversion"/>
  </si>
  <si>
    <t>입소자건강진단비</t>
    <phoneticPr fontId="7" type="noConversion"/>
  </si>
  <si>
    <t>차량운영비</t>
    <phoneticPr fontId="7" type="noConversion"/>
  </si>
  <si>
    <t>환경개선사업비</t>
    <phoneticPr fontId="7" type="noConversion"/>
  </si>
  <si>
    <t>간병인비</t>
    <phoneticPr fontId="7" type="noConversion"/>
  </si>
  <si>
    <t>경기도 재활P/G</t>
    <phoneticPr fontId="7" type="noConversion"/>
  </si>
  <si>
    <t>추가연장근로수당(5h)</t>
    <phoneticPr fontId="7" type="noConversion"/>
  </si>
  <si>
    <t>(일반직연장근로 5h분 산출내역 참조)</t>
    <phoneticPr fontId="7" type="noConversion"/>
  </si>
  <si>
    <t>순수시비</t>
    <phoneticPr fontId="7" type="noConversion"/>
  </si>
  <si>
    <t>직원건강진단비</t>
    <phoneticPr fontId="7" type="noConversion"/>
  </si>
  <si>
    <t>원</t>
    <phoneticPr fontId="7" type="noConversion"/>
  </si>
  <si>
    <t>회</t>
    <phoneticPr fontId="7" type="noConversion"/>
  </si>
  <si>
    <t>=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</si>
  <si>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</si>
  <si>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</si>
  <si>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</si>
  <si>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</si>
  <si>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</si>
  <si>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</si>
  <si>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</si>
  <si>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 xml:space="preserve">  *후원금 수입</t>
    <phoneticPr fontId="7" type="noConversion"/>
  </si>
  <si>
    <t>비지정</t>
    <phoneticPr fontId="7" type="noConversion"/>
  </si>
  <si>
    <t>* 직원하계수련회</t>
    <phoneticPr fontId="7" type="noConversion"/>
  </si>
  <si>
    <t>* 식권 수입(공익 등)</t>
    <phoneticPr fontId="7" type="noConversion"/>
  </si>
  <si>
    <t>* 사회복지 실습비</t>
    <phoneticPr fontId="7" type="noConversion"/>
  </si>
  <si>
    <t>* 기타 잡수입(공익실습비- 연2회)</t>
    <phoneticPr fontId="7" type="noConversion"/>
  </si>
  <si>
    <t xml:space="preserve"> * 공동모금회(사랑빚은)</t>
    <phoneticPr fontId="7" type="noConversion"/>
  </si>
  <si>
    <t>원</t>
    <phoneticPr fontId="7" type="noConversion"/>
  </si>
  <si>
    <t xml:space="preserve"> * 연합모금(설계비)</t>
    <phoneticPr fontId="7" type="noConversion"/>
  </si>
  <si>
    <t xml:space="preserve"> * 서울교구(화장실 개보수등)</t>
    <phoneticPr fontId="7" type="noConversion"/>
  </si>
  <si>
    <t xml:space="preserve"> * 감동드림프로젝트</t>
    <phoneticPr fontId="7" type="noConversion"/>
  </si>
  <si>
    <t>* 명절선물구입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</si>
  <si>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</si>
  <si>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</si>
  <si>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</si>
  <si>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</si>
  <si>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</si>
  <si>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</si>
  <si>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후원</t>
    <phoneticPr fontId="7" type="noConversion"/>
  </si>
  <si>
    <t>* 직원 연찬회</t>
    <phoneticPr fontId="7" type="noConversion"/>
  </si>
  <si>
    <t>잡수</t>
    <phoneticPr fontId="7" type="noConversion"/>
  </si>
  <si>
    <t>* 경장협 종사자 체육대회</t>
    <phoneticPr fontId="7" type="noConversion"/>
  </si>
  <si>
    <t>* 스승의날/가정의달 직원선물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</si>
  <si>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</si>
  <si>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</si>
  <si>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</si>
  <si>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직원독감 예방접종(지정후원금)</t>
    <phoneticPr fontId="7" type="noConversion"/>
  </si>
  <si>
    <t>* 직원하계수련회비용</t>
    <phoneticPr fontId="7" type="noConversion"/>
  </si>
  <si>
    <t>* 조리원, 영양사 위생복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</si>
  <si>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</si>
  <si>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</si>
  <si>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</si>
  <si>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</si>
  <si>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보조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</si>
  <si>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</si>
  <si>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</si>
  <si>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</si>
  <si>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원</t>
    <phoneticPr fontId="7" type="noConversion"/>
  </si>
  <si>
    <t>(지정후원금)</t>
    <phoneticPr fontId="7" type="noConversion"/>
  </si>
  <si>
    <t>입소</t>
    <phoneticPr fontId="7" type="noConversion"/>
  </si>
  <si>
    <t>월</t>
    <phoneticPr fontId="7" type="noConversion"/>
  </si>
  <si>
    <t>(생계비)</t>
    <phoneticPr fontId="7" type="noConversion"/>
  </si>
  <si>
    <t>2. 환경미화</t>
    <phoneticPr fontId="7" type="noConversion"/>
  </si>
  <si>
    <t>3. 이용인 송년회</t>
    <phoneticPr fontId="7" type="noConversion"/>
  </si>
  <si>
    <t>2. 부모여행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</si>
  <si>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</si>
  <si>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</si>
  <si>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</si>
  <si>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4. 비둘기캠프</t>
    <phoneticPr fontId="7" type="noConversion"/>
  </si>
  <si>
    <t>5. 경기도장애인체육대회</t>
    <phoneticPr fontId="7" type="noConversion"/>
  </si>
  <si>
    <t>2. 사랑채 여가누리</t>
    <phoneticPr fontId="7" type="noConversion"/>
  </si>
  <si>
    <t>소  계 :</t>
    <phoneticPr fontId="7" type="noConversion"/>
  </si>
  <si>
    <t>1. 마라톤 대회 참가</t>
    <phoneticPr fontId="7" type="noConversion"/>
  </si>
  <si>
    <t>2. 재활치료(통증/수중치료)</t>
    <phoneticPr fontId="7" type="noConversion"/>
  </si>
  <si>
    <t>4. BMW</t>
    <phoneticPr fontId="7" type="noConversion"/>
  </si>
  <si>
    <t>* 직원 단체복 구입</t>
    <phoneticPr fontId="7" type="noConversion"/>
  </si>
  <si>
    <t>* 10년 장기근속자 포상(3명)</t>
    <phoneticPr fontId="7" type="noConversion"/>
  </si>
  <si>
    <t>* 야간근로자 특수건강검진(18명)</t>
    <phoneticPr fontId="7" type="noConversion"/>
  </si>
  <si>
    <t>* 퇴직자 선물 및 기타경비(10회)</t>
    <phoneticPr fontId="7" type="noConversion"/>
  </si>
  <si>
    <t>3. 예산심의 사업계획수립(실무자워크숍)</t>
    <phoneticPr fontId="7" type="noConversion"/>
  </si>
  <si>
    <t>1. 제주도여행(하늘채)</t>
    <phoneticPr fontId="7" type="noConversion"/>
  </si>
  <si>
    <t>* 10년 장기근속자(3명)</t>
    <phoneticPr fontId="7" type="noConversion"/>
  </si>
  <si>
    <t>* 직원윤리경영교육</t>
    <phoneticPr fontId="7" type="noConversion"/>
  </si>
  <si>
    <t>원</t>
    <phoneticPr fontId="7" type="noConversion"/>
  </si>
  <si>
    <t>* 하계직원교육</t>
    <phoneticPr fontId="7" type="noConversion"/>
  </si>
  <si>
    <t>* 역량강화교육</t>
    <phoneticPr fontId="7" type="noConversion"/>
  </si>
  <si>
    <t>* 직원외부교육(직무교육,보수교육,연찬회,피정)</t>
    <phoneticPr fontId="7" type="noConversion"/>
  </si>
  <si>
    <t>* 여비</t>
    <phoneticPr fontId="7" type="noConversion"/>
  </si>
  <si>
    <t>2. 명절행사(추석)</t>
    <phoneticPr fontId="7" type="noConversion"/>
  </si>
  <si>
    <t>5. 이용인 회갑연</t>
    <phoneticPr fontId="7" type="noConversion"/>
  </si>
  <si>
    <t>원</t>
    <phoneticPr fontId="7" type="noConversion"/>
  </si>
  <si>
    <t>6. 미귀가생프로그램</t>
    <phoneticPr fontId="7" type="noConversion"/>
  </si>
  <si>
    <t>3. 여름캠프</t>
    <phoneticPr fontId="7" type="noConversion"/>
  </si>
  <si>
    <t>6. 경장협 작품전시회</t>
    <phoneticPr fontId="7" type="noConversion"/>
  </si>
  <si>
    <t>7. 실습생관리</t>
    <phoneticPr fontId="7" type="noConversion"/>
  </si>
  <si>
    <t>1. 사회적응(하늘)</t>
    <phoneticPr fontId="7" type="noConversion"/>
  </si>
  <si>
    <t>2. 사회적응(사랑)</t>
    <phoneticPr fontId="7" type="noConversion"/>
  </si>
  <si>
    <t>3. 사회적응(아름)</t>
    <phoneticPr fontId="7" type="noConversion"/>
  </si>
  <si>
    <t>프로그램</t>
    <phoneticPr fontId="7" type="noConversion"/>
  </si>
  <si>
    <t>1. 태권도(수원시장애인체육회 지원)</t>
    <phoneticPr fontId="7" type="noConversion"/>
  </si>
  <si>
    <t>2. 재활승마(수원시복지기금)</t>
    <phoneticPr fontId="7" type="noConversion"/>
  </si>
  <si>
    <t>3. 장애인한마음체육대회</t>
    <phoneticPr fontId="7" type="noConversion"/>
  </si>
  <si>
    <t>개별지원</t>
    <phoneticPr fontId="7" type="noConversion"/>
  </si>
  <si>
    <t>서비스 및</t>
    <phoneticPr fontId="7" type="noConversion"/>
  </si>
  <si>
    <t>여가활동</t>
    <phoneticPr fontId="7" type="noConversion"/>
  </si>
  <si>
    <t>1. 하늘채 여가누리</t>
    <phoneticPr fontId="7" type="noConversion"/>
  </si>
  <si>
    <t>3. 아름채 여가누리</t>
    <phoneticPr fontId="7" type="noConversion"/>
  </si>
  <si>
    <t>4. 사랑빚은(공동모금회)</t>
    <phoneticPr fontId="7" type="noConversion"/>
  </si>
  <si>
    <t>5. 봉사동아리</t>
    <phoneticPr fontId="7" type="noConversion"/>
  </si>
  <si>
    <t>6. 문화센터이용</t>
    <phoneticPr fontId="7" type="noConversion"/>
  </si>
  <si>
    <t>4. 사회적응(해외문화탐방)</t>
    <phoneticPr fontId="7" type="noConversion"/>
  </si>
  <si>
    <t>5. 행복공장</t>
    <phoneticPr fontId="7" type="noConversion"/>
  </si>
  <si>
    <t>6. 자립준비가정</t>
    <phoneticPr fontId="7" type="noConversion"/>
  </si>
  <si>
    <t>7. 금전관리교육</t>
    <phoneticPr fontId="7" type="noConversion"/>
  </si>
  <si>
    <t>법인</t>
    <phoneticPr fontId="7" type="noConversion"/>
  </si>
  <si>
    <t>7. 생일프로그램</t>
    <phoneticPr fontId="7" type="noConversion"/>
  </si>
  <si>
    <t>5. 생일프로그램</t>
    <phoneticPr fontId="7" type="noConversion"/>
  </si>
  <si>
    <t>6. 자립가정체험(요리활동)</t>
    <phoneticPr fontId="7" type="noConversion"/>
  </si>
  <si>
    <t>6. 계절별여행</t>
    <phoneticPr fontId="7" type="noConversion"/>
  </si>
  <si>
    <t>3. 육상필드(전국하계대회)</t>
    <phoneticPr fontId="7" type="noConversion"/>
  </si>
  <si>
    <t>3. 푸드트럭 'café바다'</t>
    <phoneticPr fontId="7" type="noConversion"/>
  </si>
  <si>
    <t xml:space="preserve">   감동프로젝트</t>
    <phoneticPr fontId="7" type="noConversion"/>
  </si>
  <si>
    <t>8. 지역사회초청의 날</t>
    <phoneticPr fontId="7" type="noConversion"/>
  </si>
  <si>
    <t>원</t>
    <phoneticPr fontId="7" type="noConversion"/>
  </si>
  <si>
    <t>회</t>
    <phoneticPr fontId="7" type="noConversion"/>
  </si>
  <si>
    <t>3. 도시락이벤트/쿠킹클래스(영양)</t>
    <phoneticPr fontId="7" type="noConversion"/>
  </si>
  <si>
    <t>잡수</t>
    <phoneticPr fontId="7" type="noConversion"/>
  </si>
  <si>
    <t>8. 기관방문(2회)/영양팀 포함예산</t>
    <phoneticPr fontId="7" type="noConversion"/>
  </si>
  <si>
    <t>2.회의용 테이블,의자</t>
    <phoneticPr fontId="7" type="noConversion"/>
  </si>
  <si>
    <t>4.소방방화문 설치공사</t>
    <phoneticPr fontId="7" type="noConversion"/>
  </si>
  <si>
    <t>6. 화장실개보수(서울교구)</t>
    <phoneticPr fontId="7" type="noConversion"/>
  </si>
  <si>
    <t>7. 4층 리모델링공사(서울교구)</t>
    <phoneticPr fontId="7" type="noConversion"/>
  </si>
  <si>
    <t>5. 시설물안전관리(2회)</t>
    <phoneticPr fontId="7" type="noConversion"/>
  </si>
  <si>
    <t>①자동차보험료(32인승, 25인승, 12인승, 레이,니로, 모닝, 스타렉스 12인승)</t>
    <phoneticPr fontId="7" type="noConversion"/>
  </si>
  <si>
    <t>후원</t>
    <phoneticPr fontId="7" type="noConversion"/>
  </si>
  <si>
    <t xml:space="preserve">  (폐기물스티커/맨홀청소/물탱크청소 등)</t>
    <phoneticPr fontId="7" type="noConversion"/>
  </si>
  <si>
    <t xml:space="preserve"> * 수원시복지기금(재활승마)</t>
    <phoneticPr fontId="7" type="noConversion"/>
  </si>
  <si>
    <t>수원시 장애인복지 
지원사업(재활승마)</t>
    <phoneticPr fontId="7" type="noConversion"/>
  </si>
  <si>
    <t>7종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</si>
  <si>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</si>
  <si>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</si>
  <si>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</si>
  <si>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입소</t>
    <phoneticPr fontId="7" type="noConversion"/>
  </si>
  <si>
    <t>2. 세탁세제구입 등</t>
    <phoneticPr fontId="7" type="noConversion"/>
  </si>
  <si>
    <t xml:space="preserve"> * 예금이자(수원시복지기금)</t>
    <phoneticPr fontId="7" type="noConversion"/>
  </si>
  <si>
    <t>1. 인권지킴이단 운영(후원금 2,850,000원/보조금 800,000원</t>
    <phoneticPr fontId="7" type="noConversion"/>
  </si>
  <si>
    <t>5.이용인/직원/봉사자 등 구충제</t>
    <phoneticPr fontId="7" type="noConversion"/>
  </si>
  <si>
    <t>7. 일반전기요금/ 상하수도요금 자부담 보충액</t>
    <phoneticPr fontId="7" type="noConversion"/>
  </si>
  <si>
    <t>원</t>
    <phoneticPr fontId="7" type="noConversion"/>
  </si>
  <si>
    <t xml:space="preserve"> * 법인전입금이월액(후원금)</t>
    <phoneticPr fontId="7" type="noConversion"/>
  </si>
  <si>
    <t>2020년 1차추경 예산 보조금 산출내역 및 국도비 부담비율</t>
    <phoneticPr fontId="7" type="noConversion"/>
  </si>
  <si>
    <t xml:space="preserve"> * 시설개보수</t>
    <phoneticPr fontId="7" type="noConversion"/>
  </si>
  <si>
    <t xml:space="preserve"> * 로타리클럽(푸드트럭)</t>
    <phoneticPr fontId="7" type="noConversion"/>
  </si>
  <si>
    <t>1. 시설비</t>
    <phoneticPr fontId="7" type="noConversion"/>
  </si>
  <si>
    <t>시설비 합계 :</t>
    <phoneticPr fontId="7" type="noConversion"/>
  </si>
  <si>
    <t xml:space="preserve"> * 배관관로 변경공사</t>
    <phoneticPr fontId="7" type="noConversion"/>
  </si>
  <si>
    <t xml:space="preserve"> * 주방공사</t>
    <phoneticPr fontId="7" type="noConversion"/>
  </si>
  <si>
    <t xml:space="preserve"> * 32인승 차량 매각</t>
    <phoneticPr fontId="7" type="noConversion"/>
  </si>
  <si>
    <t>월</t>
    <phoneticPr fontId="7" type="noConversion"/>
  </si>
  <si>
    <t>□ 2020년도 1차 추경예산 세 입 · 세 출 총  괄  표</t>
    <phoneticPr fontId="28" type="noConversion"/>
  </si>
  <si>
    <t>2020년
본예산</t>
    <phoneticPr fontId="28" type="noConversion"/>
  </si>
  <si>
    <t>2020년
1차 추경예산</t>
    <phoneticPr fontId="28" type="noConversion"/>
  </si>
  <si>
    <t xml:space="preserve"> * 연합모금(주방공사)</t>
    <phoneticPr fontId="7" type="noConversion"/>
  </si>
  <si>
    <t xml:space="preserve"> *일용잡금(고용보험)</t>
    <phoneticPr fontId="7" type="noConversion"/>
  </si>
  <si>
    <t>2.일용잡급 사회보험료</t>
    <phoneticPr fontId="7" type="noConversion"/>
  </si>
  <si>
    <t>2020년
본예산
(A)
(단위:천원)</t>
    <phoneticPr fontId="7" type="noConversion"/>
  </si>
  <si>
    <t>2020년 1차 추경예산액(B)         (단위:천원)</t>
    <phoneticPr fontId="7" type="noConversion"/>
  </si>
  <si>
    <t>법인</t>
    <phoneticPr fontId="7" type="noConversion"/>
  </si>
  <si>
    <t>원</t>
    <phoneticPr fontId="7" type="noConversion"/>
  </si>
  <si>
    <t xml:space="preserve"> 가.추가 연장야간근로수당(5h)</t>
    <phoneticPr fontId="7" type="noConversion"/>
  </si>
  <si>
    <t xml:space="preserve"> 나.추가 연장야간근로수당(5h)(법인전입금이월금)</t>
    <phoneticPr fontId="7" type="noConversion"/>
  </si>
  <si>
    <t>2020년
1차추경예산
(B)
(단위:천원)</t>
    <phoneticPr fontId="7" type="noConversion"/>
  </si>
  <si>
    <t>&lt;2020년도 1차추경예산 세입내역&gt;</t>
    <phoneticPr fontId="7" type="noConversion"/>
  </si>
  <si>
    <t>(지정후원금)</t>
    <phoneticPr fontId="7" type="noConversion"/>
  </si>
  <si>
    <t>후원</t>
    <phoneticPr fontId="7" type="noConversion"/>
  </si>
  <si>
    <t>원</t>
    <phoneticPr fontId="7" type="noConversion"/>
  </si>
  <si>
    <t>8. 푸드트럭'café바다'</t>
    <phoneticPr fontId="7" type="noConversion"/>
  </si>
  <si>
    <t>후원</t>
    <phoneticPr fontId="7" type="noConversion"/>
  </si>
  <si>
    <t>7. 자원개발(아나바다)</t>
    <phoneticPr fontId="7" type="noConversion"/>
  </si>
  <si>
    <t>9. 후원자관리</t>
    <phoneticPr fontId="7" type="noConversion"/>
  </si>
  <si>
    <t>6. 작업치료</t>
    <phoneticPr fontId="7" type="noConversion"/>
  </si>
  <si>
    <t>입소</t>
    <phoneticPr fontId="7" type="noConversion"/>
  </si>
  <si>
    <t>입소</t>
    <phoneticPr fontId="7" type="noConversion"/>
  </si>
  <si>
    <t>* 직원야유회(1회)</t>
    <phoneticPr fontId="7" type="noConversion"/>
  </si>
  <si>
    <t>1. 주방증축공사</t>
    <phoneticPr fontId="7" type="noConversion"/>
  </si>
  <si>
    <t xml:space="preserve"> * 설계공사</t>
    <phoneticPr fontId="7" type="noConversion"/>
  </si>
  <si>
    <t>후원</t>
    <phoneticPr fontId="7" type="noConversion"/>
  </si>
  <si>
    <t>(연합모금/지정후원금)</t>
    <phoneticPr fontId="7" type="noConversion"/>
  </si>
  <si>
    <t xml:space="preserve"> * 건축공사</t>
    <phoneticPr fontId="7" type="noConversion"/>
  </si>
  <si>
    <t>(연합모금/지정후원금)</t>
    <phoneticPr fontId="7" type="noConversion"/>
  </si>
  <si>
    <t>(바보나눔/지정후원금)</t>
    <phoneticPr fontId="7" type="noConversion"/>
  </si>
  <si>
    <t>법인</t>
    <phoneticPr fontId="7" type="noConversion"/>
  </si>
  <si>
    <t xml:space="preserve"> * 배관공사</t>
    <phoneticPr fontId="7" type="noConversion"/>
  </si>
  <si>
    <t xml:space="preserve"> * 기계설비공사</t>
    <phoneticPr fontId="7" type="noConversion"/>
  </si>
  <si>
    <t xml:space="preserve"> * 옥외배관공사</t>
    <phoneticPr fontId="7" type="noConversion"/>
  </si>
  <si>
    <t>(시설개보수/지정후원금)</t>
    <phoneticPr fontId="7" type="noConversion"/>
  </si>
  <si>
    <t xml:space="preserve"> * 전기공사</t>
    <phoneticPr fontId="7" type="noConversion"/>
  </si>
  <si>
    <t>(시설개보수/지정후원금)</t>
    <phoneticPr fontId="7" type="noConversion"/>
  </si>
  <si>
    <t>후원</t>
    <phoneticPr fontId="7" type="noConversion"/>
  </si>
  <si>
    <t>원</t>
    <phoneticPr fontId="7" type="noConversion"/>
  </si>
  <si>
    <t>3. 주방집기</t>
    <phoneticPr fontId="7" type="noConversion"/>
  </si>
  <si>
    <t>법인</t>
    <phoneticPr fontId="7" type="noConversion"/>
  </si>
  <si>
    <t>4. 작업치료실/소프로그램실 수납장 등</t>
    <phoneticPr fontId="7" type="noConversion"/>
  </si>
  <si>
    <t xml:space="preserve"> * 기타</t>
    <phoneticPr fontId="7" type="noConversion"/>
  </si>
  <si>
    <t xml:space="preserve"> * 기타공사</t>
    <phoneticPr fontId="7" type="noConversion"/>
  </si>
  <si>
    <t>5. 작업치료실 책상/컴퓨터등</t>
    <phoneticPr fontId="7" type="noConversion"/>
  </si>
  <si>
    <t>6. 야외용 테이블(2개)</t>
    <phoneticPr fontId="7" type="noConversion"/>
  </si>
  <si>
    <t>7. 체험홈 소독기 등</t>
    <phoneticPr fontId="7" type="noConversion"/>
  </si>
  <si>
    <t>8. 지정맥인식기</t>
    <phoneticPr fontId="7" type="noConversion"/>
  </si>
  <si>
    <t>9. 기타 자산취득비</t>
    <phoneticPr fontId="7" type="noConversion"/>
  </si>
  <si>
    <t>후원</t>
    <phoneticPr fontId="7" type="noConversion"/>
  </si>
  <si>
    <t>원</t>
    <phoneticPr fontId="7" type="noConversion"/>
  </si>
  <si>
    <t>(지정후원금/부모회)</t>
    <phoneticPr fontId="7" type="noConversion"/>
  </si>
  <si>
    <t>2. 주방가스요금</t>
    <phoneticPr fontId="7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</si>
  <si>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7" type="noConversion"/>
  </si>
  <si>
    <t>후원</t>
    <phoneticPr fontId="7" type="noConversion"/>
  </si>
  <si>
    <t>* 입소비용환급(장기 귀가이용인)</t>
    <phoneticPr fontId="7" type="noConversion"/>
  </si>
  <si>
    <t>&lt;2020년도 1차추경예산 세출내역&gt;</t>
    <phoneticPr fontId="7" type="noConversion"/>
  </si>
  <si>
    <t xml:space="preserve"> * 일일바자회(시설개보수)</t>
    <phoneticPr fontId="7" type="noConversion"/>
  </si>
  <si>
    <t>원</t>
    <phoneticPr fontId="7" type="noConversion"/>
  </si>
  <si>
    <t xml:space="preserve"> * 시설개보수</t>
    <phoneticPr fontId="7" type="noConversion"/>
  </si>
  <si>
    <t>(일일바자회/지정후원금)</t>
    <phoneticPr fontId="7" type="noConversion"/>
  </si>
  <si>
    <t>후원</t>
    <phoneticPr fontId="7" type="noConversion"/>
  </si>
  <si>
    <t xml:space="preserve"> *경상보조금 35명</t>
    <phoneticPr fontId="7" type="noConversion"/>
  </si>
  <si>
    <t>&lt;인건비 : 35명&gt;</t>
    <phoneticPr fontId="7" type="noConversion"/>
  </si>
  <si>
    <t xml:space="preserve"> *경상보조금 35명</t>
    <phoneticPr fontId="7" type="noConversion"/>
  </si>
  <si>
    <t>1.경상보조금 (종사자35명)</t>
    <phoneticPr fontId="7" type="noConversion"/>
  </si>
  <si>
    <t xml:space="preserve"> A.경상보조금 35명</t>
    <phoneticPr fontId="7" type="noConversion"/>
  </si>
  <si>
    <t>1.경상보조금 35명</t>
    <phoneticPr fontId="7" type="noConversion"/>
  </si>
  <si>
    <t>6.일용잡급고용보험정산(연말정산분)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</si>
</sst>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73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0" applyFont="1" applyFill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0" fontId="51" fillId="2" borderId="20" xfId="0" applyFont="1" applyFill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 wrapText="1"/>
    </xf>
    <xf numFmtId="41" fontId="51" fillId="3" borderId="20" xfId="0" applyNumberFormat="1" applyFont="1" applyFill="1" applyBorder="1" applyAlignment="1">
      <alignment horizontal="center" vertical="center"/>
    </xf>
    <xf numFmtId="0" fontId="51" fillId="3" borderId="20" xfId="0" applyFont="1" applyFill="1" applyBorder="1" applyAlignment="1">
      <alignment horizontal="center" vertical="center" wrapText="1"/>
    </xf>
    <xf numFmtId="0" fontId="51" fillId="3" borderId="20" xfId="0" applyFont="1" applyFill="1" applyBorder="1" applyAlignment="1">
      <alignment horizontal="center" vertical="center"/>
    </xf>
    <xf numFmtId="0" fontId="51" fillId="3" borderId="41" xfId="0" applyFont="1" applyFill="1" applyBorder="1" applyAlignment="1">
      <alignment horizontal="center" vertical="center"/>
    </xf>
    <xf numFmtId="0" fontId="51" fillId="3" borderId="53" xfId="0" applyFont="1" applyFill="1" applyBorder="1" applyAlignment="1">
      <alignment horizontal="center" vertical="center"/>
    </xf>
    <xf numFmtId="0" fontId="51" fillId="3" borderId="19" xfId="0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vertical="center"/>
    </xf>
    <xf numFmtId="41" fontId="52" fillId="4" borderId="20" xfId="2" applyFont="1" applyFill="1" applyBorder="1" applyAlignment="1">
      <alignment vertical="center"/>
    </xf>
    <xf numFmtId="41" fontId="52" fillId="0" borderId="20" xfId="2" applyFont="1" applyFill="1" applyBorder="1" applyAlignment="1">
      <alignment vertical="center"/>
    </xf>
    <xf numFmtId="9" fontId="52" fillId="0" borderId="20" xfId="1" applyFont="1" applyFill="1" applyBorder="1" applyAlignment="1">
      <alignment vertical="center"/>
    </xf>
    <xf numFmtId="41" fontId="52" fillId="5" borderId="20" xfId="2" applyFont="1" applyFill="1" applyBorder="1" applyAlignment="1">
      <alignment vertical="center"/>
    </xf>
    <xf numFmtId="176" fontId="52" fillId="0" borderId="41" xfId="3" applyNumberFormat="1" applyFont="1" applyFill="1" applyBorder="1" applyAlignment="1">
      <alignment horizontal="center" vertical="center"/>
    </xf>
    <xf numFmtId="176" fontId="52" fillId="0" borderId="53" xfId="3" applyNumberFormat="1" applyFont="1" applyFill="1" applyBorder="1" applyAlignment="1">
      <alignment vertical="center"/>
    </xf>
    <xf numFmtId="0" fontId="52" fillId="0" borderId="53" xfId="3" applyFont="1" applyFill="1" applyBorder="1" applyAlignment="1">
      <alignment horizontal="center" vertical="center"/>
    </xf>
    <xf numFmtId="176" fontId="22" fillId="0" borderId="53" xfId="3" applyNumberFormat="1" applyFont="1" applyFill="1" applyBorder="1" applyAlignment="1">
      <alignment vertical="center"/>
    </xf>
    <xf numFmtId="176" fontId="52" fillId="0" borderId="19" xfId="3" applyNumberFormat="1" applyFont="1" applyFill="1" applyBorder="1" applyAlignment="1">
      <alignment vertical="center"/>
    </xf>
    <xf numFmtId="0" fontId="52" fillId="6" borderId="20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/>
    </xf>
    <xf numFmtId="41" fontId="48" fillId="4" borderId="20" xfId="2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41" fontId="48" fillId="5" borderId="20" xfId="2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3" xfId="3" applyNumberFormat="1" applyFont="1" applyFill="1" applyBorder="1" applyAlignment="1">
      <alignment vertical="center"/>
    </xf>
    <xf numFmtId="0" fontId="48" fillId="0" borderId="53" xfId="3" applyFont="1" applyFill="1" applyBorder="1" applyAlignment="1">
      <alignment horizontal="center" vertical="center"/>
    </xf>
    <xf numFmtId="176" fontId="48" fillId="0" borderId="19" xfId="3" applyNumberFormat="1" applyFont="1" applyFill="1" applyBorder="1" applyAlignment="1">
      <alignment vertical="center"/>
    </xf>
    <xf numFmtId="0" fontId="48" fillId="6" borderId="20" xfId="0" applyFont="1" applyFill="1" applyBorder="1" applyAlignment="1">
      <alignment horizontal="center" vertical="center"/>
    </xf>
    <xf numFmtId="176" fontId="40" fillId="0" borderId="41" xfId="3" applyNumberFormat="1" applyFont="1" applyFill="1" applyBorder="1" applyAlignment="1">
      <alignment horizontal="center" vertical="center"/>
    </xf>
    <xf numFmtId="176" fontId="40" fillId="0" borderId="53" xfId="3" applyNumberFormat="1" applyFont="1" applyFill="1" applyBorder="1" applyAlignment="1">
      <alignment vertical="center"/>
    </xf>
    <xf numFmtId="0" fontId="40" fillId="0" borderId="53" xfId="3" applyFont="1" applyFill="1" applyBorder="1" applyAlignment="1">
      <alignment horizontal="center" vertical="center"/>
    </xf>
    <xf numFmtId="176" fontId="40" fillId="0" borderId="19" xfId="3" applyNumberFormat="1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left" vertical="center"/>
    </xf>
    <xf numFmtId="42" fontId="22" fillId="0" borderId="53" xfId="3" applyNumberFormat="1" applyFont="1" applyFill="1" applyBorder="1" applyAlignment="1">
      <alignment horizontal="left" vertical="center"/>
    </xf>
    <xf numFmtId="9" fontId="22" fillId="0" borderId="53" xfId="1" applyFont="1" applyFill="1" applyBorder="1" applyAlignment="1">
      <alignment horizontal="right" vertical="center"/>
    </xf>
    <xf numFmtId="176" fontId="22" fillId="0" borderId="53" xfId="3" applyNumberFormat="1" applyFont="1" applyFill="1" applyBorder="1" applyAlignment="1">
      <alignment horizontal="left" vertical="center"/>
    </xf>
    <xf numFmtId="180" fontId="22" fillId="0" borderId="53" xfId="2" applyNumberFormat="1" applyFont="1" applyFill="1" applyBorder="1" applyAlignment="1">
      <alignment vertical="center"/>
    </xf>
    <xf numFmtId="41" fontId="22" fillId="0" borderId="53" xfId="2" applyFont="1" applyFill="1" applyBorder="1" applyAlignment="1">
      <alignment vertical="center"/>
    </xf>
    <xf numFmtId="176" fontId="22" fillId="0" borderId="19" xfId="3" applyNumberFormat="1" applyFont="1" applyFill="1" applyBorder="1" applyAlignment="1">
      <alignment horizontal="center" vertical="center"/>
    </xf>
    <xf numFmtId="189" fontId="52" fillId="0" borderId="20" xfId="1" applyNumberFormat="1" applyFont="1" applyFill="1" applyBorder="1" applyAlignment="1">
      <alignment vertical="center"/>
    </xf>
    <xf numFmtId="0" fontId="52" fillId="0" borderId="41" xfId="0" applyFont="1" applyFill="1" applyBorder="1" applyAlignment="1">
      <alignment horizontal="center" vertical="center"/>
    </xf>
    <xf numFmtId="0" fontId="52" fillId="0" borderId="53" xfId="0" applyFont="1" applyFill="1" applyBorder="1" applyAlignment="1">
      <alignment vertical="center"/>
    </xf>
    <xf numFmtId="0" fontId="52" fillId="0" borderId="19" xfId="0" applyFont="1" applyFill="1" applyBorder="1" applyAlignment="1">
      <alignment vertical="center"/>
    </xf>
    <xf numFmtId="176" fontId="52" fillId="0" borderId="53" xfId="3" applyNumberFormat="1" applyFont="1" applyFill="1" applyBorder="1" applyAlignment="1">
      <alignment horizontal="left" vertical="center"/>
    </xf>
    <xf numFmtId="176" fontId="52" fillId="0" borderId="53" xfId="3" applyNumberFormat="1" applyFont="1" applyFill="1" applyBorder="1" applyAlignment="1">
      <alignment horizontal="center" vertical="center"/>
    </xf>
    <xf numFmtId="181" fontId="52" fillId="0" borderId="53" xfId="1" applyNumberFormat="1" applyFont="1" applyFill="1" applyBorder="1" applyAlignment="1">
      <alignment vertical="center"/>
    </xf>
    <xf numFmtId="42" fontId="52" fillId="0" borderId="53" xfId="3" applyNumberFormat="1" applyFont="1" applyFill="1" applyBorder="1" applyAlignment="1">
      <alignment horizontal="left" vertical="center"/>
    </xf>
    <xf numFmtId="42" fontId="52" fillId="0" borderId="53" xfId="3" applyNumberFormat="1" applyFont="1" applyFill="1" applyBorder="1" applyAlignment="1">
      <alignment horizontal="center" vertical="center"/>
    </xf>
    <xf numFmtId="9" fontId="52" fillId="0" borderId="53" xfId="1" applyFont="1" applyFill="1" applyBorder="1" applyAlignment="1">
      <alignment horizontal="center" vertical="center"/>
    </xf>
    <xf numFmtId="183" fontId="52" fillId="0" borderId="53" xfId="1" applyNumberFormat="1" applyFont="1" applyFill="1" applyBorder="1" applyAlignment="1">
      <alignment horizontal="center" vertical="center"/>
    </xf>
    <xf numFmtId="178" fontId="22" fillId="0" borderId="19" xfId="0" applyNumberFormat="1" applyFont="1" applyBorder="1">
      <alignment vertical="center"/>
    </xf>
    <xf numFmtId="184" fontId="52" fillId="0" borderId="53" xfId="1" applyNumberFormat="1" applyFont="1" applyFill="1" applyBorder="1" applyAlignment="1">
      <alignment horizontal="center" vertical="center"/>
    </xf>
    <xf numFmtId="10" fontId="52" fillId="0" borderId="53" xfId="1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8" fontId="52" fillId="0" borderId="53" xfId="1" applyNumberFormat="1" applyFont="1" applyFill="1" applyBorder="1" applyAlignment="1">
      <alignment horizontal="center" vertical="center"/>
    </xf>
    <xf numFmtId="189" fontId="52" fillId="0" borderId="53" xfId="1" applyNumberFormat="1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vertical="center" wrapText="1"/>
    </xf>
    <xf numFmtId="0" fontId="40" fillId="0" borderId="53" xfId="3" applyFont="1" applyFill="1" applyBorder="1" applyAlignment="1">
      <alignment vertical="center"/>
    </xf>
    <xf numFmtId="0" fontId="52" fillId="0" borderId="53" xfId="3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center" vertical="center"/>
    </xf>
    <xf numFmtId="0" fontId="22" fillId="0" borderId="53" xfId="3" applyFont="1" applyFill="1" applyBorder="1" applyAlignment="1">
      <alignment vertical="center"/>
    </xf>
    <xf numFmtId="0" fontId="52" fillId="0" borderId="41" xfId="0" applyFont="1" applyFill="1" applyBorder="1" applyAlignment="1">
      <alignment horizontal="left" vertical="center"/>
    </xf>
    <xf numFmtId="176" fontId="40" fillId="0" borderId="53" xfId="3" applyNumberFormat="1" applyFont="1" applyFill="1" applyBorder="1" applyAlignment="1">
      <alignment horizontal="center" vertical="center"/>
    </xf>
    <xf numFmtId="42" fontId="40" fillId="0" borderId="53" xfId="3" applyNumberFormat="1" applyFont="1" applyFill="1" applyBorder="1" applyAlignment="1">
      <alignment horizontal="center" vertical="center"/>
    </xf>
    <xf numFmtId="178" fontId="40" fillId="0" borderId="53" xfId="3" applyNumberFormat="1" applyFont="1" applyFill="1" applyBorder="1" applyAlignment="1">
      <alignment horizontal="center" vertical="center"/>
    </xf>
    <xf numFmtId="180" fontId="40" fillId="0" borderId="53" xfId="2" applyNumberFormat="1" applyFont="1" applyFill="1" applyBorder="1" applyAlignment="1">
      <alignment horizontal="center" vertical="center"/>
    </xf>
    <xf numFmtId="178" fontId="40" fillId="0" borderId="53" xfId="0" applyNumberFormat="1" applyFont="1" applyBorder="1">
      <alignment vertical="center"/>
    </xf>
    <xf numFmtId="178" fontId="40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52" fillId="0" borderId="0" xfId="2" applyFont="1" applyFill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52" fillId="0" borderId="5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7" fontId="35" fillId="0" borderId="13" xfId="3" applyNumberFormat="1" applyFont="1" applyFill="1" applyBorder="1" applyAlignment="1">
      <alignment horizontal="right" vertical="center"/>
    </xf>
    <xf numFmtId="176" fontId="35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26" fillId="0" borderId="0" xfId="0" applyNumberFormat="1" applyFont="1" applyFill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38" fontId="26" fillId="0" borderId="20" xfId="3" applyNumberFormat="1" applyFont="1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4" fillId="7" borderId="5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24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53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1" fontId="8" fillId="0" borderId="0" xfId="2" applyFont="1" applyFill="1" applyAlignment="1">
      <alignment horizontal="center" vertical="center"/>
    </xf>
    <xf numFmtId="41" fontId="11" fillId="0" borderId="0" xfId="2" applyFont="1" applyFill="1" applyAlignment="1">
      <alignment vertical="center"/>
    </xf>
    <xf numFmtId="41" fontId="13" fillId="0" borderId="0" xfId="2" applyFont="1" applyFill="1" applyAlignment="1">
      <alignment vertical="center"/>
    </xf>
    <xf numFmtId="41" fontId="49" fillId="0" borderId="0" xfId="2" applyFont="1" applyFill="1" applyAlignment="1">
      <alignment vertical="center"/>
    </xf>
    <xf numFmtId="41" fontId="12" fillId="0" borderId="0" xfId="2" applyFont="1" applyFill="1" applyAlignment="1">
      <alignment vertical="center"/>
    </xf>
    <xf numFmtId="41" fontId="8" fillId="0" borderId="0" xfId="2" applyFont="1" applyFill="1">
      <alignment vertical="center"/>
    </xf>
    <xf numFmtId="41" fontId="49" fillId="0" borderId="0" xfId="2" applyFont="1" applyFill="1">
      <alignment vertical="center"/>
    </xf>
    <xf numFmtId="41" fontId="8" fillId="5" borderId="0" xfId="2" applyFont="1" applyFill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horizontal="center" vertical="center"/>
    </xf>
    <xf numFmtId="0" fontId="51" fillId="3" borderId="41" xfId="0" applyFont="1" applyFill="1" applyBorder="1" applyAlignment="1">
      <alignment horizontal="center" vertical="center"/>
    </xf>
    <xf numFmtId="0" fontId="51" fillId="3" borderId="19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51" fillId="2" borderId="20" xfId="0" applyFont="1" applyFill="1" applyBorder="1" applyAlignment="1">
      <alignment horizontal="center" vertical="center"/>
    </xf>
    <xf numFmtId="0" fontId="51" fillId="2" borderId="41" xfId="0" applyFont="1" applyFill="1" applyBorder="1" applyAlignment="1">
      <alignment horizontal="center" vertical="center"/>
    </xf>
    <xf numFmtId="0" fontId="51" fillId="2" borderId="53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D11" sqref="D11"/>
    </sheetView>
  </sheetViews>
  <sheetFormatPr defaultRowHeight="16.5"/>
  <cols>
    <col min="1" max="1" width="1.44140625" style="183" customWidth="1"/>
    <col min="2" max="2" width="11.5546875" style="183" bestFit="1" customWidth="1"/>
    <col min="3" max="3" width="13.33203125" style="183" bestFit="1" customWidth="1"/>
    <col min="4" max="5" width="18" style="183" bestFit="1" customWidth="1"/>
    <col min="6" max="6" width="16" style="183" bestFit="1" customWidth="1"/>
    <col min="7" max="7" width="9.6640625" style="183" bestFit="1" customWidth="1"/>
    <col min="8" max="8" width="13.33203125" style="183" bestFit="1" customWidth="1"/>
    <col min="9" max="10" width="18" style="183" bestFit="1" customWidth="1"/>
    <col min="11" max="11" width="16" style="183" bestFit="1" customWidth="1"/>
    <col min="12" max="16384" width="8.88671875" style="183"/>
  </cols>
  <sheetData>
    <row r="1" spans="2:11" ht="9.9499999999999993" customHeight="1"/>
    <row r="2" spans="2:11" ht="26.25">
      <c r="B2" s="184" t="s">
        <v>915</v>
      </c>
      <c r="K2" s="185" t="s">
        <v>677</v>
      </c>
    </row>
    <row r="3" spans="2:11" ht="9.9499999999999993" customHeight="1" thickBot="1"/>
    <row r="4" spans="2:11" ht="30" customHeight="1">
      <c r="B4" s="801" t="s">
        <v>156</v>
      </c>
      <c r="C4" s="802"/>
      <c r="D4" s="802"/>
      <c r="E4" s="802"/>
      <c r="F4" s="803"/>
      <c r="G4" s="801" t="s">
        <v>157</v>
      </c>
      <c r="H4" s="802"/>
      <c r="I4" s="802"/>
      <c r="J4" s="802"/>
      <c r="K4" s="804"/>
    </row>
    <row r="5" spans="2:11" ht="16.5" customHeight="1">
      <c r="B5" s="805" t="s">
        <v>158</v>
      </c>
      <c r="C5" s="806"/>
      <c r="D5" s="809" t="s">
        <v>916</v>
      </c>
      <c r="E5" s="809" t="s">
        <v>917</v>
      </c>
      <c r="F5" s="811" t="s">
        <v>159</v>
      </c>
      <c r="G5" s="805" t="s">
        <v>158</v>
      </c>
      <c r="H5" s="806"/>
      <c r="I5" s="809" t="s">
        <v>916</v>
      </c>
      <c r="J5" s="809" t="s">
        <v>917</v>
      </c>
      <c r="K5" s="813" t="s">
        <v>159</v>
      </c>
    </row>
    <row r="6" spans="2:11" ht="22.5" customHeight="1" thickBot="1">
      <c r="B6" s="807"/>
      <c r="C6" s="808"/>
      <c r="D6" s="810"/>
      <c r="E6" s="810"/>
      <c r="F6" s="812"/>
      <c r="G6" s="807"/>
      <c r="H6" s="808"/>
      <c r="I6" s="810"/>
      <c r="J6" s="810"/>
      <c r="K6" s="814"/>
    </row>
    <row r="7" spans="2:11" ht="24.95" customHeight="1" thickTop="1">
      <c r="B7" s="793" t="s">
        <v>160</v>
      </c>
      <c r="C7" s="794"/>
      <c r="D7" s="408">
        <f>SUM(D8:D23)/2</f>
        <v>2531631</v>
      </c>
      <c r="E7" s="408">
        <f>SUM(E8:E23)/2</f>
        <v>2588369</v>
      </c>
      <c r="F7" s="409">
        <f>SUM(F8:F23)/2</f>
        <v>56738</v>
      </c>
      <c r="G7" s="793" t="s">
        <v>160</v>
      </c>
      <c r="H7" s="794"/>
      <c r="I7" s="408">
        <f>SUM(I8:I28)/2</f>
        <v>2531631</v>
      </c>
      <c r="J7" s="408">
        <f>SUM(J8:J28)/2</f>
        <v>2588369</v>
      </c>
      <c r="K7" s="410">
        <f>SUM(K8:K28)/2</f>
        <v>56738</v>
      </c>
    </row>
    <row r="8" spans="2:11" ht="24.95" customHeight="1">
      <c r="B8" s="795" t="s">
        <v>161</v>
      </c>
      <c r="C8" s="411" t="s">
        <v>287</v>
      </c>
      <c r="D8" s="412">
        <f>D9</f>
        <v>117600</v>
      </c>
      <c r="E8" s="412">
        <f>E9</f>
        <v>116900</v>
      </c>
      <c r="F8" s="413">
        <f>F9</f>
        <v>-700</v>
      </c>
      <c r="G8" s="795" t="s">
        <v>163</v>
      </c>
      <c r="H8" s="411" t="s">
        <v>287</v>
      </c>
      <c r="I8" s="412">
        <f>SUM(I9:I11)</f>
        <v>2036430</v>
      </c>
      <c r="J8" s="412">
        <f>SUM(J9:J11)</f>
        <v>1973321</v>
      </c>
      <c r="K8" s="417">
        <f>SUM(K9:K11)</f>
        <v>-63109</v>
      </c>
    </row>
    <row r="9" spans="2:11" ht="24.95" customHeight="1">
      <c r="B9" s="796"/>
      <c r="C9" s="186" t="s">
        <v>162</v>
      </c>
      <c r="D9" s="187">
        <v>117600</v>
      </c>
      <c r="E9" s="187">
        <f>세입!F5</f>
        <v>116900</v>
      </c>
      <c r="F9" s="188">
        <f>E9-D9</f>
        <v>-700</v>
      </c>
      <c r="G9" s="797"/>
      <c r="H9" s="186" t="s">
        <v>164</v>
      </c>
      <c r="I9" s="187">
        <v>1933136</v>
      </c>
      <c r="J9" s="187">
        <f>세출!E6</f>
        <v>1875289</v>
      </c>
      <c r="K9" s="189">
        <f>J9-I9</f>
        <v>-57847</v>
      </c>
    </row>
    <row r="10" spans="2:11" ht="24.95" customHeight="1">
      <c r="B10" s="795" t="s">
        <v>165</v>
      </c>
      <c r="C10" s="414" t="s">
        <v>287</v>
      </c>
      <c r="D10" s="415">
        <f>SUM(D11:D14)</f>
        <v>2109307</v>
      </c>
      <c r="E10" s="415">
        <f>SUM(E11:E14)</f>
        <v>2058447</v>
      </c>
      <c r="F10" s="416">
        <f>SUM(F11:F14)</f>
        <v>-50860</v>
      </c>
      <c r="G10" s="797"/>
      <c r="H10" s="186" t="s">
        <v>166</v>
      </c>
      <c r="I10" s="187">
        <v>2080</v>
      </c>
      <c r="J10" s="187">
        <f>세출!E83</f>
        <v>2080</v>
      </c>
      <c r="K10" s="189">
        <f>J10-I10</f>
        <v>0</v>
      </c>
    </row>
    <row r="11" spans="2:11" ht="24.95" customHeight="1">
      <c r="B11" s="797"/>
      <c r="C11" s="268" t="s">
        <v>190</v>
      </c>
      <c r="D11" s="187">
        <v>1366503</v>
      </c>
      <c r="E11" s="187">
        <f>세입!F13</f>
        <v>1332883</v>
      </c>
      <c r="F11" s="188">
        <f t="shared" ref="F11:F23" si="0">E11-D11</f>
        <v>-33620</v>
      </c>
      <c r="G11" s="796"/>
      <c r="H11" s="186" t="s">
        <v>91</v>
      </c>
      <c r="I11" s="187">
        <v>101214</v>
      </c>
      <c r="J11" s="187">
        <f>세출!E92</f>
        <v>95952</v>
      </c>
      <c r="K11" s="189">
        <f>J11-I11</f>
        <v>-5262</v>
      </c>
    </row>
    <row r="12" spans="2:11" ht="24.95" customHeight="1">
      <c r="B12" s="797"/>
      <c r="C12" s="268" t="s">
        <v>191</v>
      </c>
      <c r="D12" s="187">
        <v>117467</v>
      </c>
      <c r="E12" s="187">
        <f>세입!F42</f>
        <v>114762</v>
      </c>
      <c r="F12" s="188">
        <f t="shared" si="0"/>
        <v>-2705</v>
      </c>
      <c r="G12" s="795" t="s">
        <v>92</v>
      </c>
      <c r="H12" s="414" t="s">
        <v>287</v>
      </c>
      <c r="I12" s="415">
        <f>SUM(I13:I15)</f>
        <v>82112</v>
      </c>
      <c r="J12" s="415">
        <f>SUM(J13:J15)</f>
        <v>215843</v>
      </c>
      <c r="K12" s="418">
        <f>SUM(K13:K15)</f>
        <v>133731</v>
      </c>
    </row>
    <row r="13" spans="2:11" ht="24.95" customHeight="1">
      <c r="B13" s="797"/>
      <c r="C13" s="268" t="s">
        <v>192</v>
      </c>
      <c r="D13" s="187">
        <v>625337</v>
      </c>
      <c r="E13" s="187">
        <f>세입!F106</f>
        <v>610802</v>
      </c>
      <c r="F13" s="188">
        <f>E13-D13</f>
        <v>-14535</v>
      </c>
      <c r="G13" s="797"/>
      <c r="H13" s="186" t="s">
        <v>93</v>
      </c>
      <c r="I13" s="187">
        <v>0</v>
      </c>
      <c r="J13" s="187">
        <f>세출!E171</f>
        <v>182615</v>
      </c>
      <c r="K13" s="189">
        <f>J13-I13</f>
        <v>182615</v>
      </c>
    </row>
    <row r="14" spans="2:11" ht="24.95" customHeight="1">
      <c r="B14" s="796"/>
      <c r="C14" s="503" t="s">
        <v>511</v>
      </c>
      <c r="D14" s="187">
        <v>0</v>
      </c>
      <c r="E14" s="187">
        <v>0</v>
      </c>
      <c r="F14" s="188">
        <f t="shared" si="0"/>
        <v>0</v>
      </c>
      <c r="G14" s="797"/>
      <c r="H14" s="186" t="s">
        <v>96</v>
      </c>
      <c r="I14" s="187">
        <v>12200</v>
      </c>
      <c r="J14" s="187">
        <f>세출!E184</f>
        <v>28316</v>
      </c>
      <c r="K14" s="189">
        <f>J14-I14</f>
        <v>16116</v>
      </c>
    </row>
    <row r="15" spans="2:11" ht="24.95" customHeight="1">
      <c r="B15" s="795" t="s">
        <v>94</v>
      </c>
      <c r="C15" s="414" t="s">
        <v>287</v>
      </c>
      <c r="D15" s="415">
        <f>SUM(D16:D17)</f>
        <v>163152</v>
      </c>
      <c r="E15" s="415">
        <f>SUM(E16:E17)</f>
        <v>251160</v>
      </c>
      <c r="F15" s="416">
        <f>SUM(F16:F17)</f>
        <v>88008</v>
      </c>
      <c r="G15" s="796"/>
      <c r="H15" s="186" t="s">
        <v>98</v>
      </c>
      <c r="I15" s="187">
        <v>69912</v>
      </c>
      <c r="J15" s="187">
        <f>세출!E195</f>
        <v>4912</v>
      </c>
      <c r="K15" s="189">
        <f>J15-I15</f>
        <v>-65000</v>
      </c>
    </row>
    <row r="16" spans="2:11" ht="24.95" customHeight="1">
      <c r="B16" s="797"/>
      <c r="C16" s="186" t="s">
        <v>95</v>
      </c>
      <c r="D16" s="187">
        <v>72992</v>
      </c>
      <c r="E16" s="187">
        <f>세입!F172</f>
        <v>171000</v>
      </c>
      <c r="F16" s="188">
        <f t="shared" si="0"/>
        <v>98008</v>
      </c>
      <c r="G16" s="795" t="s">
        <v>101</v>
      </c>
      <c r="H16" s="414" t="s">
        <v>287</v>
      </c>
      <c r="I16" s="415">
        <f>SUM(I17:I22)</f>
        <v>412849</v>
      </c>
      <c r="J16" s="415">
        <f>SUM(J17:J22)</f>
        <v>398965</v>
      </c>
      <c r="K16" s="418">
        <f>SUM(K17:K22)</f>
        <v>-13884</v>
      </c>
    </row>
    <row r="17" spans="2:11" ht="24.95" customHeight="1">
      <c r="B17" s="796"/>
      <c r="C17" s="186" t="s">
        <v>97</v>
      </c>
      <c r="D17" s="187">
        <v>90160</v>
      </c>
      <c r="E17" s="187">
        <f>세입!F187</f>
        <v>80160</v>
      </c>
      <c r="F17" s="188">
        <f t="shared" si="0"/>
        <v>-10000</v>
      </c>
      <c r="G17" s="797"/>
      <c r="H17" s="186" t="s">
        <v>102</v>
      </c>
      <c r="I17" s="187">
        <v>226234</v>
      </c>
      <c r="J17" s="187">
        <f>세출!E207</f>
        <v>225796</v>
      </c>
      <c r="K17" s="189">
        <f t="shared" ref="K17:K22" si="1">J17-I17</f>
        <v>-438</v>
      </c>
    </row>
    <row r="18" spans="2:11" ht="24.95" customHeight="1">
      <c r="B18" s="795" t="s">
        <v>99</v>
      </c>
      <c r="C18" s="414" t="s">
        <v>287</v>
      </c>
      <c r="D18" s="415">
        <f>D19</f>
        <v>43607</v>
      </c>
      <c r="E18" s="415">
        <f>E19</f>
        <v>73814</v>
      </c>
      <c r="F18" s="416">
        <f>F19</f>
        <v>30207</v>
      </c>
      <c r="G18" s="797"/>
      <c r="H18" s="186" t="s">
        <v>105</v>
      </c>
      <c r="I18" s="187">
        <v>7773</v>
      </c>
      <c r="J18" s="187">
        <f>세출!E222</f>
        <v>7773</v>
      </c>
      <c r="K18" s="189">
        <f t="shared" si="1"/>
        <v>0</v>
      </c>
    </row>
    <row r="19" spans="2:11" ht="24.95" customHeight="1">
      <c r="B19" s="796"/>
      <c r="C19" s="186" t="s">
        <v>100</v>
      </c>
      <c r="D19" s="187">
        <v>43607</v>
      </c>
      <c r="E19" s="187">
        <f>세입!F199</f>
        <v>73814</v>
      </c>
      <c r="F19" s="188">
        <f t="shared" si="0"/>
        <v>30207</v>
      </c>
      <c r="G19" s="797"/>
      <c r="H19" s="186" t="s">
        <v>108</v>
      </c>
      <c r="I19" s="187">
        <v>16640</v>
      </c>
      <c r="J19" s="187">
        <f>세출!E226</f>
        <v>16640</v>
      </c>
      <c r="K19" s="189">
        <f t="shared" si="1"/>
        <v>0</v>
      </c>
    </row>
    <row r="20" spans="2:11" ht="24.95" customHeight="1">
      <c r="B20" s="795" t="s">
        <v>103</v>
      </c>
      <c r="C20" s="414" t="s">
        <v>287</v>
      </c>
      <c r="D20" s="415">
        <f>D21</f>
        <v>41567</v>
      </c>
      <c r="E20" s="415">
        <f>E21</f>
        <v>34690</v>
      </c>
      <c r="F20" s="416">
        <f>F21</f>
        <v>-6877</v>
      </c>
      <c r="G20" s="797"/>
      <c r="H20" s="186" t="s">
        <v>109</v>
      </c>
      <c r="I20" s="187">
        <v>18480</v>
      </c>
      <c r="J20" s="187">
        <f>세출!E231</f>
        <v>18480</v>
      </c>
      <c r="K20" s="189">
        <f t="shared" si="1"/>
        <v>0</v>
      </c>
    </row>
    <row r="21" spans="2:11" ht="24.95" customHeight="1">
      <c r="B21" s="796"/>
      <c r="C21" s="186" t="s">
        <v>104</v>
      </c>
      <c r="D21" s="187">
        <v>41567</v>
      </c>
      <c r="E21" s="187">
        <f>세입!F248</f>
        <v>34690</v>
      </c>
      <c r="F21" s="188">
        <f t="shared" si="0"/>
        <v>-6877</v>
      </c>
      <c r="G21" s="797"/>
      <c r="H21" s="186" t="s">
        <v>110</v>
      </c>
      <c r="I21" s="187">
        <v>22715</v>
      </c>
      <c r="J21" s="187">
        <f>세출!E239</f>
        <v>21905</v>
      </c>
      <c r="K21" s="189">
        <f t="shared" si="1"/>
        <v>-810</v>
      </c>
    </row>
    <row r="22" spans="2:11" ht="24.95" customHeight="1">
      <c r="B22" s="795" t="s">
        <v>106</v>
      </c>
      <c r="C22" s="414" t="s">
        <v>287</v>
      </c>
      <c r="D22" s="415">
        <f>D23</f>
        <v>56398</v>
      </c>
      <c r="E22" s="415">
        <f>E23</f>
        <v>53358</v>
      </c>
      <c r="F22" s="416">
        <f>F23</f>
        <v>-3040</v>
      </c>
      <c r="G22" s="796"/>
      <c r="H22" s="186" t="s">
        <v>111</v>
      </c>
      <c r="I22" s="187">
        <v>121007</v>
      </c>
      <c r="J22" s="187">
        <f>세출!E247</f>
        <v>108371</v>
      </c>
      <c r="K22" s="189">
        <f t="shared" si="1"/>
        <v>-12636</v>
      </c>
    </row>
    <row r="23" spans="2:11" ht="24.95" customHeight="1">
      <c r="B23" s="796"/>
      <c r="C23" s="186" t="s">
        <v>107</v>
      </c>
      <c r="D23" s="187">
        <v>56398</v>
      </c>
      <c r="E23" s="187">
        <f>세입!F273</f>
        <v>53358</v>
      </c>
      <c r="F23" s="188">
        <f t="shared" si="0"/>
        <v>-3040</v>
      </c>
      <c r="G23" s="799" t="s">
        <v>154</v>
      </c>
      <c r="H23" s="414" t="s">
        <v>287</v>
      </c>
      <c r="I23" s="415">
        <f>I24</f>
        <v>240</v>
      </c>
      <c r="J23" s="415">
        <f>J24</f>
        <v>240</v>
      </c>
      <c r="K23" s="418">
        <f>K24</f>
        <v>0</v>
      </c>
    </row>
    <row r="24" spans="2:11" ht="24.95" customHeight="1">
      <c r="B24" s="504"/>
      <c r="C24" s="505"/>
      <c r="D24" s="505"/>
      <c r="E24" s="505"/>
      <c r="F24" s="505"/>
      <c r="G24" s="800"/>
      <c r="H24" s="186" t="s">
        <v>112</v>
      </c>
      <c r="I24" s="187">
        <v>240</v>
      </c>
      <c r="J24" s="187">
        <f>세출!E355</f>
        <v>240</v>
      </c>
      <c r="K24" s="189">
        <f>J24-I24</f>
        <v>0</v>
      </c>
    </row>
    <row r="25" spans="2:11" ht="24.95" customHeight="1">
      <c r="B25" s="506"/>
      <c r="C25" s="507"/>
      <c r="D25" s="507"/>
      <c r="E25" s="507"/>
      <c r="F25" s="507"/>
      <c r="G25" s="795" t="s">
        <v>113</v>
      </c>
      <c r="H25" s="414" t="s">
        <v>287</v>
      </c>
      <c r="I25" s="415">
        <v>0</v>
      </c>
      <c r="J25" s="415">
        <f>J26</f>
        <v>0</v>
      </c>
      <c r="K25" s="418">
        <f>K26</f>
        <v>0</v>
      </c>
    </row>
    <row r="26" spans="2:11" ht="24.95" customHeight="1">
      <c r="B26" s="506"/>
      <c r="C26" s="507"/>
      <c r="D26" s="507"/>
      <c r="E26" s="507"/>
      <c r="F26" s="507"/>
      <c r="G26" s="796"/>
      <c r="H26" s="186" t="s">
        <v>114</v>
      </c>
      <c r="I26" s="187">
        <v>0</v>
      </c>
      <c r="J26" s="187">
        <v>0</v>
      </c>
      <c r="K26" s="189">
        <f>J26-I26</f>
        <v>0</v>
      </c>
    </row>
    <row r="27" spans="2:11" ht="24.95" customHeight="1">
      <c r="B27" s="506"/>
      <c r="C27" s="507"/>
      <c r="D27" s="507"/>
      <c r="E27" s="507"/>
      <c r="F27" s="507"/>
      <c r="G27" s="795" t="s">
        <v>115</v>
      </c>
      <c r="H27" s="414" t="s">
        <v>287</v>
      </c>
      <c r="I27" s="415">
        <f>I28</f>
        <v>0</v>
      </c>
      <c r="J27" s="415">
        <f>J28</f>
        <v>0</v>
      </c>
      <c r="K27" s="418">
        <f>K28</f>
        <v>0</v>
      </c>
    </row>
    <row r="28" spans="2:11" ht="24.95" customHeight="1" thickBot="1">
      <c r="B28" s="508"/>
      <c r="C28" s="509"/>
      <c r="D28" s="509"/>
      <c r="E28" s="509"/>
      <c r="F28" s="509"/>
      <c r="G28" s="798"/>
      <c r="H28" s="190" t="s">
        <v>116</v>
      </c>
      <c r="I28" s="191">
        <v>0</v>
      </c>
      <c r="J28" s="191">
        <v>0</v>
      </c>
      <c r="K28" s="192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1"/>
  <sheetViews>
    <sheetView tabSelected="1" zoomScale="85" zoomScaleNormal="85" workbookViewId="0">
      <pane xSplit="4" ySplit="4" topLeftCell="E256" activePane="bottomRight" state="frozen"/>
      <selection pane="topRight" activeCell="E1" sqref="E1"/>
      <selection pane="bottomLeft" activeCell="A5" sqref="A5"/>
      <selection pane="bottomRight" activeCell="X244" sqref="X24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8" customWidth="1"/>
    <col min="6" max="6" width="9.44140625" style="8" bestFit="1" customWidth="1"/>
    <col min="7" max="7" width="9.44140625" style="9" bestFit="1" customWidth="1"/>
    <col min="8" max="8" width="6.6640625" style="11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16384" width="13.77734375" style="1"/>
  </cols>
  <sheetData>
    <row r="1" spans="1:25" s="10" customFormat="1" ht="19.5" customHeight="1" thickBot="1">
      <c r="A1" s="823" t="s">
        <v>928</v>
      </c>
      <c r="B1" s="823"/>
      <c r="C1" s="823"/>
      <c r="D1" s="823"/>
      <c r="E1" s="8"/>
      <c r="F1" s="8"/>
      <c r="G1" s="9"/>
      <c r="H1" s="1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27" customHeight="1">
      <c r="A2" s="824" t="s">
        <v>509</v>
      </c>
      <c r="B2" s="825"/>
      <c r="C2" s="825"/>
      <c r="D2" s="825"/>
      <c r="E2" s="821" t="s">
        <v>921</v>
      </c>
      <c r="F2" s="821" t="s">
        <v>927</v>
      </c>
      <c r="G2" s="829" t="s">
        <v>23</v>
      </c>
      <c r="H2" s="829"/>
      <c r="I2" s="829" t="s">
        <v>508</v>
      </c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30"/>
    </row>
    <row r="3" spans="1:25" s="3" customFormat="1" ht="32.25" customHeight="1" thickBot="1">
      <c r="A3" s="19" t="s">
        <v>1</v>
      </c>
      <c r="B3" s="20" t="s">
        <v>2</v>
      </c>
      <c r="C3" s="20" t="s">
        <v>507</v>
      </c>
      <c r="D3" s="20" t="s">
        <v>506</v>
      </c>
      <c r="E3" s="822"/>
      <c r="F3" s="822"/>
      <c r="G3" s="137" t="s">
        <v>505</v>
      </c>
      <c r="H3" s="21" t="s">
        <v>4</v>
      </c>
      <c r="I3" s="831"/>
      <c r="J3" s="831"/>
      <c r="K3" s="831"/>
      <c r="L3" s="831"/>
      <c r="M3" s="831"/>
      <c r="N3" s="831"/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2"/>
    </row>
    <row r="4" spans="1:25" s="3" customFormat="1" ht="19.5" customHeight="1">
      <c r="A4" s="826" t="s">
        <v>24</v>
      </c>
      <c r="B4" s="827"/>
      <c r="C4" s="827"/>
      <c r="D4" s="828"/>
      <c r="E4" s="214">
        <f>SUM(E5,E8,E10,E12,E171,E192,E199,E248,E273)</f>
        <v>2531631</v>
      </c>
      <c r="F4" s="214">
        <f>SUM(F5,F8,F10,F12,F171,F192,F199,F248,F273)</f>
        <v>2588369</v>
      </c>
      <c r="G4" s="282">
        <f>SUM(G5,G8,G10,G12,G171,G192,G199,G248,G273)</f>
        <v>56738</v>
      </c>
      <c r="H4" s="215">
        <f>IF(E4=0,0,G4/E4)</f>
        <v>2.2411638978982323E-2</v>
      </c>
      <c r="I4" s="22" t="s">
        <v>504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7">
        <f>SUM(X5,X8,X10,X12,X171,X192,X199,X248,X273)</f>
        <v>2588369000</v>
      </c>
      <c r="Y4" s="24" t="s">
        <v>368</v>
      </c>
    </row>
    <row r="5" spans="1:25" ht="21" customHeight="1" thickBot="1">
      <c r="A5" s="29" t="s">
        <v>503</v>
      </c>
      <c r="B5" s="30" t="s">
        <v>503</v>
      </c>
      <c r="C5" s="194" t="s">
        <v>502</v>
      </c>
      <c r="D5" s="194" t="s">
        <v>501</v>
      </c>
      <c r="E5" s="208">
        <v>117600</v>
      </c>
      <c r="F5" s="208">
        <f>ROUND(X5/1000,0)</f>
        <v>116900</v>
      </c>
      <c r="G5" s="209">
        <f>F5-E5</f>
        <v>-700</v>
      </c>
      <c r="H5" s="210">
        <f>IF(E5=0,0,G5/E5)</f>
        <v>-5.9523809523809521E-3</v>
      </c>
      <c r="I5" s="34" t="s">
        <v>500</v>
      </c>
      <c r="J5" s="131"/>
      <c r="K5" s="35"/>
      <c r="L5" s="35"/>
      <c r="M5" s="35"/>
      <c r="N5" s="35"/>
      <c r="O5" s="35"/>
      <c r="P5" s="36"/>
      <c r="Q5" s="36" t="s">
        <v>496</v>
      </c>
      <c r="R5" s="36"/>
      <c r="S5" s="36"/>
      <c r="T5" s="36"/>
      <c r="U5" s="36"/>
      <c r="V5" s="36"/>
      <c r="W5" s="37"/>
      <c r="X5" s="37">
        <f>SUM(X6:X7)</f>
        <v>116900000</v>
      </c>
      <c r="Y5" s="38" t="s">
        <v>25</v>
      </c>
    </row>
    <row r="6" spans="1:25" ht="21" customHeight="1">
      <c r="A6" s="39" t="s">
        <v>499</v>
      </c>
      <c r="B6" s="40" t="s">
        <v>118</v>
      </c>
      <c r="C6" s="41" t="s">
        <v>118</v>
      </c>
      <c r="D6" s="41" t="s">
        <v>118</v>
      </c>
      <c r="E6" s="546"/>
      <c r="F6" s="546"/>
      <c r="G6" s="547"/>
      <c r="H6" s="548"/>
      <c r="I6" s="567" t="s">
        <v>610</v>
      </c>
      <c r="J6" s="561"/>
      <c r="K6" s="289"/>
      <c r="L6" s="289"/>
      <c r="M6" s="563">
        <v>350000</v>
      </c>
      <c r="N6" s="563" t="s">
        <v>602</v>
      </c>
      <c r="O6" s="564" t="s">
        <v>603</v>
      </c>
      <c r="P6" s="563">
        <v>28</v>
      </c>
      <c r="Q6" s="563" t="s">
        <v>604</v>
      </c>
      <c r="R6" s="564" t="s">
        <v>603</v>
      </c>
      <c r="S6" s="290">
        <v>12</v>
      </c>
      <c r="T6" s="543" t="s">
        <v>611</v>
      </c>
      <c r="U6" s="543" t="s">
        <v>606</v>
      </c>
      <c r="V6" s="543"/>
      <c r="W6" s="563"/>
      <c r="X6" s="563">
        <f>M6*P6*S6</f>
        <v>117600000</v>
      </c>
      <c r="Y6" s="125" t="s">
        <v>602</v>
      </c>
    </row>
    <row r="7" spans="1:25" ht="21" customHeight="1">
      <c r="A7" s="39"/>
      <c r="B7" s="40"/>
      <c r="C7" s="41"/>
      <c r="D7" s="41"/>
      <c r="E7" s="42"/>
      <c r="F7" s="42"/>
      <c r="G7" s="43"/>
      <c r="H7" s="25"/>
      <c r="I7" s="640" t="s">
        <v>972</v>
      </c>
      <c r="J7" s="641"/>
      <c r="K7" s="276"/>
      <c r="L7" s="276"/>
      <c r="M7" s="370">
        <v>-350000</v>
      </c>
      <c r="N7" s="723" t="s">
        <v>769</v>
      </c>
      <c r="O7" s="724" t="s">
        <v>770</v>
      </c>
      <c r="P7" s="723">
        <v>2</v>
      </c>
      <c r="Q7" s="723" t="s">
        <v>771</v>
      </c>
      <c r="R7" s="724" t="s">
        <v>770</v>
      </c>
      <c r="S7" s="290">
        <v>1</v>
      </c>
      <c r="T7" s="721" t="s">
        <v>772</v>
      </c>
      <c r="U7" s="721" t="s">
        <v>773</v>
      </c>
      <c r="V7" s="721"/>
      <c r="W7" s="723"/>
      <c r="X7" s="759">
        <f>M7*P7*S7</f>
        <v>-700000</v>
      </c>
      <c r="Y7" s="125" t="s">
        <v>769</v>
      </c>
    </row>
    <row r="8" spans="1:25" s="10" customFormat="1" ht="19.5" customHeight="1" thickBot="1">
      <c r="A8" s="29" t="s">
        <v>498</v>
      </c>
      <c r="B8" s="30" t="s">
        <v>498</v>
      </c>
      <c r="C8" s="30" t="s">
        <v>498</v>
      </c>
      <c r="D8" s="30" t="s">
        <v>498</v>
      </c>
      <c r="E8" s="208">
        <v>0</v>
      </c>
      <c r="F8" s="208">
        <f>ROUND(X8/1000,0)</f>
        <v>0</v>
      </c>
      <c r="G8" s="209">
        <f>F8-E8</f>
        <v>0</v>
      </c>
      <c r="H8" s="210">
        <f>IF(E8=0,0,G8/E8)</f>
        <v>0</v>
      </c>
      <c r="I8" s="34" t="s">
        <v>497</v>
      </c>
      <c r="J8" s="131"/>
      <c r="K8" s="35"/>
      <c r="L8" s="35"/>
      <c r="M8" s="35"/>
      <c r="N8" s="35"/>
      <c r="O8" s="35"/>
      <c r="P8" s="36"/>
      <c r="Q8" s="36" t="s">
        <v>496</v>
      </c>
      <c r="R8" s="36"/>
      <c r="S8" s="36"/>
      <c r="T8" s="36"/>
      <c r="U8" s="36"/>
      <c r="V8" s="36"/>
      <c r="W8" s="37"/>
      <c r="X8" s="37">
        <f>X9</f>
        <v>0</v>
      </c>
      <c r="Y8" s="38" t="s">
        <v>25</v>
      </c>
    </row>
    <row r="9" spans="1:25" ht="21" customHeight="1">
      <c r="A9" s="52" t="s">
        <v>489</v>
      </c>
      <c r="B9" s="53" t="s">
        <v>489</v>
      </c>
      <c r="C9" s="53" t="s">
        <v>489</v>
      </c>
      <c r="D9" s="53" t="s">
        <v>489</v>
      </c>
      <c r="E9" s="42"/>
      <c r="F9" s="42"/>
      <c r="G9" s="43"/>
      <c r="H9" s="25"/>
      <c r="I9" s="47" t="s">
        <v>495</v>
      </c>
      <c r="J9" s="48"/>
      <c r="K9" s="49"/>
      <c r="L9" s="49"/>
      <c r="M9" s="287"/>
      <c r="N9" s="287"/>
      <c r="O9" s="288"/>
      <c r="P9" s="287"/>
      <c r="Q9" s="287"/>
      <c r="R9" s="288"/>
      <c r="S9" s="50"/>
      <c r="T9" s="443"/>
      <c r="U9" s="443"/>
      <c r="V9" s="443"/>
      <c r="W9" s="287"/>
      <c r="X9" s="287">
        <v>0</v>
      </c>
      <c r="Y9" s="51" t="s">
        <v>345</v>
      </c>
    </row>
    <row r="10" spans="1:25" ht="21" customHeight="1" thickBot="1">
      <c r="A10" s="29" t="s">
        <v>494</v>
      </c>
      <c r="B10" s="30" t="s">
        <v>494</v>
      </c>
      <c r="C10" s="30" t="s">
        <v>494</v>
      </c>
      <c r="D10" s="30" t="s">
        <v>494</v>
      </c>
      <c r="E10" s="208">
        <v>0</v>
      </c>
      <c r="F10" s="208">
        <f>ROUND(X10/1000,0)</f>
        <v>0</v>
      </c>
      <c r="G10" s="209">
        <f>F10-E10</f>
        <v>0</v>
      </c>
      <c r="H10" s="210">
        <f>IF(E10=0,0,G10/E10)</f>
        <v>0</v>
      </c>
      <c r="I10" s="34" t="s">
        <v>493</v>
      </c>
      <c r="J10" s="131"/>
      <c r="K10" s="35"/>
      <c r="L10" s="35"/>
      <c r="M10" s="35"/>
      <c r="N10" s="35"/>
      <c r="O10" s="35"/>
      <c r="P10" s="36"/>
      <c r="Q10" s="36" t="s">
        <v>492</v>
      </c>
      <c r="R10" s="36"/>
      <c r="S10" s="36"/>
      <c r="T10" s="36"/>
      <c r="U10" s="36"/>
      <c r="V10" s="36"/>
      <c r="W10" s="37"/>
      <c r="X10" s="37">
        <f>X11</f>
        <v>0</v>
      </c>
      <c r="Y10" s="38" t="s">
        <v>25</v>
      </c>
    </row>
    <row r="11" spans="1:25" ht="21" customHeight="1">
      <c r="A11" s="52" t="s">
        <v>489</v>
      </c>
      <c r="B11" s="53" t="s">
        <v>489</v>
      </c>
      <c r="C11" s="53" t="s">
        <v>489</v>
      </c>
      <c r="D11" s="499" t="s">
        <v>489</v>
      </c>
      <c r="E11" s="217"/>
      <c r="F11" s="218">
        <v>0</v>
      </c>
      <c r="G11" s="219"/>
      <c r="H11" s="220"/>
      <c r="I11" s="221"/>
      <c r="J11" s="222"/>
      <c r="K11" s="223"/>
      <c r="L11" s="223"/>
      <c r="M11" s="223"/>
      <c r="N11" s="223"/>
      <c r="O11" s="223"/>
      <c r="P11" s="224"/>
      <c r="Q11" s="224"/>
      <c r="R11" s="224"/>
      <c r="S11" s="224"/>
      <c r="T11" s="224"/>
      <c r="U11" s="224"/>
      <c r="V11" s="224"/>
      <c r="W11" s="225"/>
      <c r="X11" s="225">
        <v>0</v>
      </c>
      <c r="Y11" s="257" t="s">
        <v>345</v>
      </c>
    </row>
    <row r="12" spans="1:25" s="10" customFormat="1" ht="19.5" customHeight="1">
      <c r="A12" s="29" t="s">
        <v>471</v>
      </c>
      <c r="B12" s="30" t="s">
        <v>471</v>
      </c>
      <c r="C12" s="819" t="s">
        <v>357</v>
      </c>
      <c r="D12" s="820"/>
      <c r="E12" s="240">
        <f>SUM(E13,E42,E106,E168)</f>
        <v>2109307</v>
      </c>
      <c r="F12" s="240">
        <f>SUM(F13,F42,F106,F168)</f>
        <v>2058447</v>
      </c>
      <c r="G12" s="241">
        <f>F12-E12</f>
        <v>-50860</v>
      </c>
      <c r="H12" s="242">
        <f>IF(E12=0,0,G12/E12)</f>
        <v>-2.4112184712799037E-2</v>
      </c>
      <c r="I12" s="243" t="s">
        <v>491</v>
      </c>
      <c r="J12" s="244"/>
      <c r="K12" s="245"/>
      <c r="L12" s="245"/>
      <c r="M12" s="244"/>
      <c r="N12" s="244"/>
      <c r="O12" s="244"/>
      <c r="P12" s="244"/>
      <c r="Q12" s="244"/>
      <c r="R12" s="246"/>
      <c r="S12" s="246"/>
      <c r="T12" s="246"/>
      <c r="U12" s="246"/>
      <c r="V12" s="246"/>
      <c r="W12" s="246"/>
      <c r="X12" s="247">
        <f>SUM(X13,X42,X106,X168)</f>
        <v>2058447000</v>
      </c>
      <c r="Y12" s="258" t="s">
        <v>25</v>
      </c>
    </row>
    <row r="13" spans="1:25" s="10" customFormat="1" ht="19.5" customHeight="1">
      <c r="A13" s="39" t="s">
        <v>490</v>
      </c>
      <c r="B13" s="40" t="s">
        <v>489</v>
      </c>
      <c r="C13" s="30" t="s">
        <v>488</v>
      </c>
      <c r="D13" s="445" t="s">
        <v>353</v>
      </c>
      <c r="E13" s="211">
        <f>SUM(E14:E34)</f>
        <v>1366503</v>
      </c>
      <c r="F13" s="211">
        <f>SUM(F14:F34)</f>
        <v>1332883</v>
      </c>
      <c r="G13" s="212">
        <f>F13-E13</f>
        <v>-33620</v>
      </c>
      <c r="H13" s="213">
        <f>IF(E13=0,0,G13/E13)</f>
        <v>-2.460294635284372E-2</v>
      </c>
      <c r="I13" s="196" t="s">
        <v>487</v>
      </c>
      <c r="J13" s="197"/>
      <c r="K13" s="198"/>
      <c r="L13" s="198"/>
      <c r="M13" s="198"/>
      <c r="N13" s="198"/>
      <c r="O13" s="198"/>
      <c r="P13" s="199"/>
      <c r="Q13" s="199"/>
      <c r="R13" s="199"/>
      <c r="S13" s="199"/>
      <c r="T13" s="199"/>
      <c r="U13" s="199"/>
      <c r="V13" s="226" t="s">
        <v>346</v>
      </c>
      <c r="W13" s="227"/>
      <c r="X13" s="228">
        <f>SUM(X14,X19,X34)</f>
        <v>1332883000</v>
      </c>
      <c r="Y13" s="259" t="s">
        <v>345</v>
      </c>
    </row>
    <row r="14" spans="1:25" s="10" customFormat="1" ht="19.5" customHeight="1">
      <c r="A14" s="39"/>
      <c r="B14" s="40"/>
      <c r="C14" s="40" t="s">
        <v>471</v>
      </c>
      <c r="D14" s="40" t="s">
        <v>470</v>
      </c>
      <c r="E14" s="498">
        <v>67863</v>
      </c>
      <c r="F14" s="498">
        <f>ROUND(X14/1000,0)</f>
        <v>69855</v>
      </c>
      <c r="G14" s="263">
        <f>F14-E14</f>
        <v>1992</v>
      </c>
      <c r="H14" s="264">
        <f>IF(E14=0,0,G14/E14)</f>
        <v>2.935325582423412E-2</v>
      </c>
      <c r="I14" s="132" t="s">
        <v>469</v>
      </c>
      <c r="J14" s="288"/>
      <c r="K14" s="287"/>
      <c r="L14" s="287"/>
      <c r="M14" s="287"/>
      <c r="N14" s="443"/>
      <c r="O14" s="200"/>
      <c r="P14" s="287"/>
      <c r="Q14" s="48"/>
      <c r="R14" s="201"/>
      <c r="S14" s="203"/>
      <c r="T14" s="203"/>
      <c r="U14" s="443"/>
      <c r="V14" s="476" t="s">
        <v>438</v>
      </c>
      <c r="W14" s="134"/>
      <c r="X14" s="134">
        <f>SUM(X15:X17)</f>
        <v>69855000</v>
      </c>
      <c r="Y14" s="135" t="s">
        <v>345</v>
      </c>
    </row>
    <row r="15" spans="1:25" s="10" customFormat="1" ht="19.5" customHeight="1">
      <c r="A15" s="54"/>
      <c r="B15" s="40"/>
      <c r="C15" s="40"/>
      <c r="D15" s="40"/>
      <c r="E15" s="42"/>
      <c r="F15" s="497"/>
      <c r="G15" s="43"/>
      <c r="H15" s="62"/>
      <c r="I15" s="277" t="s">
        <v>468</v>
      </c>
      <c r="J15" s="288"/>
      <c r="K15" s="287"/>
      <c r="L15" s="287"/>
      <c r="M15" s="287">
        <v>260245</v>
      </c>
      <c r="N15" s="443" t="s">
        <v>25</v>
      </c>
      <c r="O15" s="200" t="s">
        <v>26</v>
      </c>
      <c r="P15" s="444">
        <v>24</v>
      </c>
      <c r="Q15" s="48" t="s">
        <v>137</v>
      </c>
      <c r="R15" s="201" t="s">
        <v>26</v>
      </c>
      <c r="S15" s="203">
        <v>12</v>
      </c>
      <c r="T15" s="203" t="s">
        <v>29</v>
      </c>
      <c r="U15" s="443" t="s">
        <v>26</v>
      </c>
      <c r="V15" s="475">
        <v>0.9</v>
      </c>
      <c r="W15" s="60" t="s">
        <v>27</v>
      </c>
      <c r="X15" s="60">
        <f>ROUND(M15*P15*S15*V15,-3)</f>
        <v>67456000</v>
      </c>
      <c r="Y15" s="51" t="s">
        <v>345</v>
      </c>
    </row>
    <row r="16" spans="1:25" s="10" customFormat="1" ht="19.5" customHeight="1">
      <c r="A16" s="54"/>
      <c r="B16" s="40"/>
      <c r="C16" s="40"/>
      <c r="D16" s="40"/>
      <c r="E16" s="42"/>
      <c r="F16" s="497"/>
      <c r="G16" s="43"/>
      <c r="H16" s="62"/>
      <c r="I16" s="277" t="s">
        <v>467</v>
      </c>
      <c r="J16" s="288"/>
      <c r="K16" s="287"/>
      <c r="L16" s="287"/>
      <c r="M16" s="287">
        <v>36434</v>
      </c>
      <c r="N16" s="443" t="s">
        <v>25</v>
      </c>
      <c r="O16" s="200" t="s">
        <v>26</v>
      </c>
      <c r="P16" s="444">
        <v>24</v>
      </c>
      <c r="Q16" s="48" t="s">
        <v>137</v>
      </c>
      <c r="R16" s="461" t="s">
        <v>26</v>
      </c>
      <c r="S16" s="203">
        <v>1</v>
      </c>
      <c r="T16" s="203" t="s">
        <v>465</v>
      </c>
      <c r="U16" s="443" t="s">
        <v>26</v>
      </c>
      <c r="V16" s="475">
        <v>0.9</v>
      </c>
      <c r="W16" s="60" t="s">
        <v>27</v>
      </c>
      <c r="X16" s="60">
        <f>ROUNDUP(M16*P16*S16*V16,-3)</f>
        <v>787000</v>
      </c>
      <c r="Y16" s="51" t="s">
        <v>345</v>
      </c>
    </row>
    <row r="17" spans="1:25" s="10" customFormat="1" ht="19.5" customHeight="1">
      <c r="A17" s="54"/>
      <c r="B17" s="40"/>
      <c r="C17" s="40"/>
      <c r="D17" s="40"/>
      <c r="E17" s="42"/>
      <c r="F17" s="42"/>
      <c r="G17" s="43"/>
      <c r="H17" s="62"/>
      <c r="I17" s="277" t="s">
        <v>466</v>
      </c>
      <c r="J17" s="60"/>
      <c r="K17" s="202"/>
      <c r="L17" s="202"/>
      <c r="M17" s="287">
        <v>37300</v>
      </c>
      <c r="N17" s="287" t="s">
        <v>25</v>
      </c>
      <c r="O17" s="200" t="s">
        <v>26</v>
      </c>
      <c r="P17" s="444">
        <v>24</v>
      </c>
      <c r="Q17" s="48" t="s">
        <v>137</v>
      </c>
      <c r="R17" s="461" t="s">
        <v>26</v>
      </c>
      <c r="S17" s="50">
        <v>2</v>
      </c>
      <c r="T17" s="443" t="s">
        <v>465</v>
      </c>
      <c r="U17" s="443" t="s">
        <v>26</v>
      </c>
      <c r="V17" s="475">
        <v>0.9</v>
      </c>
      <c r="W17" s="288" t="s">
        <v>27</v>
      </c>
      <c r="X17" s="60">
        <f>ROUNDUP(M17*P17*S17*V17,-3)</f>
        <v>1612000</v>
      </c>
      <c r="Y17" s="51" t="s">
        <v>345</v>
      </c>
    </row>
    <row r="18" spans="1:25" s="10" customFormat="1" ht="19.5" customHeight="1">
      <c r="A18" s="54"/>
      <c r="B18" s="40"/>
      <c r="C18" s="40"/>
      <c r="D18" s="40"/>
      <c r="E18" s="42"/>
      <c r="F18" s="42"/>
      <c r="G18" s="43"/>
      <c r="H18" s="62"/>
      <c r="I18" s="277"/>
      <c r="J18" s="60"/>
      <c r="K18" s="202"/>
      <c r="L18" s="202"/>
      <c r="M18" s="287"/>
      <c r="N18" s="287"/>
      <c r="O18" s="200"/>
      <c r="P18" s="444"/>
      <c r="Q18" s="48"/>
      <c r="R18" s="461"/>
      <c r="S18" s="50"/>
      <c r="T18" s="443"/>
      <c r="U18" s="443"/>
      <c r="V18" s="475"/>
      <c r="W18" s="288"/>
      <c r="X18" s="60"/>
      <c r="Y18" s="51"/>
    </row>
    <row r="19" spans="1:25" s="10" customFormat="1" ht="19.5" customHeight="1" thickBot="1">
      <c r="A19" s="54"/>
      <c r="B19" s="40"/>
      <c r="C19" s="40"/>
      <c r="D19" s="30" t="s">
        <v>464</v>
      </c>
      <c r="E19" s="31">
        <v>1238944</v>
      </c>
      <c r="F19" s="229">
        <f>ROUND(X19/1000,0)</f>
        <v>1205243</v>
      </c>
      <c r="G19" s="32">
        <f>F19-E19</f>
        <v>-33701</v>
      </c>
      <c r="H19" s="109">
        <f>IF(E19=0,0,G19/E19)</f>
        <v>-2.720139086189529E-2</v>
      </c>
      <c r="I19" s="235" t="s">
        <v>980</v>
      </c>
      <c r="J19" s="234"/>
      <c r="K19" s="239"/>
      <c r="L19" s="239"/>
      <c r="M19" s="80"/>
      <c r="N19" s="80"/>
      <c r="O19" s="230"/>
      <c r="P19" s="80"/>
      <c r="Q19" s="231"/>
      <c r="R19" s="232"/>
      <c r="S19" s="233"/>
      <c r="T19" s="238"/>
      <c r="U19" s="238"/>
      <c r="V19" s="236" t="s">
        <v>438</v>
      </c>
      <c r="W19" s="237"/>
      <c r="X19" s="237">
        <f>SUM(X20,X21,X25,X27)</f>
        <v>1205243000</v>
      </c>
      <c r="Y19" s="260" t="s">
        <v>345</v>
      </c>
    </row>
    <row r="20" spans="1:25" s="10" customFormat="1" ht="19.5" customHeight="1">
      <c r="A20" s="54"/>
      <c r="B20" s="40"/>
      <c r="C20" s="40"/>
      <c r="D20" s="40"/>
      <c r="E20" s="42"/>
      <c r="F20" s="42"/>
      <c r="G20" s="43"/>
      <c r="H20" s="62"/>
      <c r="I20" s="278" t="s">
        <v>463</v>
      </c>
      <c r="J20" s="288"/>
      <c r="K20" s="287"/>
      <c r="L20" s="287"/>
      <c r="M20" s="287">
        <v>1092026000</v>
      </c>
      <c r="N20" s="287" t="s">
        <v>345</v>
      </c>
      <c r="O20" s="66" t="s">
        <v>359</v>
      </c>
      <c r="P20" s="474">
        <v>0.7</v>
      </c>
      <c r="Q20" s="287"/>
      <c r="R20" s="287"/>
      <c r="S20" s="287"/>
      <c r="T20" s="287"/>
      <c r="U20" s="287" t="s">
        <v>358</v>
      </c>
      <c r="V20" s="216" t="s">
        <v>346</v>
      </c>
      <c r="W20" s="64"/>
      <c r="X20" s="216">
        <f>ROUNDDOWN(M20*P20,-3)</f>
        <v>764418000</v>
      </c>
      <c r="Y20" s="65" t="s">
        <v>25</v>
      </c>
    </row>
    <row r="21" spans="1:25" s="10" customFormat="1" ht="19.5" customHeight="1">
      <c r="A21" s="54"/>
      <c r="B21" s="40"/>
      <c r="C21" s="40"/>
      <c r="D21" s="40"/>
      <c r="E21" s="42"/>
      <c r="F21" s="42"/>
      <c r="G21" s="43"/>
      <c r="H21" s="62"/>
      <c r="I21" s="279" t="s">
        <v>462</v>
      </c>
      <c r="J21" s="288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133" t="s">
        <v>346</v>
      </c>
      <c r="W21" s="134"/>
      <c r="X21" s="133">
        <f>SUM(X22:X24)</f>
        <v>254960000</v>
      </c>
      <c r="Y21" s="135" t="s">
        <v>25</v>
      </c>
    </row>
    <row r="22" spans="1:25" s="10" customFormat="1" ht="19.5" customHeight="1">
      <c r="A22" s="54"/>
      <c r="B22" s="40"/>
      <c r="C22" s="40"/>
      <c r="D22" s="40"/>
      <c r="E22" s="42"/>
      <c r="F22" s="42"/>
      <c r="G22" s="43"/>
      <c r="H22" s="62"/>
      <c r="I22" s="277" t="s">
        <v>429</v>
      </c>
      <c r="J22" s="288"/>
      <c r="K22" s="287"/>
      <c r="L22" s="287"/>
      <c r="M22" s="287">
        <v>108793000</v>
      </c>
      <c r="N22" s="287" t="s">
        <v>345</v>
      </c>
      <c r="O22" s="66" t="s">
        <v>359</v>
      </c>
      <c r="P22" s="474">
        <v>0.7</v>
      </c>
      <c r="Q22" s="287"/>
      <c r="R22" s="287"/>
      <c r="S22" s="287"/>
      <c r="T22" s="287"/>
      <c r="U22" s="287" t="s">
        <v>358</v>
      </c>
      <c r="V22" s="818"/>
      <c r="W22" s="818"/>
      <c r="X22" s="234">
        <f>ROUNDDOWN(M22*P22,-3)</f>
        <v>76155000</v>
      </c>
      <c r="Y22" s="469" t="s">
        <v>345</v>
      </c>
    </row>
    <row r="23" spans="1:25" s="10" customFormat="1" ht="19.5" customHeight="1">
      <c r="A23" s="54"/>
      <c r="B23" s="40"/>
      <c r="C23" s="40"/>
      <c r="D23" s="40"/>
      <c r="E23" s="42"/>
      <c r="F23" s="42"/>
      <c r="G23" s="43"/>
      <c r="H23" s="62"/>
      <c r="I23" s="277" t="s">
        <v>428</v>
      </c>
      <c r="J23" s="288"/>
      <c r="K23" s="287"/>
      <c r="L23" s="287"/>
      <c r="M23" s="287">
        <v>15080000</v>
      </c>
      <c r="N23" s="287" t="s">
        <v>345</v>
      </c>
      <c r="O23" s="66" t="s">
        <v>359</v>
      </c>
      <c r="P23" s="474">
        <v>0.7</v>
      </c>
      <c r="Q23" s="287"/>
      <c r="R23" s="287"/>
      <c r="S23" s="287"/>
      <c r="T23" s="287"/>
      <c r="U23" s="287" t="s">
        <v>358</v>
      </c>
      <c r="V23" s="817"/>
      <c r="W23" s="817"/>
      <c r="X23" s="60">
        <f>ROUND(M23*P23,-3)</f>
        <v>10556000</v>
      </c>
      <c r="Y23" s="51" t="s">
        <v>345</v>
      </c>
    </row>
    <row r="24" spans="1:25" s="10" customFormat="1" ht="19.5" customHeight="1">
      <c r="A24" s="54"/>
      <c r="B24" s="40"/>
      <c r="C24" s="40"/>
      <c r="D24" s="40"/>
      <c r="E24" s="42"/>
      <c r="F24" s="42"/>
      <c r="G24" s="43"/>
      <c r="H24" s="62"/>
      <c r="I24" s="277" t="s">
        <v>427</v>
      </c>
      <c r="J24" s="288"/>
      <c r="K24" s="287"/>
      <c r="L24" s="287"/>
      <c r="M24" s="287">
        <v>240356000</v>
      </c>
      <c r="N24" s="287" t="s">
        <v>345</v>
      </c>
      <c r="O24" s="66" t="s">
        <v>359</v>
      </c>
      <c r="P24" s="474">
        <v>0.7</v>
      </c>
      <c r="Q24" s="287"/>
      <c r="R24" s="287"/>
      <c r="S24" s="287"/>
      <c r="T24" s="287"/>
      <c r="U24" s="287" t="s">
        <v>358</v>
      </c>
      <c r="V24" s="817"/>
      <c r="W24" s="817"/>
      <c r="X24" s="60">
        <f>ROUNDDOWN(M24*P24,-3)</f>
        <v>168249000</v>
      </c>
      <c r="Y24" s="51" t="s">
        <v>345</v>
      </c>
    </row>
    <row r="25" spans="1:25" s="10" customFormat="1" ht="19.5" customHeight="1">
      <c r="A25" s="54"/>
      <c r="B25" s="40"/>
      <c r="C25" s="40"/>
      <c r="D25" s="40"/>
      <c r="E25" s="42"/>
      <c r="F25" s="42"/>
      <c r="G25" s="43"/>
      <c r="H25" s="62"/>
      <c r="I25" s="278" t="s">
        <v>461</v>
      </c>
      <c r="J25" s="288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16" t="s">
        <v>346</v>
      </c>
      <c r="W25" s="64"/>
      <c r="X25" s="216">
        <f>X26</f>
        <v>84948000</v>
      </c>
      <c r="Y25" s="65" t="s">
        <v>25</v>
      </c>
    </row>
    <row r="26" spans="1:25" s="10" customFormat="1" ht="19.5" customHeight="1">
      <c r="A26" s="54"/>
      <c r="B26" s="40"/>
      <c r="C26" s="40"/>
      <c r="D26" s="40"/>
      <c r="E26" s="42"/>
      <c r="F26" s="42"/>
      <c r="G26" s="43"/>
      <c r="H26" s="62"/>
      <c r="I26" s="277" t="s">
        <v>979</v>
      </c>
      <c r="J26" s="288"/>
      <c r="K26" s="287"/>
      <c r="L26" s="287"/>
      <c r="M26" s="287">
        <f>SUM(M20:M24)</f>
        <v>1456255000</v>
      </c>
      <c r="N26" s="48" t="s">
        <v>345</v>
      </c>
      <c r="O26" s="443" t="s">
        <v>366</v>
      </c>
      <c r="P26" s="468">
        <v>12</v>
      </c>
      <c r="Q26" s="200" t="s">
        <v>365</v>
      </c>
      <c r="R26" s="66" t="s">
        <v>359</v>
      </c>
      <c r="S26" s="474">
        <v>0.7</v>
      </c>
      <c r="T26" s="287"/>
      <c r="U26" s="287" t="s">
        <v>358</v>
      </c>
      <c r="V26" s="80"/>
      <c r="W26" s="80"/>
      <c r="X26" s="234">
        <f>ROUND(M26/P26*S26,-3)</f>
        <v>84948000</v>
      </c>
      <c r="Y26" s="483" t="s">
        <v>345</v>
      </c>
    </row>
    <row r="27" spans="1:25" s="10" customFormat="1" ht="19.5" customHeight="1">
      <c r="A27" s="54"/>
      <c r="B27" s="40"/>
      <c r="C27" s="40"/>
      <c r="D27" s="40"/>
      <c r="E27" s="42"/>
      <c r="F27" s="42"/>
      <c r="G27" s="43"/>
      <c r="H27" s="62"/>
      <c r="I27" s="278" t="s">
        <v>460</v>
      </c>
      <c r="J27" s="288"/>
      <c r="K27" s="287"/>
      <c r="L27" s="287"/>
      <c r="M27" s="287"/>
      <c r="N27" s="48"/>
      <c r="O27" s="287"/>
      <c r="P27" s="287"/>
      <c r="Q27" s="287"/>
      <c r="R27" s="287"/>
      <c r="S27" s="287"/>
      <c r="T27" s="287"/>
      <c r="U27" s="287"/>
      <c r="V27" s="216" t="s">
        <v>346</v>
      </c>
      <c r="W27" s="64"/>
      <c r="X27" s="216">
        <f>SUM(X28:X32)</f>
        <v>100917000</v>
      </c>
      <c r="Y27" s="65" t="s">
        <v>25</v>
      </c>
    </row>
    <row r="28" spans="1:25" s="10" customFormat="1" ht="19.5" customHeight="1">
      <c r="A28" s="54"/>
      <c r="B28" s="40"/>
      <c r="C28" s="40"/>
      <c r="D28" s="40"/>
      <c r="E28" s="42"/>
      <c r="F28" s="42"/>
      <c r="G28" s="43"/>
      <c r="H28" s="62"/>
      <c r="I28" s="277" t="s">
        <v>459</v>
      </c>
      <c r="J28" s="288"/>
      <c r="K28" s="287"/>
      <c r="L28" s="287"/>
      <c r="M28" s="287">
        <f>M26</f>
        <v>1456255000</v>
      </c>
      <c r="N28" s="48" t="s">
        <v>345</v>
      </c>
      <c r="O28" s="66" t="s">
        <v>359</v>
      </c>
      <c r="P28" s="457">
        <v>0.09</v>
      </c>
      <c r="Q28" s="443">
        <v>2</v>
      </c>
      <c r="R28" s="66" t="s">
        <v>359</v>
      </c>
      <c r="S28" s="474">
        <v>0.7</v>
      </c>
      <c r="T28" s="68"/>
      <c r="U28" s="443" t="s">
        <v>358</v>
      </c>
      <c r="V28" s="287"/>
      <c r="W28" s="60"/>
      <c r="X28" s="60">
        <f>ROUNDDOWN(M28*P28/Q28*S28,-3)</f>
        <v>45872000</v>
      </c>
      <c r="Y28" s="51" t="s">
        <v>345</v>
      </c>
    </row>
    <row r="29" spans="1:25" s="10" customFormat="1" ht="19.5" customHeight="1">
      <c r="A29" s="54"/>
      <c r="B29" s="40"/>
      <c r="C29" s="40"/>
      <c r="D29" s="40"/>
      <c r="E29" s="42"/>
      <c r="F29" s="42"/>
      <c r="G29" s="43"/>
      <c r="H29" s="62"/>
      <c r="I29" s="277" t="s">
        <v>458</v>
      </c>
      <c r="J29" s="288"/>
      <c r="K29" s="287"/>
      <c r="L29" s="287"/>
      <c r="M29" s="287">
        <f>M26</f>
        <v>1456255000</v>
      </c>
      <c r="N29" s="48" t="s">
        <v>345</v>
      </c>
      <c r="O29" s="66" t="s">
        <v>359</v>
      </c>
      <c r="P29" s="456">
        <v>6.6699999999999995E-2</v>
      </c>
      <c r="Q29" s="443">
        <v>2</v>
      </c>
      <c r="R29" s="66" t="s">
        <v>359</v>
      </c>
      <c r="S29" s="474">
        <v>0.7</v>
      </c>
      <c r="T29" s="68"/>
      <c r="U29" s="443" t="s">
        <v>358</v>
      </c>
      <c r="V29" s="287"/>
      <c r="W29" s="60"/>
      <c r="X29" s="60">
        <f>ROUNDDOWN(M29*P29/Q29*S29,-3)</f>
        <v>33996000</v>
      </c>
      <c r="Y29" s="51" t="s">
        <v>345</v>
      </c>
    </row>
    <row r="30" spans="1:25" s="10" customFormat="1" ht="19.5" customHeight="1">
      <c r="A30" s="54"/>
      <c r="B30" s="40"/>
      <c r="C30" s="40"/>
      <c r="D30" s="40"/>
      <c r="E30" s="42"/>
      <c r="F30" s="42"/>
      <c r="G30" s="43"/>
      <c r="H30" s="62"/>
      <c r="I30" s="277" t="s">
        <v>457</v>
      </c>
      <c r="J30" s="288"/>
      <c r="K30" s="287"/>
      <c r="L30" s="287"/>
      <c r="M30" s="287">
        <f>X29</f>
        <v>33996000</v>
      </c>
      <c r="N30" s="48" t="s">
        <v>345</v>
      </c>
      <c r="O30" s="66" t="s">
        <v>359</v>
      </c>
      <c r="P30" s="70">
        <v>0.10249999999999999</v>
      </c>
      <c r="Q30" s="455"/>
      <c r="R30" s="66"/>
      <c r="S30" s="69"/>
      <c r="T30" s="454"/>
      <c r="U30" s="443" t="s">
        <v>358</v>
      </c>
      <c r="V30" s="287"/>
      <c r="W30" s="60"/>
      <c r="X30" s="60">
        <f>ROUNDUP(M30*P30,-3)</f>
        <v>3485000</v>
      </c>
      <c r="Y30" s="51" t="s">
        <v>345</v>
      </c>
    </row>
    <row r="31" spans="1:25" s="10" customFormat="1" ht="19.5" customHeight="1">
      <c r="A31" s="54"/>
      <c r="B31" s="40"/>
      <c r="C31" s="40"/>
      <c r="D31" s="40"/>
      <c r="E31" s="42"/>
      <c r="F31" s="42"/>
      <c r="G31" s="43"/>
      <c r="H31" s="62"/>
      <c r="I31" s="277" t="s">
        <v>456</v>
      </c>
      <c r="J31" s="288"/>
      <c r="K31" s="287"/>
      <c r="L31" s="287"/>
      <c r="M31" s="287">
        <f>M26</f>
        <v>1456255000</v>
      </c>
      <c r="N31" s="48" t="s">
        <v>345</v>
      </c>
      <c r="O31" s="66" t="s">
        <v>359</v>
      </c>
      <c r="P31" s="70">
        <v>1.0500000000000001E-2</v>
      </c>
      <c r="Q31" s="66"/>
      <c r="R31" s="66" t="s">
        <v>359</v>
      </c>
      <c r="S31" s="474">
        <v>0.7</v>
      </c>
      <c r="T31" s="68"/>
      <c r="U31" s="443" t="s">
        <v>358</v>
      </c>
      <c r="V31" s="287"/>
      <c r="W31" s="60"/>
      <c r="X31" s="60">
        <f>ROUNDUP(ROUNDUP(M31*P31,-3)*S31,-3)</f>
        <v>10704000</v>
      </c>
      <c r="Y31" s="51" t="s">
        <v>345</v>
      </c>
    </row>
    <row r="32" spans="1:25" s="10" customFormat="1" ht="19.5" customHeight="1">
      <c r="A32" s="54"/>
      <c r="B32" s="40"/>
      <c r="C32" s="40"/>
      <c r="D32" s="40"/>
      <c r="E32" s="42"/>
      <c r="F32" s="42"/>
      <c r="G32" s="43"/>
      <c r="H32" s="62"/>
      <c r="I32" s="277" t="s">
        <v>455</v>
      </c>
      <c r="J32" s="288"/>
      <c r="K32" s="287"/>
      <c r="L32" s="287"/>
      <c r="M32" s="287">
        <f>M26</f>
        <v>1456255000</v>
      </c>
      <c r="N32" s="48" t="s">
        <v>345</v>
      </c>
      <c r="O32" s="66" t="s">
        <v>359</v>
      </c>
      <c r="P32" s="453">
        <v>6.7299999999999999E-3</v>
      </c>
      <c r="Q32" s="66"/>
      <c r="R32" s="66" t="s">
        <v>359</v>
      </c>
      <c r="S32" s="474">
        <v>0.7</v>
      </c>
      <c r="T32" s="68"/>
      <c r="U32" s="443" t="s">
        <v>358</v>
      </c>
      <c r="V32" s="287"/>
      <c r="W32" s="60"/>
      <c r="X32" s="60">
        <f>ROUNDDOWN(M32*P32*S32,-3)</f>
        <v>6860000</v>
      </c>
      <c r="Y32" s="51" t="s">
        <v>345</v>
      </c>
    </row>
    <row r="33" spans="1:25" s="10" customFormat="1" ht="19.5" customHeight="1">
      <c r="A33" s="54"/>
      <c r="B33" s="40"/>
      <c r="C33" s="40"/>
      <c r="D33" s="53"/>
      <c r="E33" s="55"/>
      <c r="F33" s="55"/>
      <c r="G33" s="56"/>
      <c r="H33" s="76"/>
      <c r="I33" s="353"/>
      <c r="J33" s="64"/>
      <c r="K33" s="465"/>
      <c r="L33" s="465"/>
      <c r="M33" s="216"/>
      <c r="N33" s="216"/>
      <c r="O33" s="464"/>
      <c r="P33" s="216"/>
      <c r="Q33" s="119"/>
      <c r="R33" s="463"/>
      <c r="S33" s="471"/>
      <c r="T33" s="193"/>
      <c r="U33" s="193"/>
      <c r="V33" s="462"/>
      <c r="W33" s="353"/>
      <c r="X33" s="64"/>
      <c r="Y33" s="65"/>
    </row>
    <row r="34" spans="1:25" s="10" customFormat="1" ht="19.5" customHeight="1">
      <c r="A34" s="54"/>
      <c r="B34" s="40"/>
      <c r="C34" s="40"/>
      <c r="D34" s="30" t="s">
        <v>454</v>
      </c>
      <c r="E34" s="229">
        <v>59696</v>
      </c>
      <c r="F34" s="229">
        <f>ROUND(X34/1000,0)</f>
        <v>57785</v>
      </c>
      <c r="G34" s="265">
        <f>F34-E34</f>
        <v>-1911</v>
      </c>
      <c r="H34" s="109">
        <f>IF(E34=0,0,G34/E34)</f>
        <v>-3.201219512195122E-2</v>
      </c>
      <c r="I34" s="496" t="s">
        <v>486</v>
      </c>
      <c r="J34" s="495"/>
      <c r="K34" s="494"/>
      <c r="L34" s="494"/>
      <c r="M34" s="492"/>
      <c r="N34" s="492"/>
      <c r="O34" s="493"/>
      <c r="P34" s="492"/>
      <c r="Q34" s="491"/>
      <c r="R34" s="490"/>
      <c r="S34" s="489"/>
      <c r="T34" s="488"/>
      <c r="U34" s="488"/>
      <c r="V34" s="487" t="s">
        <v>438</v>
      </c>
      <c r="W34" s="486"/>
      <c r="X34" s="486">
        <f>SUM(X35:X36)+X38</f>
        <v>57785000</v>
      </c>
      <c r="Y34" s="485" t="s">
        <v>345</v>
      </c>
    </row>
    <row r="35" spans="1:25" s="10" customFormat="1" ht="19.5" customHeight="1">
      <c r="A35" s="54"/>
      <c r="B35" s="40"/>
      <c r="C35" s="40"/>
      <c r="D35" s="40"/>
      <c r="E35" s="42"/>
      <c r="F35" s="42"/>
      <c r="G35" s="43"/>
      <c r="H35" s="62"/>
      <c r="I35" s="274" t="s">
        <v>485</v>
      </c>
      <c r="J35" s="272"/>
      <c r="K35" s="482"/>
      <c r="L35" s="482"/>
      <c r="M35" s="269">
        <v>2286000</v>
      </c>
      <c r="N35" s="269" t="s">
        <v>25</v>
      </c>
      <c r="O35" s="355" t="s">
        <v>26</v>
      </c>
      <c r="P35" s="356">
        <v>30</v>
      </c>
      <c r="Q35" s="357" t="s">
        <v>360</v>
      </c>
      <c r="R35" s="325" t="s">
        <v>359</v>
      </c>
      <c r="S35" s="358">
        <v>0.7</v>
      </c>
      <c r="T35" s="330"/>
      <c r="U35" s="328" t="s">
        <v>358</v>
      </c>
      <c r="V35" s="479"/>
      <c r="W35" s="271"/>
      <c r="X35" s="272">
        <f>M35*P35*S35</f>
        <v>48006000</v>
      </c>
      <c r="Y35" s="295" t="s">
        <v>345</v>
      </c>
    </row>
    <row r="36" spans="1:25" s="10" customFormat="1" ht="19.5" customHeight="1">
      <c r="A36" s="54"/>
      <c r="B36" s="40"/>
      <c r="C36" s="40"/>
      <c r="D36" s="40"/>
      <c r="E36" s="42"/>
      <c r="F36" s="42"/>
      <c r="G36" s="43"/>
      <c r="H36" s="62"/>
      <c r="I36" s="274" t="s">
        <v>484</v>
      </c>
      <c r="J36" s="272"/>
      <c r="K36" s="482"/>
      <c r="L36" s="482"/>
      <c r="M36" s="269">
        <v>635000</v>
      </c>
      <c r="N36" s="269" t="s">
        <v>25</v>
      </c>
      <c r="O36" s="355" t="s">
        <v>26</v>
      </c>
      <c r="P36" s="356">
        <v>22</v>
      </c>
      <c r="Q36" s="357" t="s">
        <v>360</v>
      </c>
      <c r="R36" s="325" t="s">
        <v>359</v>
      </c>
      <c r="S36" s="358">
        <v>0.7</v>
      </c>
      <c r="T36" s="330"/>
      <c r="U36" s="328" t="s">
        <v>358</v>
      </c>
      <c r="V36" s="479"/>
      <c r="W36" s="271"/>
      <c r="X36" s="272">
        <f>ROUNDUP(M36*P36*S36,-3)</f>
        <v>9779000</v>
      </c>
      <c r="Y36" s="295" t="s">
        <v>345</v>
      </c>
    </row>
    <row r="37" spans="1:25" s="10" customFormat="1" ht="19.5" customHeight="1">
      <c r="A37" s="54"/>
      <c r="B37" s="40"/>
      <c r="C37" s="40"/>
      <c r="D37" s="40"/>
      <c r="E37" s="42"/>
      <c r="F37" s="42"/>
      <c r="G37" s="43"/>
      <c r="H37" s="62"/>
      <c r="I37" s="274"/>
      <c r="J37" s="272"/>
      <c r="K37" s="482"/>
      <c r="L37" s="482"/>
      <c r="M37" s="269"/>
      <c r="N37" s="269"/>
      <c r="O37" s="355"/>
      <c r="P37" s="481"/>
      <c r="Q37" s="357"/>
      <c r="R37" s="480"/>
      <c r="S37" s="359"/>
      <c r="T37" s="328"/>
      <c r="U37" s="328"/>
      <c r="V37" s="479"/>
      <c r="W37" s="271"/>
      <c r="X37" s="272"/>
      <c r="Y37" s="295"/>
    </row>
    <row r="38" spans="1:25" s="10" customFormat="1" ht="19.5" customHeight="1">
      <c r="A38" s="54"/>
      <c r="B38" s="40"/>
      <c r="C38" s="40"/>
      <c r="D38" s="40"/>
      <c r="E38" s="42"/>
      <c r="F38" s="42"/>
      <c r="G38" s="43"/>
      <c r="H38" s="62"/>
      <c r="I38" s="349" t="s">
        <v>481</v>
      </c>
      <c r="J38" s="272"/>
      <c r="K38" s="482"/>
      <c r="L38" s="482"/>
      <c r="M38" s="269"/>
      <c r="N38" s="269"/>
      <c r="O38" s="355"/>
      <c r="P38" s="269"/>
      <c r="Q38" s="357"/>
      <c r="R38" s="480"/>
      <c r="S38" s="359"/>
      <c r="T38" s="328"/>
      <c r="U38" s="328"/>
      <c r="V38" s="484" t="s">
        <v>438</v>
      </c>
      <c r="W38" s="351"/>
      <c r="X38" s="351">
        <f>X39</f>
        <v>0</v>
      </c>
      <c r="Y38" s="352" t="s">
        <v>345</v>
      </c>
    </row>
    <row r="39" spans="1:25" s="10" customFormat="1" ht="19.5" customHeight="1">
      <c r="A39" s="54"/>
      <c r="B39" s="40"/>
      <c r="C39" s="40"/>
      <c r="D39" s="40"/>
      <c r="E39" s="42"/>
      <c r="F39" s="42"/>
      <c r="G39" s="43"/>
      <c r="H39" s="62"/>
      <c r="I39" s="274" t="s">
        <v>512</v>
      </c>
      <c r="J39" s="272"/>
      <c r="K39" s="482"/>
      <c r="L39" s="482"/>
      <c r="M39" s="269">
        <v>0</v>
      </c>
      <c r="N39" s="269" t="s">
        <v>25</v>
      </c>
      <c r="O39" s="355" t="s">
        <v>26</v>
      </c>
      <c r="P39" s="481">
        <v>0.5</v>
      </c>
      <c r="Q39" s="357"/>
      <c r="R39" s="480"/>
      <c r="S39" s="359"/>
      <c r="T39" s="328"/>
      <c r="U39" s="328"/>
      <c r="V39" s="479"/>
      <c r="W39" s="271" t="s">
        <v>27</v>
      </c>
      <c r="X39" s="272">
        <f>M39*P39</f>
        <v>0</v>
      </c>
      <c r="Y39" s="295" t="s">
        <v>345</v>
      </c>
    </row>
    <row r="40" spans="1:25" s="10" customFormat="1" ht="19.5" customHeight="1">
      <c r="A40" s="54"/>
      <c r="B40" s="40"/>
      <c r="C40" s="40"/>
      <c r="D40" s="40"/>
      <c r="E40" s="42"/>
      <c r="F40" s="42"/>
      <c r="G40" s="43"/>
      <c r="H40" s="62"/>
      <c r="I40" s="274"/>
      <c r="J40" s="272"/>
      <c r="K40" s="482"/>
      <c r="L40" s="482"/>
      <c r="M40" s="269"/>
      <c r="N40" s="269"/>
      <c r="O40" s="355"/>
      <c r="P40" s="481"/>
      <c r="Q40" s="357"/>
      <c r="R40" s="480"/>
      <c r="S40" s="359"/>
      <c r="T40" s="328"/>
      <c r="U40" s="328"/>
      <c r="V40" s="479"/>
      <c r="W40" s="271"/>
      <c r="X40" s="272"/>
      <c r="Y40" s="295"/>
    </row>
    <row r="41" spans="1:25" s="10" customFormat="1" ht="19.5" customHeight="1">
      <c r="A41" s="54"/>
      <c r="B41" s="40"/>
      <c r="C41" s="40"/>
      <c r="D41" s="53"/>
      <c r="E41" s="55"/>
      <c r="F41" s="55"/>
      <c r="G41" s="56"/>
      <c r="H41" s="76"/>
      <c r="I41" s="349"/>
      <c r="J41" s="351"/>
      <c r="K41" s="360"/>
      <c r="L41" s="360"/>
      <c r="M41" s="350"/>
      <c r="N41" s="350"/>
      <c r="O41" s="361"/>
      <c r="P41" s="350"/>
      <c r="Q41" s="362"/>
      <c r="R41" s="363"/>
      <c r="S41" s="364"/>
      <c r="T41" s="365"/>
      <c r="U41" s="365"/>
      <c r="V41" s="366"/>
      <c r="W41" s="367"/>
      <c r="X41" s="351"/>
      <c r="Y41" s="352"/>
    </row>
    <row r="42" spans="1:25" s="10" customFormat="1" ht="19.5" customHeight="1">
      <c r="A42" s="54"/>
      <c r="B42" s="40"/>
      <c r="C42" s="30" t="s">
        <v>483</v>
      </c>
      <c r="D42" s="445" t="s">
        <v>353</v>
      </c>
      <c r="E42" s="211">
        <f>SUM(E43:E105)</f>
        <v>117467</v>
      </c>
      <c r="F42" s="211">
        <f>SUM(F43:F105)</f>
        <v>114762</v>
      </c>
      <c r="G42" s="212">
        <f>F42-E42</f>
        <v>-2705</v>
      </c>
      <c r="H42" s="213">
        <f>IF(E42=0,0,G42/E42)</f>
        <v>-2.3027743962134046E-2</v>
      </c>
      <c r="I42" s="196" t="s">
        <v>482</v>
      </c>
      <c r="J42" s="197"/>
      <c r="K42" s="198"/>
      <c r="L42" s="198"/>
      <c r="M42" s="198"/>
      <c r="N42" s="198"/>
      <c r="O42" s="198"/>
      <c r="P42" s="199"/>
      <c r="Q42" s="199"/>
      <c r="R42" s="199"/>
      <c r="S42" s="199"/>
      <c r="T42" s="199"/>
      <c r="U42" s="199"/>
      <c r="V42" s="226" t="s">
        <v>346</v>
      </c>
      <c r="W42" s="227"/>
      <c r="X42" s="227">
        <f>SUM(X43,X48,X63,X70,X78,X102)</f>
        <v>114762000</v>
      </c>
      <c r="Y42" s="259" t="s">
        <v>345</v>
      </c>
    </row>
    <row r="43" spans="1:25" s="10" customFormat="1" ht="19.5" customHeight="1">
      <c r="A43" s="54"/>
      <c r="B43" s="40"/>
      <c r="C43" s="40" t="s">
        <v>471</v>
      </c>
      <c r="D43" s="30" t="s">
        <v>470</v>
      </c>
      <c r="E43" s="31">
        <v>5278</v>
      </c>
      <c r="F43" s="229">
        <f>ROUND(X43/1000,0)</f>
        <v>5432</v>
      </c>
      <c r="G43" s="32">
        <f>F43-E43</f>
        <v>154</v>
      </c>
      <c r="H43" s="109">
        <f>IF(E43=0,0,G43/E43)</f>
        <v>2.9177718832891247E-2</v>
      </c>
      <c r="I43" s="132" t="s">
        <v>469</v>
      </c>
      <c r="J43" s="151"/>
      <c r="K43" s="80"/>
      <c r="L43" s="80"/>
      <c r="M43" s="80"/>
      <c r="N43" s="238"/>
      <c r="O43" s="230"/>
      <c r="P43" s="80"/>
      <c r="Q43" s="231"/>
      <c r="R43" s="478"/>
      <c r="S43" s="477"/>
      <c r="T43" s="477"/>
      <c r="U43" s="238"/>
      <c r="V43" s="476" t="s">
        <v>438</v>
      </c>
      <c r="W43" s="134"/>
      <c r="X43" s="134">
        <f>SUM(X44:X46)</f>
        <v>5432000</v>
      </c>
      <c r="Y43" s="135" t="s">
        <v>345</v>
      </c>
    </row>
    <row r="44" spans="1:25" s="10" customFormat="1" ht="19.5" customHeight="1">
      <c r="A44" s="54"/>
      <c r="B44" s="40"/>
      <c r="C44" s="40"/>
      <c r="D44" s="40"/>
      <c r="E44" s="42"/>
      <c r="F44" s="42"/>
      <c r="G44" s="43"/>
      <c r="H44" s="62"/>
      <c r="I44" s="277" t="s">
        <v>468</v>
      </c>
      <c r="J44" s="288"/>
      <c r="K44" s="287"/>
      <c r="L44" s="287"/>
      <c r="M44" s="287">
        <f>M15</f>
        <v>260245</v>
      </c>
      <c r="N44" s="443" t="s">
        <v>25</v>
      </c>
      <c r="O44" s="200" t="s">
        <v>26</v>
      </c>
      <c r="P44" s="444">
        <v>24</v>
      </c>
      <c r="Q44" s="48" t="s">
        <v>137</v>
      </c>
      <c r="R44" s="201" t="s">
        <v>26</v>
      </c>
      <c r="S44" s="203">
        <v>12</v>
      </c>
      <c r="T44" s="203" t="s">
        <v>29</v>
      </c>
      <c r="U44" s="443" t="s">
        <v>26</v>
      </c>
      <c r="V44" s="475">
        <v>7.0000000000000007E-2</v>
      </c>
      <c r="W44" s="60" t="s">
        <v>27</v>
      </c>
      <c r="X44" s="60">
        <f>ROUNDDOWN(M44*P44*S44*V44,-3)</f>
        <v>5246000</v>
      </c>
      <c r="Y44" s="51" t="s">
        <v>345</v>
      </c>
    </row>
    <row r="45" spans="1:25" s="10" customFormat="1" ht="19.5" customHeight="1">
      <c r="A45" s="54"/>
      <c r="B45" s="40"/>
      <c r="C45" s="40"/>
      <c r="D45" s="40"/>
      <c r="E45" s="42"/>
      <c r="F45" s="42"/>
      <c r="G45" s="43"/>
      <c r="H45" s="62"/>
      <c r="I45" s="277" t="s">
        <v>467</v>
      </c>
      <c r="J45" s="288"/>
      <c r="K45" s="287"/>
      <c r="L45" s="287"/>
      <c r="M45" s="287">
        <f>M16</f>
        <v>36434</v>
      </c>
      <c r="N45" s="443" t="s">
        <v>25</v>
      </c>
      <c r="O45" s="200" t="s">
        <v>26</v>
      </c>
      <c r="P45" s="444">
        <v>24</v>
      </c>
      <c r="Q45" s="48" t="s">
        <v>137</v>
      </c>
      <c r="R45" s="461" t="s">
        <v>26</v>
      </c>
      <c r="S45" s="203">
        <v>1</v>
      </c>
      <c r="T45" s="203" t="s">
        <v>465</v>
      </c>
      <c r="U45" s="443" t="s">
        <v>26</v>
      </c>
      <c r="V45" s="475">
        <v>7.0000000000000007E-2</v>
      </c>
      <c r="W45" s="60" t="s">
        <v>27</v>
      </c>
      <c r="X45" s="60">
        <f>ROUND(M45*P45*S45*V45,-3)</f>
        <v>61000</v>
      </c>
      <c r="Y45" s="51" t="s">
        <v>345</v>
      </c>
    </row>
    <row r="46" spans="1:25" s="10" customFormat="1" ht="19.5" customHeight="1">
      <c r="A46" s="54"/>
      <c r="B46" s="40"/>
      <c r="C46" s="40"/>
      <c r="D46" s="40"/>
      <c r="E46" s="42"/>
      <c r="F46" s="42"/>
      <c r="G46" s="43"/>
      <c r="H46" s="62"/>
      <c r="I46" s="277" t="s">
        <v>466</v>
      </c>
      <c r="J46" s="60"/>
      <c r="K46" s="202"/>
      <c r="L46" s="202"/>
      <c r="M46" s="287">
        <f>M17</f>
        <v>37300</v>
      </c>
      <c r="N46" s="287" t="s">
        <v>25</v>
      </c>
      <c r="O46" s="200" t="s">
        <v>26</v>
      </c>
      <c r="P46" s="444">
        <v>24</v>
      </c>
      <c r="Q46" s="48" t="s">
        <v>137</v>
      </c>
      <c r="R46" s="461" t="s">
        <v>26</v>
      </c>
      <c r="S46" s="50">
        <v>2</v>
      </c>
      <c r="T46" s="443" t="s">
        <v>465</v>
      </c>
      <c r="U46" s="443" t="s">
        <v>26</v>
      </c>
      <c r="V46" s="475">
        <v>7.0000000000000007E-2</v>
      </c>
      <c r="W46" s="288" t="s">
        <v>27</v>
      </c>
      <c r="X46" s="60">
        <f>ROUND(M46*P46*S46*V46,-3)</f>
        <v>125000</v>
      </c>
      <c r="Y46" s="51" t="s">
        <v>345</v>
      </c>
    </row>
    <row r="47" spans="1:25" s="10" customFormat="1" ht="19.5" customHeight="1">
      <c r="A47" s="54"/>
      <c r="B47" s="40"/>
      <c r="C47" s="40"/>
      <c r="D47" s="53"/>
      <c r="E47" s="55"/>
      <c r="F47" s="55"/>
      <c r="G47" s="56"/>
      <c r="H47" s="76"/>
      <c r="I47" s="353"/>
      <c r="J47" s="64"/>
      <c r="K47" s="465"/>
      <c r="L47" s="465"/>
      <c r="M47" s="216"/>
      <c r="N47" s="216"/>
      <c r="O47" s="464"/>
      <c r="P47" s="216"/>
      <c r="Q47" s="119"/>
      <c r="R47" s="463"/>
      <c r="S47" s="471"/>
      <c r="T47" s="193"/>
      <c r="U47" s="193"/>
      <c r="V47" s="462"/>
      <c r="W47" s="353"/>
      <c r="X47" s="64"/>
      <c r="Y47" s="65"/>
    </row>
    <row r="48" spans="1:25" s="10" customFormat="1" ht="19.5" customHeight="1" thickBot="1">
      <c r="A48" s="54"/>
      <c r="B48" s="40"/>
      <c r="C48" s="40"/>
      <c r="D48" s="30" t="s">
        <v>464</v>
      </c>
      <c r="E48" s="31">
        <v>79646</v>
      </c>
      <c r="F48" s="229">
        <f>ROUND(X48/1000,0)</f>
        <v>77481</v>
      </c>
      <c r="G48" s="32">
        <f>F48-E48</f>
        <v>-2165</v>
      </c>
      <c r="H48" s="109">
        <f>IF(E48=0,0,G48/E48)</f>
        <v>-2.7182783818396405E-2</v>
      </c>
      <c r="I48" s="235" t="s">
        <v>980</v>
      </c>
      <c r="J48" s="234"/>
      <c r="K48" s="239"/>
      <c r="L48" s="239"/>
      <c r="M48" s="80"/>
      <c r="N48" s="80"/>
      <c r="O48" s="230"/>
      <c r="P48" s="80"/>
      <c r="Q48" s="231"/>
      <c r="R48" s="232"/>
      <c r="S48" s="233"/>
      <c r="T48" s="238"/>
      <c r="U48" s="238"/>
      <c r="V48" s="236" t="s">
        <v>438</v>
      </c>
      <c r="W48" s="237"/>
      <c r="X48" s="237">
        <f>SUM(X49,X50,X54,X56)</f>
        <v>77481000</v>
      </c>
      <c r="Y48" s="260" t="s">
        <v>345</v>
      </c>
    </row>
    <row r="49" spans="1:26" s="10" customFormat="1" ht="19.5" customHeight="1">
      <c r="A49" s="54"/>
      <c r="B49" s="40"/>
      <c r="C49" s="40"/>
      <c r="D49" s="40"/>
      <c r="E49" s="42"/>
      <c r="F49" s="42"/>
      <c r="G49" s="43"/>
      <c r="H49" s="62"/>
      <c r="I49" s="278" t="s">
        <v>463</v>
      </c>
      <c r="J49" s="288"/>
      <c r="K49" s="287"/>
      <c r="L49" s="287"/>
      <c r="M49" s="287">
        <f>M20</f>
        <v>1092026000</v>
      </c>
      <c r="N49" s="287" t="s">
        <v>345</v>
      </c>
      <c r="O49" s="66" t="s">
        <v>359</v>
      </c>
      <c r="P49" s="474">
        <v>4.4999999999999998E-2</v>
      </c>
      <c r="Q49" s="287"/>
      <c r="R49" s="287"/>
      <c r="S49" s="287"/>
      <c r="T49" s="287"/>
      <c r="U49" s="287" t="s">
        <v>358</v>
      </c>
      <c r="V49" s="216" t="s">
        <v>346</v>
      </c>
      <c r="W49" s="64"/>
      <c r="X49" s="216">
        <f>ROUND(M49*P49,-3)</f>
        <v>49141000</v>
      </c>
      <c r="Y49" s="65" t="s">
        <v>25</v>
      </c>
    </row>
    <row r="50" spans="1:26" s="10" customFormat="1" ht="19.5" customHeight="1">
      <c r="A50" s="54"/>
      <c r="B50" s="40"/>
      <c r="C50" s="40"/>
      <c r="D50" s="40"/>
      <c r="E50" s="42"/>
      <c r="F50" s="42"/>
      <c r="G50" s="43"/>
      <c r="H50" s="62"/>
      <c r="I50" s="279" t="s">
        <v>462</v>
      </c>
      <c r="J50" s="288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133" t="s">
        <v>346</v>
      </c>
      <c r="W50" s="134"/>
      <c r="X50" s="133">
        <f>SUM(X51:X53)</f>
        <v>16391000</v>
      </c>
      <c r="Y50" s="135" t="s">
        <v>25</v>
      </c>
    </row>
    <row r="51" spans="1:26" s="10" customFormat="1" ht="19.5" customHeight="1">
      <c r="A51" s="54"/>
      <c r="B51" s="40"/>
      <c r="C51" s="40"/>
      <c r="D51" s="40"/>
      <c r="E51" s="42"/>
      <c r="F51" s="42"/>
      <c r="G51" s="43"/>
      <c r="H51" s="62"/>
      <c r="I51" s="277" t="s">
        <v>429</v>
      </c>
      <c r="J51" s="288"/>
      <c r="K51" s="287"/>
      <c r="L51" s="287"/>
      <c r="M51" s="287">
        <f>M22</f>
        <v>108793000</v>
      </c>
      <c r="N51" s="287" t="s">
        <v>345</v>
      </c>
      <c r="O51" s="66" t="s">
        <v>359</v>
      </c>
      <c r="P51" s="474">
        <v>4.4999999999999998E-2</v>
      </c>
      <c r="Q51" s="287"/>
      <c r="R51" s="287"/>
      <c r="S51" s="287"/>
      <c r="T51" s="287"/>
      <c r="U51" s="287" t="s">
        <v>358</v>
      </c>
      <c r="V51" s="818"/>
      <c r="W51" s="818"/>
      <c r="X51" s="234">
        <f>ROUND(M51*P51,-3)</f>
        <v>4896000</v>
      </c>
      <c r="Y51" s="469" t="s">
        <v>345</v>
      </c>
    </row>
    <row r="52" spans="1:26" s="10" customFormat="1" ht="19.5" customHeight="1">
      <c r="A52" s="54"/>
      <c r="B52" s="40"/>
      <c r="C52" s="40"/>
      <c r="D52" s="40"/>
      <c r="E52" s="42"/>
      <c r="F52" s="42"/>
      <c r="G52" s="43"/>
      <c r="H52" s="62"/>
      <c r="I52" s="277" t="s">
        <v>428</v>
      </c>
      <c r="J52" s="288"/>
      <c r="K52" s="287"/>
      <c r="L52" s="287"/>
      <c r="M52" s="287">
        <f>M23</f>
        <v>15080000</v>
      </c>
      <c r="N52" s="287" t="s">
        <v>345</v>
      </c>
      <c r="O52" s="66" t="s">
        <v>359</v>
      </c>
      <c r="P52" s="474">
        <v>4.4999999999999998E-2</v>
      </c>
      <c r="Q52" s="287"/>
      <c r="R52" s="287"/>
      <c r="S52" s="287"/>
      <c r="T52" s="287"/>
      <c r="U52" s="287" t="s">
        <v>358</v>
      </c>
      <c r="V52" s="817"/>
      <c r="W52" s="817"/>
      <c r="X52" s="60">
        <f>ROUND(M52*P52,-3)</f>
        <v>679000</v>
      </c>
      <c r="Y52" s="51" t="s">
        <v>345</v>
      </c>
    </row>
    <row r="53" spans="1:26" s="10" customFormat="1" ht="19.5" customHeight="1">
      <c r="A53" s="54"/>
      <c r="B53" s="40"/>
      <c r="C53" s="40"/>
      <c r="D53" s="40"/>
      <c r="E53" s="42"/>
      <c r="F53" s="42"/>
      <c r="G53" s="43"/>
      <c r="H53" s="62"/>
      <c r="I53" s="277" t="s">
        <v>427</v>
      </c>
      <c r="J53" s="288"/>
      <c r="K53" s="287"/>
      <c r="L53" s="287"/>
      <c r="M53" s="287">
        <f>M24</f>
        <v>240356000</v>
      </c>
      <c r="N53" s="287" t="s">
        <v>345</v>
      </c>
      <c r="O53" s="66" t="s">
        <v>359</v>
      </c>
      <c r="P53" s="474">
        <v>4.4999999999999998E-2</v>
      </c>
      <c r="Q53" s="287"/>
      <c r="R53" s="287"/>
      <c r="S53" s="287"/>
      <c r="T53" s="287"/>
      <c r="U53" s="287" t="s">
        <v>358</v>
      </c>
      <c r="V53" s="817"/>
      <c r="W53" s="817"/>
      <c r="X53" s="60">
        <f>ROUNDDOWN(M53*P53,-3)</f>
        <v>10816000</v>
      </c>
      <c r="Y53" s="51" t="s">
        <v>345</v>
      </c>
    </row>
    <row r="54" spans="1:26" s="10" customFormat="1" ht="19.5" customHeight="1">
      <c r="A54" s="54"/>
      <c r="B54" s="40"/>
      <c r="C54" s="40"/>
      <c r="D54" s="40"/>
      <c r="E54" s="42"/>
      <c r="F54" s="42"/>
      <c r="G54" s="43"/>
      <c r="H54" s="62"/>
      <c r="I54" s="278" t="s">
        <v>461</v>
      </c>
      <c r="J54" s="288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16" t="s">
        <v>346</v>
      </c>
      <c r="W54" s="64"/>
      <c r="X54" s="216">
        <f>X55</f>
        <v>5461000</v>
      </c>
      <c r="Y54" s="65" t="s">
        <v>25</v>
      </c>
    </row>
    <row r="55" spans="1:26" s="10" customFormat="1" ht="19.5" customHeight="1">
      <c r="A55" s="54"/>
      <c r="B55" s="40"/>
      <c r="C55" s="40"/>
      <c r="D55" s="40"/>
      <c r="E55" s="42"/>
      <c r="F55" s="42"/>
      <c r="G55" s="43"/>
      <c r="H55" s="62"/>
      <c r="I55" s="277" t="s">
        <v>981</v>
      </c>
      <c r="J55" s="288"/>
      <c r="K55" s="287"/>
      <c r="L55" s="287"/>
      <c r="M55" s="287">
        <f>SUM(M49:M53)</f>
        <v>1456255000</v>
      </c>
      <c r="N55" s="48" t="s">
        <v>345</v>
      </c>
      <c r="O55" s="443" t="s">
        <v>366</v>
      </c>
      <c r="P55" s="468">
        <v>12</v>
      </c>
      <c r="Q55" s="200" t="s">
        <v>365</v>
      </c>
      <c r="R55" s="66" t="s">
        <v>359</v>
      </c>
      <c r="S55" s="474">
        <v>4.4999999999999998E-2</v>
      </c>
      <c r="T55" s="287"/>
      <c r="U55" s="287" t="s">
        <v>358</v>
      </c>
      <c r="V55" s="80"/>
      <c r="W55" s="80"/>
      <c r="X55" s="234">
        <f>ROUND(M55/P55*S55,-3)</f>
        <v>5461000</v>
      </c>
      <c r="Y55" s="483" t="s">
        <v>345</v>
      </c>
      <c r="Z55" s="6"/>
    </row>
    <row r="56" spans="1:26" s="10" customFormat="1" ht="19.5" customHeight="1">
      <c r="A56" s="54"/>
      <c r="B56" s="40"/>
      <c r="C56" s="40"/>
      <c r="D56" s="40"/>
      <c r="E56" s="42"/>
      <c r="F56" s="42"/>
      <c r="G56" s="43"/>
      <c r="H56" s="62"/>
      <c r="I56" s="278" t="s">
        <v>460</v>
      </c>
      <c r="J56" s="288"/>
      <c r="K56" s="287"/>
      <c r="L56" s="287"/>
      <c r="M56" s="287"/>
      <c r="N56" s="48"/>
      <c r="O56" s="287"/>
      <c r="P56" s="287"/>
      <c r="Q56" s="287"/>
      <c r="R56" s="287"/>
      <c r="S56" s="287"/>
      <c r="T56" s="287"/>
      <c r="U56" s="287"/>
      <c r="V56" s="216" t="s">
        <v>346</v>
      </c>
      <c r="W56" s="64"/>
      <c r="X56" s="216">
        <f>SUM(X57:X61)</f>
        <v>6488000</v>
      </c>
      <c r="Y56" s="65" t="s">
        <v>25</v>
      </c>
    </row>
    <row r="57" spans="1:26" s="10" customFormat="1" ht="19.5" customHeight="1">
      <c r="A57" s="54"/>
      <c r="B57" s="40"/>
      <c r="C57" s="40"/>
      <c r="D57" s="40"/>
      <c r="E57" s="42"/>
      <c r="F57" s="42"/>
      <c r="G57" s="43"/>
      <c r="H57" s="62"/>
      <c r="I57" s="277" t="s">
        <v>459</v>
      </c>
      <c r="J57" s="288"/>
      <c r="K57" s="287"/>
      <c r="L57" s="287"/>
      <c r="M57" s="287">
        <f>M55</f>
        <v>1456255000</v>
      </c>
      <c r="N57" s="48" t="s">
        <v>345</v>
      </c>
      <c r="O57" s="66" t="s">
        <v>359</v>
      </c>
      <c r="P57" s="457">
        <v>0.09</v>
      </c>
      <c r="Q57" s="443">
        <v>2</v>
      </c>
      <c r="R57" s="66" t="s">
        <v>359</v>
      </c>
      <c r="S57" s="474">
        <v>4.4999999999999998E-2</v>
      </c>
      <c r="T57" s="68"/>
      <c r="U57" s="443" t="s">
        <v>358</v>
      </c>
      <c r="V57" s="287"/>
      <c r="W57" s="60"/>
      <c r="X57" s="60">
        <f>ROUNDUP(M57*P57/Q57*S57,-3)</f>
        <v>2949000</v>
      </c>
      <c r="Y57" s="51" t="s">
        <v>345</v>
      </c>
    </row>
    <row r="58" spans="1:26" s="10" customFormat="1" ht="19.5" customHeight="1">
      <c r="A58" s="54"/>
      <c r="B58" s="40"/>
      <c r="C58" s="40"/>
      <c r="D58" s="40"/>
      <c r="E58" s="42"/>
      <c r="F58" s="42"/>
      <c r="G58" s="43"/>
      <c r="H58" s="62"/>
      <c r="I58" s="277" t="s">
        <v>458</v>
      </c>
      <c r="J58" s="288"/>
      <c r="K58" s="287"/>
      <c r="L58" s="287"/>
      <c r="M58" s="287">
        <f>M55</f>
        <v>1456255000</v>
      </c>
      <c r="N58" s="48" t="s">
        <v>345</v>
      </c>
      <c r="O58" s="66" t="s">
        <v>359</v>
      </c>
      <c r="P58" s="456">
        <v>6.6699999999999995E-2</v>
      </c>
      <c r="Q58" s="443">
        <v>2</v>
      </c>
      <c r="R58" s="66" t="s">
        <v>359</v>
      </c>
      <c r="S58" s="474">
        <v>4.4999999999999998E-2</v>
      </c>
      <c r="T58" s="68"/>
      <c r="U58" s="443" t="s">
        <v>358</v>
      </c>
      <c r="V58" s="287"/>
      <c r="W58" s="60"/>
      <c r="X58" s="60">
        <f>ROUNDUP(M58*P58/Q58*S58,-3)</f>
        <v>2186000</v>
      </c>
      <c r="Y58" s="51" t="s">
        <v>345</v>
      </c>
    </row>
    <row r="59" spans="1:26" s="10" customFormat="1" ht="19.5" customHeight="1">
      <c r="A59" s="54"/>
      <c r="B59" s="40"/>
      <c r="C59" s="40"/>
      <c r="D59" s="40"/>
      <c r="E59" s="42"/>
      <c r="F59" s="42"/>
      <c r="G59" s="43"/>
      <c r="H59" s="62"/>
      <c r="I59" s="277" t="s">
        <v>457</v>
      </c>
      <c r="J59" s="288"/>
      <c r="K59" s="287"/>
      <c r="L59" s="287"/>
      <c r="M59" s="287">
        <f>X58</f>
        <v>2186000</v>
      </c>
      <c r="N59" s="48" t="s">
        <v>345</v>
      </c>
      <c r="O59" s="66" t="s">
        <v>359</v>
      </c>
      <c r="P59" s="70">
        <v>0.10249999999999999</v>
      </c>
      <c r="Q59" s="455"/>
      <c r="R59" s="66"/>
      <c r="S59" s="69"/>
      <c r="T59" s="454"/>
      <c r="U59" s="443" t="s">
        <v>358</v>
      </c>
      <c r="V59" s="287"/>
      <c r="W59" s="60"/>
      <c r="X59" s="60">
        <f>ROUND(M59*P59,-3)</f>
        <v>224000</v>
      </c>
      <c r="Y59" s="51" t="s">
        <v>345</v>
      </c>
    </row>
    <row r="60" spans="1:26" s="10" customFormat="1" ht="19.5" customHeight="1">
      <c r="A60" s="54"/>
      <c r="B60" s="40"/>
      <c r="C60" s="40"/>
      <c r="D60" s="40"/>
      <c r="E60" s="42"/>
      <c r="F60" s="42"/>
      <c r="G60" s="43"/>
      <c r="H60" s="62"/>
      <c r="I60" s="277" t="s">
        <v>456</v>
      </c>
      <c r="J60" s="288"/>
      <c r="K60" s="287"/>
      <c r="L60" s="287"/>
      <c r="M60" s="287">
        <f>M55</f>
        <v>1456255000</v>
      </c>
      <c r="N60" s="48" t="s">
        <v>345</v>
      </c>
      <c r="O60" s="66" t="s">
        <v>359</v>
      </c>
      <c r="P60" s="70">
        <v>1.0500000000000001E-2</v>
      </c>
      <c r="Q60" s="66"/>
      <c r="R60" s="66" t="s">
        <v>359</v>
      </c>
      <c r="S60" s="474">
        <v>4.4999999999999998E-2</v>
      </c>
      <c r="T60" s="68"/>
      <c r="U60" s="443" t="s">
        <v>358</v>
      </c>
      <c r="V60" s="287"/>
      <c r="W60" s="60"/>
      <c r="X60" s="60">
        <f>ROUND(M60*P60*S60,-3)</f>
        <v>688000</v>
      </c>
      <c r="Y60" s="51" t="s">
        <v>345</v>
      </c>
    </row>
    <row r="61" spans="1:26" s="10" customFormat="1" ht="19.5" customHeight="1">
      <c r="A61" s="54"/>
      <c r="B61" s="40"/>
      <c r="C61" s="40"/>
      <c r="D61" s="40"/>
      <c r="E61" s="42"/>
      <c r="F61" s="42"/>
      <c r="G61" s="43"/>
      <c r="H61" s="62"/>
      <c r="I61" s="277" t="s">
        <v>455</v>
      </c>
      <c r="J61" s="288"/>
      <c r="K61" s="287"/>
      <c r="L61" s="287"/>
      <c r="M61" s="287">
        <f>M55</f>
        <v>1456255000</v>
      </c>
      <c r="N61" s="48" t="s">
        <v>345</v>
      </c>
      <c r="O61" s="66" t="s">
        <v>359</v>
      </c>
      <c r="P61" s="453">
        <v>6.7299999999999999E-3</v>
      </c>
      <c r="Q61" s="66"/>
      <c r="R61" s="66" t="s">
        <v>359</v>
      </c>
      <c r="S61" s="474">
        <v>4.4999999999999998E-2</v>
      </c>
      <c r="T61" s="68"/>
      <c r="U61" s="443" t="s">
        <v>358</v>
      </c>
      <c r="V61" s="287"/>
      <c r="W61" s="60"/>
      <c r="X61" s="60">
        <f>ROUND(M61*P61*S61,-3)</f>
        <v>441000</v>
      </c>
      <c r="Y61" s="51" t="s">
        <v>345</v>
      </c>
    </row>
    <row r="62" spans="1:26" s="10" customFormat="1" ht="19.5" customHeight="1">
      <c r="A62" s="54"/>
      <c r="B62" s="40"/>
      <c r="C62" s="40"/>
      <c r="D62" s="53"/>
      <c r="E62" s="55"/>
      <c r="F62" s="55"/>
      <c r="G62" s="56"/>
      <c r="H62" s="76"/>
      <c r="I62" s="353"/>
      <c r="J62" s="64"/>
      <c r="K62" s="465"/>
      <c r="L62" s="465"/>
      <c r="M62" s="216"/>
      <c r="N62" s="216"/>
      <c r="O62" s="464"/>
      <c r="P62" s="216"/>
      <c r="Q62" s="119"/>
      <c r="R62" s="463"/>
      <c r="S62" s="471"/>
      <c r="T62" s="193"/>
      <c r="U62" s="193"/>
      <c r="V62" s="462"/>
      <c r="W62" s="353"/>
      <c r="X62" s="64"/>
      <c r="Y62" s="65"/>
    </row>
    <row r="63" spans="1:26" s="10" customFormat="1" ht="19.5" customHeight="1" thickBot="1">
      <c r="A63" s="54"/>
      <c r="B63" s="40"/>
      <c r="C63" s="40"/>
      <c r="D63" s="30" t="s">
        <v>454</v>
      </c>
      <c r="E63" s="31">
        <v>3838</v>
      </c>
      <c r="F63" s="229">
        <f>ROUND(X63/1000,0)</f>
        <v>3715</v>
      </c>
      <c r="G63" s="32">
        <f>F63-E63</f>
        <v>-123</v>
      </c>
      <c r="H63" s="109">
        <f>IF(E63=0,0,G63/E63)</f>
        <v>-3.2047941636268888E-2</v>
      </c>
      <c r="I63" s="235" t="s">
        <v>453</v>
      </c>
      <c r="J63" s="234"/>
      <c r="K63" s="239"/>
      <c r="L63" s="239"/>
      <c r="M63" s="80"/>
      <c r="N63" s="80"/>
      <c r="O63" s="230"/>
      <c r="P63" s="80"/>
      <c r="Q63" s="231"/>
      <c r="R63" s="232"/>
      <c r="S63" s="233"/>
      <c r="T63" s="238"/>
      <c r="U63" s="238"/>
      <c r="V63" s="236" t="s">
        <v>438</v>
      </c>
      <c r="W63" s="237"/>
      <c r="X63" s="237">
        <f>SUM(X64:X68)</f>
        <v>3715000</v>
      </c>
      <c r="Y63" s="260" t="s">
        <v>345</v>
      </c>
    </row>
    <row r="64" spans="1:26" s="10" customFormat="1" ht="19.5" customHeight="1">
      <c r="A64" s="54"/>
      <c r="B64" s="40"/>
      <c r="C64" s="40"/>
      <c r="D64" s="40"/>
      <c r="E64" s="42"/>
      <c r="F64" s="42"/>
      <c r="G64" s="43"/>
      <c r="H64" s="62"/>
      <c r="I64" s="288" t="s">
        <v>452</v>
      </c>
      <c r="J64" s="60"/>
      <c r="K64" s="202"/>
      <c r="L64" s="202"/>
      <c r="M64" s="269">
        <f>M35</f>
        <v>2286000</v>
      </c>
      <c r="N64" s="269" t="s">
        <v>25</v>
      </c>
      <c r="O64" s="355" t="s">
        <v>26</v>
      </c>
      <c r="P64" s="356">
        <v>30</v>
      </c>
      <c r="Q64" s="357" t="s">
        <v>360</v>
      </c>
      <c r="R64" s="325" t="s">
        <v>359</v>
      </c>
      <c r="S64" s="358">
        <v>4.4999999999999998E-2</v>
      </c>
      <c r="T64" s="330"/>
      <c r="U64" s="328" t="s">
        <v>358</v>
      </c>
      <c r="V64" s="817"/>
      <c r="W64" s="817"/>
      <c r="X64" s="60">
        <f>ROUNDDOWN(M64*P64*S64,-3)</f>
        <v>3086000</v>
      </c>
      <c r="Y64" s="51" t="s">
        <v>345</v>
      </c>
    </row>
    <row r="65" spans="1:25" s="10" customFormat="1" ht="19.5" customHeight="1">
      <c r="A65" s="54"/>
      <c r="B65" s="40"/>
      <c r="C65" s="40"/>
      <c r="D65" s="40"/>
      <c r="E65" s="42"/>
      <c r="F65" s="42"/>
      <c r="G65" s="43"/>
      <c r="H65" s="62"/>
      <c r="I65" s="288" t="s">
        <v>451</v>
      </c>
      <c r="J65" s="60"/>
      <c r="K65" s="202"/>
      <c r="L65" s="202"/>
      <c r="M65" s="269">
        <f>M36</f>
        <v>635000</v>
      </c>
      <c r="N65" s="269" t="s">
        <v>25</v>
      </c>
      <c r="O65" s="355" t="s">
        <v>26</v>
      </c>
      <c r="P65" s="356">
        <v>22</v>
      </c>
      <c r="Q65" s="357" t="s">
        <v>360</v>
      </c>
      <c r="R65" s="325" t="s">
        <v>359</v>
      </c>
      <c r="S65" s="358">
        <v>4.4999999999999998E-2</v>
      </c>
      <c r="T65" s="330"/>
      <c r="U65" s="328" t="s">
        <v>358</v>
      </c>
      <c r="V65" s="817"/>
      <c r="W65" s="817"/>
      <c r="X65" s="60">
        <f>ROUND(M65*P65*S65,-3)</f>
        <v>629000</v>
      </c>
      <c r="Y65" s="51" t="s">
        <v>345</v>
      </c>
    </row>
    <row r="66" spans="1:25" s="10" customFormat="1" ht="19.5" customHeight="1">
      <c r="A66" s="54"/>
      <c r="B66" s="40"/>
      <c r="C66" s="40"/>
      <c r="D66" s="40"/>
      <c r="E66" s="42"/>
      <c r="F66" s="42"/>
      <c r="G66" s="43"/>
      <c r="H66" s="62"/>
      <c r="I66" s="288"/>
      <c r="J66" s="60"/>
      <c r="K66" s="202"/>
      <c r="L66" s="202"/>
      <c r="M66" s="287"/>
      <c r="N66" s="287"/>
      <c r="O66" s="49"/>
      <c r="P66" s="443"/>
      <c r="Q66" s="287"/>
      <c r="R66" s="66"/>
      <c r="S66" s="474"/>
      <c r="T66" s="287"/>
      <c r="U66" s="287"/>
      <c r="V66" s="443"/>
      <c r="W66" s="443"/>
      <c r="X66" s="60"/>
      <c r="Y66" s="51"/>
    </row>
    <row r="67" spans="1:25" s="10" customFormat="1" ht="19.5" customHeight="1">
      <c r="A67" s="54"/>
      <c r="B67" s="40"/>
      <c r="C67" s="40"/>
      <c r="D67" s="40"/>
      <c r="E67" s="42"/>
      <c r="F67" s="42"/>
      <c r="G67" s="43"/>
      <c r="H67" s="62"/>
      <c r="I67" s="349" t="s">
        <v>481</v>
      </c>
      <c r="J67" s="272"/>
      <c r="K67" s="482"/>
      <c r="L67" s="482"/>
      <c r="M67" s="269"/>
      <c r="N67" s="269"/>
      <c r="O67" s="355"/>
      <c r="P67" s="269"/>
      <c r="Q67" s="357"/>
      <c r="R67" s="480"/>
      <c r="S67" s="359"/>
      <c r="T67" s="328"/>
      <c r="U67" s="328"/>
      <c r="V67" s="479"/>
      <c r="W67" s="271"/>
      <c r="X67" s="272"/>
      <c r="Y67" s="295"/>
    </row>
    <row r="68" spans="1:25" s="10" customFormat="1" ht="19.5" customHeight="1">
      <c r="A68" s="54"/>
      <c r="B68" s="40"/>
      <c r="C68" s="40"/>
      <c r="D68" s="40"/>
      <c r="E68" s="42"/>
      <c r="F68" s="42"/>
      <c r="G68" s="43"/>
      <c r="H68" s="62"/>
      <c r="I68" s="274" t="s">
        <v>669</v>
      </c>
      <c r="J68" s="272"/>
      <c r="K68" s="482"/>
      <c r="L68" s="482"/>
      <c r="M68" s="269">
        <v>0</v>
      </c>
      <c r="N68" s="269" t="s">
        <v>25</v>
      </c>
      <c r="O68" s="355" t="s">
        <v>26</v>
      </c>
      <c r="P68" s="481">
        <v>0.5</v>
      </c>
      <c r="Q68" s="357"/>
      <c r="R68" s="480"/>
      <c r="S68" s="359"/>
      <c r="T68" s="328"/>
      <c r="U68" s="328"/>
      <c r="V68" s="479"/>
      <c r="W68" s="271" t="s">
        <v>27</v>
      </c>
      <c r="X68" s="272">
        <f>M68*P68</f>
        <v>0</v>
      </c>
      <c r="Y68" s="295" t="s">
        <v>345</v>
      </c>
    </row>
    <row r="69" spans="1:25" s="10" customFormat="1" ht="19.5" customHeight="1">
      <c r="A69" s="54"/>
      <c r="B69" s="40"/>
      <c r="C69" s="40"/>
      <c r="D69" s="53"/>
      <c r="E69" s="55"/>
      <c r="F69" s="55"/>
      <c r="G69" s="56"/>
      <c r="H69" s="76"/>
      <c r="I69" s="353"/>
      <c r="J69" s="64"/>
      <c r="K69" s="465"/>
      <c r="L69" s="465"/>
      <c r="M69" s="216"/>
      <c r="N69" s="216"/>
      <c r="O69" s="464"/>
      <c r="P69" s="216"/>
      <c r="Q69" s="119"/>
      <c r="R69" s="463"/>
      <c r="S69" s="471"/>
      <c r="T69" s="193"/>
      <c r="U69" s="193"/>
      <c r="V69" s="462"/>
      <c r="W69" s="353"/>
      <c r="X69" s="64"/>
      <c r="Y69" s="65"/>
    </row>
    <row r="70" spans="1:25" s="10" customFormat="1" ht="19.5" customHeight="1" thickBot="1">
      <c r="A70" s="54"/>
      <c r="B70" s="40"/>
      <c r="C70" s="40"/>
      <c r="D70" s="30" t="s">
        <v>450</v>
      </c>
      <c r="E70" s="31">
        <v>6404</v>
      </c>
      <c r="F70" s="229">
        <f>ROUND(X70/1000,0)</f>
        <v>6404</v>
      </c>
      <c r="G70" s="32">
        <f>F70-E70</f>
        <v>0</v>
      </c>
      <c r="H70" s="109">
        <f>IF(E70=0,0,G70/E70)</f>
        <v>0</v>
      </c>
      <c r="I70" s="235" t="s">
        <v>449</v>
      </c>
      <c r="J70" s="234"/>
      <c r="K70" s="239"/>
      <c r="L70" s="239"/>
      <c r="M70" s="80"/>
      <c r="N70" s="80"/>
      <c r="O70" s="230"/>
      <c r="P70" s="80"/>
      <c r="Q70" s="231"/>
      <c r="R70" s="232"/>
      <c r="S70" s="233"/>
      <c r="T70" s="238"/>
      <c r="U70" s="238"/>
      <c r="V70" s="236" t="s">
        <v>438</v>
      </c>
      <c r="W70" s="237"/>
      <c r="X70" s="237">
        <f>SUM(X71:X76)</f>
        <v>6404000</v>
      </c>
      <c r="Y70" s="260" t="s">
        <v>345</v>
      </c>
    </row>
    <row r="71" spans="1:25" s="10" customFormat="1" ht="19.5" customHeight="1">
      <c r="A71" s="54"/>
      <c r="B71" s="40"/>
      <c r="C71" s="40"/>
      <c r="D71" s="40" t="s">
        <v>448</v>
      </c>
      <c r="E71" s="42"/>
      <c r="F71" s="42"/>
      <c r="G71" s="43"/>
      <c r="H71" s="62"/>
      <c r="I71" s="59" t="s">
        <v>447</v>
      </c>
      <c r="J71" s="288"/>
      <c r="K71" s="287"/>
      <c r="L71" s="287"/>
      <c r="M71" s="287">
        <v>500</v>
      </c>
      <c r="N71" s="287" t="s">
        <v>345</v>
      </c>
      <c r="O71" s="288" t="s">
        <v>359</v>
      </c>
      <c r="P71" s="473">
        <v>52</v>
      </c>
      <c r="Q71" s="459">
        <v>365</v>
      </c>
      <c r="R71" s="287" t="s">
        <v>446</v>
      </c>
      <c r="S71" s="472">
        <v>0.3</v>
      </c>
      <c r="T71" s="287"/>
      <c r="U71" s="287" t="s">
        <v>358</v>
      </c>
      <c r="V71" s="287"/>
      <c r="W71" s="60"/>
      <c r="X71" s="60">
        <f>ROUND(M71*P71*Q71*S71,-3)</f>
        <v>2847000</v>
      </c>
      <c r="Y71" s="51" t="s">
        <v>25</v>
      </c>
    </row>
    <row r="72" spans="1:25" s="10" customFormat="1" ht="19.5" customHeight="1">
      <c r="A72" s="54"/>
      <c r="B72" s="40"/>
      <c r="C72" s="40"/>
      <c r="D72" s="40"/>
      <c r="E72" s="42"/>
      <c r="F72" s="42"/>
      <c r="G72" s="43"/>
      <c r="H72" s="62"/>
      <c r="I72" s="59" t="s">
        <v>445</v>
      </c>
      <c r="J72" s="288"/>
      <c r="K72" s="287"/>
      <c r="L72" s="287"/>
      <c r="M72" s="287">
        <v>5000</v>
      </c>
      <c r="N72" s="287" t="s">
        <v>345</v>
      </c>
      <c r="O72" s="288" t="s">
        <v>359</v>
      </c>
      <c r="P72" s="473">
        <v>52</v>
      </c>
      <c r="Q72" s="459">
        <v>12</v>
      </c>
      <c r="R72" s="287" t="s">
        <v>365</v>
      </c>
      <c r="S72" s="472">
        <v>0.3</v>
      </c>
      <c r="T72" s="287"/>
      <c r="U72" s="287" t="s">
        <v>358</v>
      </c>
      <c r="V72" s="287"/>
      <c r="W72" s="60"/>
      <c r="X72" s="60">
        <f>ROUNDUP(M72*P72*Q72*S72,-3)</f>
        <v>936000</v>
      </c>
      <c r="Y72" s="51" t="s">
        <v>25</v>
      </c>
    </row>
    <row r="73" spans="1:25" s="10" customFormat="1" ht="19.5" customHeight="1">
      <c r="A73" s="54"/>
      <c r="B73" s="40"/>
      <c r="C73" s="40"/>
      <c r="D73" s="40"/>
      <c r="E73" s="42"/>
      <c r="F73" s="42"/>
      <c r="G73" s="43"/>
      <c r="H73" s="62"/>
      <c r="I73" s="59" t="s">
        <v>444</v>
      </c>
      <c r="J73" s="288"/>
      <c r="K73" s="287"/>
      <c r="L73" s="287"/>
      <c r="M73" s="287">
        <v>20000</v>
      </c>
      <c r="N73" s="287" t="s">
        <v>345</v>
      </c>
      <c r="O73" s="288" t="s">
        <v>359</v>
      </c>
      <c r="P73" s="473">
        <v>52</v>
      </c>
      <c r="Q73" s="459">
        <v>4</v>
      </c>
      <c r="R73" s="287" t="s">
        <v>361</v>
      </c>
      <c r="S73" s="472">
        <v>0.3</v>
      </c>
      <c r="T73" s="287"/>
      <c r="U73" s="287" t="s">
        <v>358</v>
      </c>
      <c r="V73" s="287"/>
      <c r="W73" s="60"/>
      <c r="X73" s="60">
        <f>ROUNDUP(M73*P73*Q73*S73,-3)</f>
        <v>1248000</v>
      </c>
      <c r="Y73" s="51" t="s">
        <v>25</v>
      </c>
    </row>
    <row r="74" spans="1:25" s="10" customFormat="1" ht="19.5" customHeight="1">
      <c r="A74" s="54"/>
      <c r="B74" s="40"/>
      <c r="C74" s="40"/>
      <c r="D74" s="40"/>
      <c r="E74" s="42"/>
      <c r="F74" s="42"/>
      <c r="G74" s="43"/>
      <c r="H74" s="62"/>
      <c r="I74" s="59" t="s">
        <v>443</v>
      </c>
      <c r="J74" s="288"/>
      <c r="K74" s="287"/>
      <c r="L74" s="287"/>
      <c r="M74" s="287">
        <v>12000</v>
      </c>
      <c r="N74" s="287" t="s">
        <v>345</v>
      </c>
      <c r="O74" s="288" t="s">
        <v>359</v>
      </c>
      <c r="P74" s="473">
        <v>52</v>
      </c>
      <c r="Q74" s="459">
        <v>4</v>
      </c>
      <c r="R74" s="287" t="s">
        <v>361</v>
      </c>
      <c r="S74" s="472">
        <v>0.3</v>
      </c>
      <c r="T74" s="287"/>
      <c r="U74" s="287" t="s">
        <v>358</v>
      </c>
      <c r="V74" s="287"/>
      <c r="W74" s="60"/>
      <c r="X74" s="60">
        <f>ROUND(M74*P74*Q74*S74,-3)</f>
        <v>749000</v>
      </c>
      <c r="Y74" s="51" t="s">
        <v>25</v>
      </c>
    </row>
    <row r="75" spans="1:25" s="10" customFormat="1" ht="19.5" customHeight="1">
      <c r="A75" s="54"/>
      <c r="B75" s="40"/>
      <c r="C75" s="40"/>
      <c r="D75" s="40"/>
      <c r="E75" s="42"/>
      <c r="F75" s="42"/>
      <c r="G75" s="43"/>
      <c r="H75" s="62"/>
      <c r="I75" s="59" t="s">
        <v>442</v>
      </c>
      <c r="J75" s="288"/>
      <c r="K75" s="287"/>
      <c r="L75" s="287"/>
      <c r="M75" s="287"/>
      <c r="N75" s="287"/>
      <c r="O75" s="288"/>
      <c r="P75" s="473"/>
      <c r="Q75" s="459"/>
      <c r="R75" s="287"/>
      <c r="S75" s="287"/>
      <c r="T75" s="287"/>
      <c r="U75" s="287"/>
      <c r="V75" s="287"/>
      <c r="W75" s="60"/>
      <c r="X75" s="60"/>
      <c r="Y75" s="51"/>
    </row>
    <row r="76" spans="1:25" s="10" customFormat="1" ht="19.5" customHeight="1">
      <c r="A76" s="54"/>
      <c r="B76" s="40"/>
      <c r="C76" s="40"/>
      <c r="D76" s="40"/>
      <c r="E76" s="42"/>
      <c r="F76" s="42"/>
      <c r="G76" s="43"/>
      <c r="H76" s="62"/>
      <c r="I76" s="59" t="s">
        <v>441</v>
      </c>
      <c r="J76" s="288"/>
      <c r="K76" s="287"/>
      <c r="L76" s="287"/>
      <c r="M76" s="287">
        <v>40000</v>
      </c>
      <c r="N76" s="287" t="s">
        <v>345</v>
      </c>
      <c r="O76" s="288" t="s">
        <v>359</v>
      </c>
      <c r="P76" s="473">
        <v>52</v>
      </c>
      <c r="Q76" s="459">
        <v>1</v>
      </c>
      <c r="R76" s="287" t="s">
        <v>361</v>
      </c>
      <c r="S76" s="472">
        <v>0.3</v>
      </c>
      <c r="T76" s="287"/>
      <c r="U76" s="287" t="s">
        <v>358</v>
      </c>
      <c r="V76" s="287"/>
      <c r="W76" s="60"/>
      <c r="X76" s="60">
        <f>ROUND(M76*P76*Q76*S76,-3)</f>
        <v>624000</v>
      </c>
      <c r="Y76" s="51" t="s">
        <v>25</v>
      </c>
    </row>
    <row r="77" spans="1:25" s="10" customFormat="1" ht="19.5" customHeight="1">
      <c r="A77" s="54"/>
      <c r="B77" s="40"/>
      <c r="C77" s="40"/>
      <c r="D77" s="53"/>
      <c r="E77" s="55"/>
      <c r="F77" s="55"/>
      <c r="G77" s="56"/>
      <c r="H77" s="76"/>
      <c r="I77" s="353"/>
      <c r="J77" s="64"/>
      <c r="K77" s="465"/>
      <c r="L77" s="465"/>
      <c r="M77" s="216"/>
      <c r="N77" s="216"/>
      <c r="O77" s="464"/>
      <c r="P77" s="216"/>
      <c r="Q77" s="119"/>
      <c r="R77" s="463"/>
      <c r="S77" s="471"/>
      <c r="T77" s="193"/>
      <c r="U77" s="193"/>
      <c r="V77" s="462"/>
      <c r="W77" s="353"/>
      <c r="X77" s="64"/>
      <c r="Y77" s="65"/>
    </row>
    <row r="78" spans="1:25" s="10" customFormat="1" ht="19.5" customHeight="1" thickBot="1">
      <c r="A78" s="54"/>
      <c r="B78" s="40"/>
      <c r="C78" s="40"/>
      <c r="D78" s="30" t="s">
        <v>440</v>
      </c>
      <c r="E78" s="31">
        <v>12967</v>
      </c>
      <c r="F78" s="229">
        <f>ROUND(X78/1000,0)</f>
        <v>12935</v>
      </c>
      <c r="G78" s="32">
        <f>F78-E78</f>
        <v>-32</v>
      </c>
      <c r="H78" s="109">
        <f>IF(E78=0,0,G78/E78)</f>
        <v>-2.4678028842446209E-3</v>
      </c>
      <c r="I78" s="235" t="s">
        <v>439</v>
      </c>
      <c r="J78" s="234"/>
      <c r="K78" s="239"/>
      <c r="L78" s="239"/>
      <c r="M78" s="80"/>
      <c r="N78" s="80"/>
      <c r="O78" s="230"/>
      <c r="P78" s="80"/>
      <c r="Q78" s="231"/>
      <c r="R78" s="232"/>
      <c r="S78" s="233"/>
      <c r="T78" s="238"/>
      <c r="U78" s="238"/>
      <c r="V78" s="236" t="s">
        <v>438</v>
      </c>
      <c r="W78" s="237"/>
      <c r="X78" s="237">
        <f>X79+X97</f>
        <v>12935000</v>
      </c>
      <c r="Y78" s="260" t="s">
        <v>345</v>
      </c>
    </row>
    <row r="79" spans="1:25" s="10" customFormat="1" ht="19.5" customHeight="1">
      <c r="A79" s="54"/>
      <c r="B79" s="40"/>
      <c r="C79" s="40"/>
      <c r="D79" s="40" t="s">
        <v>437</v>
      </c>
      <c r="E79" s="42"/>
      <c r="F79" s="42"/>
      <c r="G79" s="43"/>
      <c r="H79" s="62"/>
      <c r="I79" s="470" t="s">
        <v>436</v>
      </c>
      <c r="J79" s="60"/>
      <c r="K79" s="202"/>
      <c r="L79" s="202"/>
      <c r="M79" s="287"/>
      <c r="N79" s="287"/>
      <c r="O79" s="200"/>
      <c r="P79" s="287"/>
      <c r="Q79" s="48"/>
      <c r="R79" s="461"/>
      <c r="S79" s="50"/>
      <c r="T79" s="443"/>
      <c r="U79" s="443"/>
      <c r="V79" s="216" t="s">
        <v>435</v>
      </c>
      <c r="W79" s="64"/>
      <c r="X79" s="216">
        <f>SUM(X80,X84,X88,X90)</f>
        <v>11315000</v>
      </c>
      <c r="Y79" s="65" t="s">
        <v>25</v>
      </c>
    </row>
    <row r="80" spans="1:25" s="10" customFormat="1" ht="19.5" customHeight="1">
      <c r="A80" s="54"/>
      <c r="B80" s="40"/>
      <c r="C80" s="40"/>
      <c r="D80" s="40"/>
      <c r="E80" s="42"/>
      <c r="F80" s="42"/>
      <c r="G80" s="43"/>
      <c r="H80" s="62"/>
      <c r="I80" s="63" t="s">
        <v>434</v>
      </c>
      <c r="J80" s="288"/>
      <c r="K80" s="287"/>
      <c r="L80" s="287"/>
      <c r="M80" s="287"/>
      <c r="N80" s="287"/>
      <c r="O80" s="66"/>
      <c r="P80" s="69"/>
      <c r="Q80" s="287"/>
      <c r="R80" s="287"/>
      <c r="S80" s="287"/>
      <c r="T80" s="287"/>
      <c r="U80" s="287"/>
      <c r="V80" s="216" t="s">
        <v>346</v>
      </c>
      <c r="W80" s="64"/>
      <c r="X80" s="216">
        <f>SUM(X81:X83)</f>
        <v>7064000</v>
      </c>
      <c r="Y80" s="65" t="s">
        <v>25</v>
      </c>
    </row>
    <row r="81" spans="1:25" s="10" customFormat="1" ht="19.5" customHeight="1">
      <c r="A81" s="54"/>
      <c r="B81" s="40"/>
      <c r="C81" s="40"/>
      <c r="D81" s="40"/>
      <c r="E81" s="42"/>
      <c r="F81" s="42"/>
      <c r="G81" s="43"/>
      <c r="H81" s="62"/>
      <c r="I81" s="280" t="s">
        <v>433</v>
      </c>
      <c r="J81" s="288"/>
      <c r="K81" s="287"/>
      <c r="L81" s="287"/>
      <c r="M81" s="287">
        <v>23092000</v>
      </c>
      <c r="N81" s="287" t="s">
        <v>345</v>
      </c>
      <c r="O81" s="66" t="s">
        <v>359</v>
      </c>
      <c r="P81" s="69">
        <v>0.1</v>
      </c>
      <c r="Q81" s="287"/>
      <c r="R81" s="287"/>
      <c r="S81" s="287"/>
      <c r="T81" s="287"/>
      <c r="U81" s="287" t="s">
        <v>358</v>
      </c>
      <c r="V81" s="80"/>
      <c r="W81" s="234"/>
      <c r="X81" s="80">
        <f>ROUND(M81*P81,-3)</f>
        <v>2309000</v>
      </c>
      <c r="Y81" s="469" t="s">
        <v>345</v>
      </c>
    </row>
    <row r="82" spans="1:25" s="10" customFormat="1" ht="19.5" customHeight="1">
      <c r="A82" s="54"/>
      <c r="B82" s="40"/>
      <c r="C82" s="40"/>
      <c r="D82" s="40"/>
      <c r="E82" s="42"/>
      <c r="F82" s="42"/>
      <c r="G82" s="43"/>
      <c r="H82" s="62"/>
      <c r="I82" s="277" t="s">
        <v>432</v>
      </c>
      <c r="J82" s="288"/>
      <c r="K82" s="287"/>
      <c r="L82" s="287"/>
      <c r="M82" s="287">
        <v>25122000</v>
      </c>
      <c r="N82" s="287" t="s">
        <v>345</v>
      </c>
      <c r="O82" s="66" t="s">
        <v>359</v>
      </c>
      <c r="P82" s="69">
        <v>0.1</v>
      </c>
      <c r="Q82" s="287"/>
      <c r="R82" s="287"/>
      <c r="S82" s="287"/>
      <c r="T82" s="287"/>
      <c r="U82" s="287" t="s">
        <v>358</v>
      </c>
      <c r="V82" s="287"/>
      <c r="W82" s="60"/>
      <c r="X82" s="287">
        <f>ROUND(M82*P82,-3)</f>
        <v>2512000</v>
      </c>
      <c r="Y82" s="51" t="s">
        <v>345</v>
      </c>
    </row>
    <row r="83" spans="1:25" s="10" customFormat="1" ht="19.5" customHeight="1">
      <c r="A83" s="54"/>
      <c r="B83" s="40"/>
      <c r="C83" s="40"/>
      <c r="D83" s="40"/>
      <c r="E83" s="42"/>
      <c r="F83" s="42"/>
      <c r="G83" s="43"/>
      <c r="H83" s="62"/>
      <c r="I83" s="277" t="s">
        <v>431</v>
      </c>
      <c r="J83" s="288"/>
      <c r="K83" s="287"/>
      <c r="L83" s="287"/>
      <c r="M83" s="287">
        <v>22430000</v>
      </c>
      <c r="N83" s="287" t="s">
        <v>345</v>
      </c>
      <c r="O83" s="66" t="s">
        <v>359</v>
      </c>
      <c r="P83" s="69">
        <v>0.1</v>
      </c>
      <c r="Q83" s="287"/>
      <c r="R83" s="287"/>
      <c r="S83" s="287"/>
      <c r="T83" s="287"/>
      <c r="U83" s="287" t="s">
        <v>358</v>
      </c>
      <c r="V83" s="287"/>
      <c r="W83" s="60"/>
      <c r="X83" s="287">
        <f>ROUND(M83*P83,-3)</f>
        <v>2243000</v>
      </c>
      <c r="Y83" s="51" t="s">
        <v>345</v>
      </c>
    </row>
    <row r="84" spans="1:25" s="10" customFormat="1" ht="19.5" customHeight="1">
      <c r="A84" s="54"/>
      <c r="B84" s="40"/>
      <c r="C84" s="40"/>
      <c r="D84" s="40"/>
      <c r="E84" s="42"/>
      <c r="F84" s="42"/>
      <c r="G84" s="43"/>
      <c r="H84" s="62"/>
      <c r="I84" s="63" t="s">
        <v>430</v>
      </c>
      <c r="J84" s="288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16" t="s">
        <v>346</v>
      </c>
      <c r="W84" s="64"/>
      <c r="X84" s="216">
        <f>SUM(X85:X87)</f>
        <v>2507000</v>
      </c>
      <c r="Y84" s="65" t="s">
        <v>25</v>
      </c>
    </row>
    <row r="85" spans="1:25" s="10" customFormat="1" ht="19.5" customHeight="1">
      <c r="A85" s="54"/>
      <c r="B85" s="40"/>
      <c r="C85" s="40"/>
      <c r="D85" s="40"/>
      <c r="E85" s="42"/>
      <c r="F85" s="42"/>
      <c r="G85" s="43"/>
      <c r="H85" s="62"/>
      <c r="I85" s="277" t="s">
        <v>429</v>
      </c>
      <c r="J85" s="288"/>
      <c r="K85" s="287"/>
      <c r="L85" s="287"/>
      <c r="M85" s="287">
        <v>6994800</v>
      </c>
      <c r="N85" s="287" t="s">
        <v>345</v>
      </c>
      <c r="O85" s="66" t="s">
        <v>359</v>
      </c>
      <c r="P85" s="69">
        <v>0.1</v>
      </c>
      <c r="Q85" s="287"/>
      <c r="R85" s="287"/>
      <c r="S85" s="287"/>
      <c r="T85" s="287"/>
      <c r="U85" s="287" t="s">
        <v>358</v>
      </c>
      <c r="V85" s="818"/>
      <c r="W85" s="818"/>
      <c r="X85" s="234">
        <f>ROUNDUP(M85*P85,-3)</f>
        <v>700000</v>
      </c>
      <c r="Y85" s="469" t="s">
        <v>345</v>
      </c>
    </row>
    <row r="86" spans="1:25" s="10" customFormat="1" ht="19.5" customHeight="1">
      <c r="A86" s="54"/>
      <c r="B86" s="40"/>
      <c r="C86" s="40"/>
      <c r="D86" s="40"/>
      <c r="E86" s="42"/>
      <c r="F86" s="42"/>
      <c r="G86" s="43"/>
      <c r="H86" s="62"/>
      <c r="I86" s="274" t="s">
        <v>428</v>
      </c>
      <c r="J86" s="288"/>
      <c r="K86" s="287"/>
      <c r="L86" s="287"/>
      <c r="M86" s="287">
        <v>1180000</v>
      </c>
      <c r="N86" s="287" t="s">
        <v>345</v>
      </c>
      <c r="O86" s="66" t="s">
        <v>359</v>
      </c>
      <c r="P86" s="69">
        <v>0.1</v>
      </c>
      <c r="Q86" s="287"/>
      <c r="R86" s="287"/>
      <c r="S86" s="287"/>
      <c r="T86" s="287"/>
      <c r="U86" s="287" t="s">
        <v>358</v>
      </c>
      <c r="V86" s="817"/>
      <c r="W86" s="817"/>
      <c r="X86" s="60">
        <f>ROUND(M86*P86,-3)</f>
        <v>118000</v>
      </c>
      <c r="Y86" s="51" t="s">
        <v>345</v>
      </c>
    </row>
    <row r="87" spans="1:25" s="10" customFormat="1" ht="19.5" customHeight="1">
      <c r="A87" s="54"/>
      <c r="B87" s="40"/>
      <c r="C87" s="40"/>
      <c r="D87" s="40"/>
      <c r="E87" s="42"/>
      <c r="F87" s="42"/>
      <c r="G87" s="43"/>
      <c r="H87" s="62"/>
      <c r="I87" s="277" t="s">
        <v>427</v>
      </c>
      <c r="J87" s="288"/>
      <c r="K87" s="287"/>
      <c r="L87" s="287"/>
      <c r="M87" s="287">
        <v>16894000</v>
      </c>
      <c r="N87" s="287" t="s">
        <v>345</v>
      </c>
      <c r="O87" s="66" t="s">
        <v>359</v>
      </c>
      <c r="P87" s="69">
        <v>0.1</v>
      </c>
      <c r="Q87" s="287"/>
      <c r="R87" s="287"/>
      <c r="S87" s="287"/>
      <c r="T87" s="287"/>
      <c r="U87" s="287" t="s">
        <v>358</v>
      </c>
      <c r="V87" s="817"/>
      <c r="W87" s="817"/>
      <c r="X87" s="60">
        <f>ROUND(M87*P87,-3)</f>
        <v>1689000</v>
      </c>
      <c r="Y87" s="51" t="s">
        <v>345</v>
      </c>
    </row>
    <row r="88" spans="1:25" s="10" customFormat="1" ht="19.5" customHeight="1">
      <c r="A88" s="54"/>
      <c r="B88" s="40"/>
      <c r="C88" s="40"/>
      <c r="D88" s="40"/>
      <c r="E88" s="42"/>
      <c r="F88" s="42"/>
      <c r="G88" s="43"/>
      <c r="H88" s="62"/>
      <c r="I88" s="63" t="s">
        <v>426</v>
      </c>
      <c r="J88" s="288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16" t="s">
        <v>346</v>
      </c>
      <c r="W88" s="64"/>
      <c r="X88" s="216">
        <f>X89</f>
        <v>798000</v>
      </c>
      <c r="Y88" s="65" t="s">
        <v>25</v>
      </c>
    </row>
    <row r="89" spans="1:25" s="10" customFormat="1" ht="19.5" customHeight="1">
      <c r="A89" s="54"/>
      <c r="B89" s="40"/>
      <c r="C89" s="40"/>
      <c r="D89" s="40"/>
      <c r="E89" s="42"/>
      <c r="F89" s="42"/>
      <c r="G89" s="43"/>
      <c r="H89" s="62"/>
      <c r="I89" s="277" t="s">
        <v>425</v>
      </c>
      <c r="J89" s="288"/>
      <c r="K89" s="287"/>
      <c r="L89" s="287"/>
      <c r="M89" s="287">
        <f>SUM(M80:M87)</f>
        <v>95712800</v>
      </c>
      <c r="N89" s="48" t="s">
        <v>345</v>
      </c>
      <c r="O89" s="443" t="s">
        <v>366</v>
      </c>
      <c r="P89" s="468">
        <v>12</v>
      </c>
      <c r="Q89" s="200" t="s">
        <v>365</v>
      </c>
      <c r="R89" s="66" t="s">
        <v>359</v>
      </c>
      <c r="S89" s="69">
        <v>0.1</v>
      </c>
      <c r="T89" s="287"/>
      <c r="U89" s="287" t="s">
        <v>358</v>
      </c>
      <c r="V89" s="80"/>
      <c r="W89" s="80"/>
      <c r="X89" s="234">
        <f>ROUNDUP(M89/P89*S89,-3)</f>
        <v>798000</v>
      </c>
      <c r="Y89" s="467" t="s">
        <v>345</v>
      </c>
    </row>
    <row r="90" spans="1:25" s="10" customFormat="1" ht="19.5" customHeight="1">
      <c r="A90" s="54"/>
      <c r="B90" s="40"/>
      <c r="C90" s="40"/>
      <c r="D90" s="40"/>
      <c r="E90" s="42"/>
      <c r="F90" s="42"/>
      <c r="G90" s="43"/>
      <c r="H90" s="62"/>
      <c r="I90" s="63" t="s">
        <v>480</v>
      </c>
      <c r="J90" s="288"/>
      <c r="K90" s="287"/>
      <c r="L90" s="287"/>
      <c r="M90" s="287"/>
      <c r="N90" s="48"/>
      <c r="O90" s="287"/>
      <c r="P90" s="287"/>
      <c r="Q90" s="287"/>
      <c r="R90" s="287"/>
      <c r="S90" s="287"/>
      <c r="T90" s="287"/>
      <c r="U90" s="287"/>
      <c r="V90" s="216" t="s">
        <v>346</v>
      </c>
      <c r="W90" s="64"/>
      <c r="X90" s="216">
        <f>SUM(X91:X95)</f>
        <v>946000</v>
      </c>
      <c r="Y90" s="65" t="s">
        <v>25</v>
      </c>
    </row>
    <row r="91" spans="1:25" s="10" customFormat="1" ht="19.5" customHeight="1">
      <c r="A91" s="54"/>
      <c r="B91" s="40"/>
      <c r="C91" s="40"/>
      <c r="D91" s="40"/>
      <c r="E91" s="42"/>
      <c r="F91" s="42"/>
      <c r="G91" s="43"/>
      <c r="H91" s="62"/>
      <c r="I91" s="277" t="s">
        <v>459</v>
      </c>
      <c r="J91" s="288"/>
      <c r="K91" s="287"/>
      <c r="L91" s="287"/>
      <c r="M91" s="287">
        <f>M89</f>
        <v>95712800</v>
      </c>
      <c r="N91" s="48" t="s">
        <v>345</v>
      </c>
      <c r="O91" s="66" t="s">
        <v>359</v>
      </c>
      <c r="P91" s="457">
        <v>0.09</v>
      </c>
      <c r="Q91" s="443">
        <v>2</v>
      </c>
      <c r="R91" s="66" t="s">
        <v>359</v>
      </c>
      <c r="S91" s="69">
        <v>0.1</v>
      </c>
      <c r="T91" s="68"/>
      <c r="U91" s="443" t="s">
        <v>358</v>
      </c>
      <c r="V91" s="287"/>
      <c r="W91" s="60"/>
      <c r="X91" s="60">
        <f>ROUNDUP(M91*P91/Q91*S91,-3)</f>
        <v>431000</v>
      </c>
      <c r="Y91" s="51" t="s">
        <v>345</v>
      </c>
    </row>
    <row r="92" spans="1:25" s="10" customFormat="1" ht="19.5" customHeight="1">
      <c r="A92" s="54"/>
      <c r="B92" s="40"/>
      <c r="C92" s="40"/>
      <c r="D92" s="40"/>
      <c r="E92" s="42"/>
      <c r="F92" s="42"/>
      <c r="G92" s="43"/>
      <c r="H92" s="62"/>
      <c r="I92" s="277" t="s">
        <v>458</v>
      </c>
      <c r="J92" s="288"/>
      <c r="K92" s="287"/>
      <c r="L92" s="287"/>
      <c r="M92" s="287">
        <f>M89</f>
        <v>95712800</v>
      </c>
      <c r="N92" s="48" t="s">
        <v>345</v>
      </c>
      <c r="O92" s="66" t="s">
        <v>359</v>
      </c>
      <c r="P92" s="456">
        <v>6.6699999999999995E-2</v>
      </c>
      <c r="Q92" s="443">
        <v>2</v>
      </c>
      <c r="R92" s="66" t="s">
        <v>359</v>
      </c>
      <c r="S92" s="69">
        <v>0.1</v>
      </c>
      <c r="T92" s="68"/>
      <c r="U92" s="443" t="s">
        <v>358</v>
      </c>
      <c r="V92" s="287"/>
      <c r="W92" s="60"/>
      <c r="X92" s="60">
        <f>ROUND(M92*P92/Q92*S92,-3)</f>
        <v>319000</v>
      </c>
      <c r="Y92" s="51" t="s">
        <v>345</v>
      </c>
    </row>
    <row r="93" spans="1:25" s="10" customFormat="1" ht="19.5" customHeight="1">
      <c r="A93" s="54"/>
      <c r="B93" s="40"/>
      <c r="C93" s="40"/>
      <c r="D93" s="40"/>
      <c r="E93" s="42"/>
      <c r="F93" s="42"/>
      <c r="G93" s="43"/>
      <c r="H93" s="62"/>
      <c r="I93" s="277" t="s">
        <v>457</v>
      </c>
      <c r="J93" s="288"/>
      <c r="K93" s="287"/>
      <c r="L93" s="287"/>
      <c r="M93" s="287">
        <f>X92</f>
        <v>319000</v>
      </c>
      <c r="N93" s="48" t="s">
        <v>345</v>
      </c>
      <c r="O93" s="66" t="s">
        <v>359</v>
      </c>
      <c r="P93" s="70">
        <v>0.10249999999999999</v>
      </c>
      <c r="Q93" s="455"/>
      <c r="R93" s="66"/>
      <c r="S93" s="69"/>
      <c r="T93" s="454"/>
      <c r="U93" s="443" t="s">
        <v>358</v>
      </c>
      <c r="V93" s="287"/>
      <c r="W93" s="60"/>
      <c r="X93" s="60">
        <f>ROUNDDOWN(M93*P93,-3)</f>
        <v>32000</v>
      </c>
      <c r="Y93" s="51" t="s">
        <v>345</v>
      </c>
    </row>
    <row r="94" spans="1:25" s="10" customFormat="1" ht="19.5" customHeight="1">
      <c r="A94" s="54"/>
      <c r="B94" s="40"/>
      <c r="C94" s="40"/>
      <c r="D94" s="40"/>
      <c r="E94" s="42"/>
      <c r="F94" s="42"/>
      <c r="G94" s="43"/>
      <c r="H94" s="62"/>
      <c r="I94" s="277" t="s">
        <v>456</v>
      </c>
      <c r="J94" s="288"/>
      <c r="K94" s="287"/>
      <c r="L94" s="287"/>
      <c r="M94" s="287">
        <f>M89</f>
        <v>95712800</v>
      </c>
      <c r="N94" s="48" t="s">
        <v>345</v>
      </c>
      <c r="O94" s="66" t="s">
        <v>359</v>
      </c>
      <c r="P94" s="70">
        <v>1.0500000000000001E-2</v>
      </c>
      <c r="Q94" s="66"/>
      <c r="R94" s="66" t="s">
        <v>359</v>
      </c>
      <c r="S94" s="69">
        <v>0.1</v>
      </c>
      <c r="T94" s="68"/>
      <c r="U94" s="443" t="s">
        <v>358</v>
      </c>
      <c r="V94" s="287"/>
      <c r="W94" s="60"/>
      <c r="X94" s="60">
        <f>ROUNDDOWN(M94*P94*S94,-3)</f>
        <v>100000</v>
      </c>
      <c r="Y94" s="51" t="s">
        <v>345</v>
      </c>
    </row>
    <row r="95" spans="1:25" s="10" customFormat="1" ht="19.5" customHeight="1">
      <c r="A95" s="54"/>
      <c r="B95" s="40"/>
      <c r="C95" s="40"/>
      <c r="D95" s="40"/>
      <c r="E95" s="42"/>
      <c r="F95" s="42"/>
      <c r="G95" s="43"/>
      <c r="H95" s="62"/>
      <c r="I95" s="277" t="s">
        <v>455</v>
      </c>
      <c r="J95" s="288"/>
      <c r="K95" s="287"/>
      <c r="L95" s="287"/>
      <c r="M95" s="287">
        <f>M89</f>
        <v>95712800</v>
      </c>
      <c r="N95" s="48" t="s">
        <v>345</v>
      </c>
      <c r="O95" s="66" t="s">
        <v>359</v>
      </c>
      <c r="P95" s="453">
        <v>6.7299999999999999E-3</v>
      </c>
      <c r="Q95" s="66"/>
      <c r="R95" s="66" t="s">
        <v>359</v>
      </c>
      <c r="S95" s="69">
        <v>0.1</v>
      </c>
      <c r="T95" s="68"/>
      <c r="U95" s="443" t="s">
        <v>358</v>
      </c>
      <c r="V95" s="287"/>
      <c r="W95" s="60"/>
      <c r="X95" s="60">
        <f>ROUNDDOWN(M95*P95*S95,-3)</f>
        <v>64000</v>
      </c>
      <c r="Y95" s="51" t="s">
        <v>345</v>
      </c>
    </row>
    <row r="96" spans="1:25" s="10" customFormat="1" ht="19.5" customHeight="1">
      <c r="A96" s="54"/>
      <c r="B96" s="40"/>
      <c r="C96" s="40"/>
      <c r="D96" s="40"/>
      <c r="E96" s="42"/>
      <c r="F96" s="42"/>
      <c r="G96" s="43"/>
      <c r="H96" s="62"/>
      <c r="I96" s="59"/>
      <c r="J96" s="60"/>
      <c r="K96" s="202"/>
      <c r="L96" s="202"/>
      <c r="M96" s="287"/>
      <c r="N96" s="287"/>
      <c r="O96" s="200"/>
      <c r="P96" s="287"/>
      <c r="Q96" s="48"/>
      <c r="R96" s="461"/>
      <c r="S96" s="50"/>
      <c r="T96" s="443"/>
      <c r="U96" s="443"/>
      <c r="V96" s="69"/>
      <c r="W96" s="288"/>
      <c r="X96" s="60"/>
      <c r="Y96" s="51"/>
    </row>
    <row r="97" spans="1:25" s="10" customFormat="1" ht="19.5" customHeight="1">
      <c r="A97" s="54"/>
      <c r="B97" s="40"/>
      <c r="C97" s="40"/>
      <c r="D97" s="40"/>
      <c r="E97" s="42"/>
      <c r="F97" s="42"/>
      <c r="G97" s="43"/>
      <c r="H97" s="62"/>
      <c r="I97" s="63" t="s">
        <v>479</v>
      </c>
      <c r="J97" s="60"/>
      <c r="K97" s="202"/>
      <c r="L97" s="202"/>
      <c r="M97" s="287"/>
      <c r="N97" s="287"/>
      <c r="O97" s="200"/>
      <c r="P97" s="287"/>
      <c r="Q97" s="48"/>
      <c r="R97" s="461"/>
      <c r="S97" s="50"/>
      <c r="T97" s="443"/>
      <c r="U97" s="443"/>
      <c r="V97" s="216" t="s">
        <v>435</v>
      </c>
      <c r="W97" s="64"/>
      <c r="X97" s="216">
        <f>SUM(X98:X100)</f>
        <v>1620000</v>
      </c>
      <c r="Y97" s="65" t="s">
        <v>25</v>
      </c>
    </row>
    <row r="98" spans="1:25" s="10" customFormat="1" ht="19.5" customHeight="1">
      <c r="A98" s="54"/>
      <c r="B98" s="40"/>
      <c r="C98" s="40"/>
      <c r="D98" s="40"/>
      <c r="E98" s="42"/>
      <c r="F98" s="42"/>
      <c r="G98" s="43"/>
      <c r="H98" s="62"/>
      <c r="I98" s="277" t="s">
        <v>560</v>
      </c>
      <c r="J98" s="534"/>
      <c r="K98" s="533"/>
      <c r="L98" s="533"/>
      <c r="M98" s="500">
        <v>300000</v>
      </c>
      <c r="N98" s="384" t="s">
        <v>543</v>
      </c>
      <c r="O98" s="384" t="s">
        <v>546</v>
      </c>
      <c r="P98" s="535">
        <v>1</v>
      </c>
      <c r="Q98" s="466">
        <v>12</v>
      </c>
      <c r="R98" s="384" t="s">
        <v>544</v>
      </c>
      <c r="S98" s="502">
        <v>0.1</v>
      </c>
      <c r="T98" s="384"/>
      <c r="U98" s="384" t="s">
        <v>545</v>
      </c>
      <c r="V98" s="533"/>
      <c r="W98" s="124"/>
      <c r="X98" s="533">
        <f>M98*P98*Q98*S98</f>
        <v>360000</v>
      </c>
      <c r="Y98" s="125" t="s">
        <v>543</v>
      </c>
    </row>
    <row r="99" spans="1:25" s="10" customFormat="1" ht="19.5" customHeight="1">
      <c r="A99" s="54"/>
      <c r="B99" s="40"/>
      <c r="C99" s="40"/>
      <c r="D99" s="40"/>
      <c r="E99" s="42"/>
      <c r="F99" s="42"/>
      <c r="G99" s="43"/>
      <c r="H99" s="62"/>
      <c r="I99" s="277" t="s">
        <v>478</v>
      </c>
      <c r="J99" s="288"/>
      <c r="K99" s="287"/>
      <c r="L99" s="287"/>
      <c r="M99" s="460">
        <v>0</v>
      </c>
      <c r="N99" s="61" t="s">
        <v>345</v>
      </c>
      <c r="O99" s="61" t="s">
        <v>359</v>
      </c>
      <c r="P99" s="69">
        <v>0.1</v>
      </c>
      <c r="Q99" s="459"/>
      <c r="R99" s="61"/>
      <c r="S99" s="458"/>
      <c r="T99" s="61"/>
      <c r="U99" s="61" t="s">
        <v>358</v>
      </c>
      <c r="V99" s="287"/>
      <c r="W99" s="60"/>
      <c r="X99" s="287">
        <f>M99*P99</f>
        <v>0</v>
      </c>
      <c r="Y99" s="51" t="s">
        <v>345</v>
      </c>
    </row>
    <row r="100" spans="1:25" s="10" customFormat="1" ht="19.5" customHeight="1">
      <c r="A100" s="54"/>
      <c r="B100" s="40"/>
      <c r="C100" s="40"/>
      <c r="D100" s="40"/>
      <c r="E100" s="42"/>
      <c r="F100" s="42"/>
      <c r="G100" s="43"/>
      <c r="H100" s="62"/>
      <c r="I100" s="277" t="s">
        <v>774</v>
      </c>
      <c r="J100" s="724"/>
      <c r="K100" s="723"/>
      <c r="L100" s="723"/>
      <c r="M100" s="500">
        <v>70000</v>
      </c>
      <c r="N100" s="384" t="s">
        <v>769</v>
      </c>
      <c r="O100" s="384" t="s">
        <v>770</v>
      </c>
      <c r="P100" s="501">
        <v>1</v>
      </c>
      <c r="Q100" s="466">
        <v>180</v>
      </c>
      <c r="R100" s="384" t="s">
        <v>775</v>
      </c>
      <c r="S100" s="502">
        <v>0.1</v>
      </c>
      <c r="T100" s="384"/>
      <c r="U100" s="384" t="s">
        <v>773</v>
      </c>
      <c r="V100" s="723"/>
      <c r="W100" s="722"/>
      <c r="X100" s="723">
        <f>M100*P100*Q100*S100</f>
        <v>1260000</v>
      </c>
      <c r="Y100" s="125" t="s">
        <v>769</v>
      </c>
    </row>
    <row r="101" spans="1:25" s="10" customFormat="1" ht="19.5" customHeight="1">
      <c r="A101" s="54"/>
      <c r="B101" s="40"/>
      <c r="C101" s="40"/>
      <c r="D101" s="53"/>
      <c r="E101" s="55"/>
      <c r="F101" s="55"/>
      <c r="G101" s="56"/>
      <c r="H101" s="76"/>
      <c r="I101" s="353"/>
      <c r="J101" s="64"/>
      <c r="K101" s="465"/>
      <c r="L101" s="465"/>
      <c r="M101" s="216"/>
      <c r="N101" s="216"/>
      <c r="O101" s="464"/>
      <c r="P101" s="216"/>
      <c r="Q101" s="119"/>
      <c r="R101" s="463"/>
      <c r="S101" s="216"/>
      <c r="T101" s="193"/>
      <c r="U101" s="193"/>
      <c r="V101" s="462"/>
      <c r="W101" s="353"/>
      <c r="X101" s="64"/>
      <c r="Y101" s="65"/>
    </row>
    <row r="102" spans="1:25" s="10" customFormat="1" ht="19.5" customHeight="1">
      <c r="A102" s="54"/>
      <c r="B102" s="40"/>
      <c r="C102" s="40"/>
      <c r="D102" s="40" t="s">
        <v>477</v>
      </c>
      <c r="E102" s="42">
        <v>9334</v>
      </c>
      <c r="F102" s="229">
        <f>ROUND(X102/1000,0)</f>
        <v>8795</v>
      </c>
      <c r="G102" s="43">
        <f>F102-E102</f>
        <v>-539</v>
      </c>
      <c r="H102" s="62">
        <f>IF(E102=0,0,G102/E102)</f>
        <v>-5.7745875294621815E-2</v>
      </c>
      <c r="I102" s="63" t="s">
        <v>476</v>
      </c>
      <c r="J102" s="60"/>
      <c r="K102" s="202"/>
      <c r="L102" s="202"/>
      <c r="M102" s="287"/>
      <c r="N102" s="287"/>
      <c r="O102" s="200"/>
      <c r="P102" s="287"/>
      <c r="Q102" s="48"/>
      <c r="R102" s="461"/>
      <c r="S102" s="50"/>
      <c r="T102" s="443"/>
      <c r="U102" s="443"/>
      <c r="V102" s="216" t="s">
        <v>475</v>
      </c>
      <c r="W102" s="64"/>
      <c r="X102" s="216">
        <f>SUM(X103:X104)</f>
        <v>8795000</v>
      </c>
      <c r="Y102" s="65" t="s">
        <v>25</v>
      </c>
    </row>
    <row r="103" spans="1:25" s="10" customFormat="1" ht="19.5" customHeight="1">
      <c r="A103" s="54"/>
      <c r="B103" s="40"/>
      <c r="C103" s="40"/>
      <c r="D103" s="40"/>
      <c r="E103" s="42"/>
      <c r="F103" s="42"/>
      <c r="G103" s="43"/>
      <c r="H103" s="62"/>
      <c r="I103" s="271"/>
      <c r="J103" s="60"/>
      <c r="K103" s="202"/>
      <c r="L103" s="202"/>
      <c r="M103" s="460">
        <v>0</v>
      </c>
      <c r="N103" s="61" t="s">
        <v>345</v>
      </c>
      <c r="O103" s="61" t="s">
        <v>359</v>
      </c>
      <c r="P103" s="69">
        <v>0.3</v>
      </c>
      <c r="Q103" s="459"/>
      <c r="R103" s="61"/>
      <c r="S103" s="458"/>
      <c r="T103" s="61"/>
      <c r="U103" s="61" t="s">
        <v>358</v>
      </c>
      <c r="V103" s="287"/>
      <c r="W103" s="60"/>
      <c r="X103" s="287">
        <f>ROUND(M103*P103,-3)</f>
        <v>0</v>
      </c>
      <c r="Y103" s="51" t="s">
        <v>345</v>
      </c>
    </row>
    <row r="104" spans="1:25" s="10" customFormat="1" ht="19.5" customHeight="1">
      <c r="A104" s="54"/>
      <c r="B104" s="40"/>
      <c r="C104" s="40"/>
      <c r="D104" s="40"/>
      <c r="E104" s="42"/>
      <c r="F104" s="42"/>
      <c r="G104" s="43"/>
      <c r="H104" s="62"/>
      <c r="I104" s="271" t="s">
        <v>474</v>
      </c>
      <c r="J104" s="60"/>
      <c r="K104" s="202"/>
      <c r="L104" s="202"/>
      <c r="M104" s="460">
        <v>17590000</v>
      </c>
      <c r="N104" s="61" t="s">
        <v>345</v>
      </c>
      <c r="O104" s="61" t="s">
        <v>359</v>
      </c>
      <c r="P104" s="69">
        <v>0.5</v>
      </c>
      <c r="Q104" s="459"/>
      <c r="R104" s="61"/>
      <c r="S104" s="458"/>
      <c r="T104" s="61"/>
      <c r="U104" s="61" t="s">
        <v>358</v>
      </c>
      <c r="V104" s="287"/>
      <c r="W104" s="60"/>
      <c r="X104" s="287">
        <f>ROUND(M104*P104,-3)</f>
        <v>8795000</v>
      </c>
      <c r="Y104" s="51" t="s">
        <v>345</v>
      </c>
    </row>
    <row r="105" spans="1:25" s="10" customFormat="1" ht="19.5" customHeight="1">
      <c r="A105" s="54"/>
      <c r="B105" s="74"/>
      <c r="C105" s="75"/>
      <c r="D105" s="53"/>
      <c r="E105" s="55"/>
      <c r="F105" s="55"/>
      <c r="G105" s="56"/>
      <c r="H105" s="76"/>
      <c r="I105" s="353"/>
      <c r="J105" s="216"/>
      <c r="K105" s="77"/>
      <c r="L105" s="77"/>
      <c r="M105" s="216"/>
      <c r="N105" s="216"/>
      <c r="O105" s="353"/>
      <c r="P105" s="216"/>
      <c r="Q105" s="216"/>
      <c r="R105" s="353"/>
      <c r="S105" s="353"/>
      <c r="T105" s="353"/>
      <c r="U105" s="353"/>
      <c r="V105" s="353"/>
      <c r="W105" s="353"/>
      <c r="X105" s="216"/>
      <c r="Y105" s="65"/>
    </row>
    <row r="106" spans="1:25" ht="21" customHeight="1">
      <c r="A106" s="39"/>
      <c r="B106" s="40"/>
      <c r="C106" s="40" t="s">
        <v>473</v>
      </c>
      <c r="D106" s="445" t="s">
        <v>353</v>
      </c>
      <c r="E106" s="211">
        <f>SUM(E107:E167)</f>
        <v>625337</v>
      </c>
      <c r="F106" s="211">
        <f>SUM(F107:F167)</f>
        <v>610802</v>
      </c>
      <c r="G106" s="212">
        <f>F106-E106</f>
        <v>-14535</v>
      </c>
      <c r="H106" s="213">
        <f>IF(E106=0,0,G106/E106)</f>
        <v>-2.3243467122527534E-2</v>
      </c>
      <c r="I106" s="196" t="s">
        <v>472</v>
      </c>
      <c r="J106" s="197"/>
      <c r="K106" s="198"/>
      <c r="L106" s="198"/>
      <c r="M106" s="198"/>
      <c r="N106" s="198"/>
      <c r="O106" s="198"/>
      <c r="P106" s="199"/>
      <c r="Q106" s="199"/>
      <c r="R106" s="199"/>
      <c r="S106" s="199"/>
      <c r="T106" s="199"/>
      <c r="U106" s="199"/>
      <c r="V106" s="226" t="s">
        <v>346</v>
      </c>
      <c r="W106" s="227"/>
      <c r="X106" s="228">
        <f>SUM(X107,X112,X127,X131,X139,X163)</f>
        <v>610802000</v>
      </c>
      <c r="Y106" s="259" t="s">
        <v>345</v>
      </c>
    </row>
    <row r="107" spans="1:25" ht="21" customHeight="1">
      <c r="A107" s="39"/>
      <c r="B107" s="40"/>
      <c r="C107" s="40" t="s">
        <v>471</v>
      </c>
      <c r="D107" s="30" t="s">
        <v>470</v>
      </c>
      <c r="E107" s="229">
        <v>2262</v>
      </c>
      <c r="F107" s="229">
        <f>ROUND(X107/1000,0)</f>
        <v>2330</v>
      </c>
      <c r="G107" s="265">
        <f>F107-E107</f>
        <v>68</v>
      </c>
      <c r="H107" s="175">
        <f>IF(E107=0,0,G107/E107)</f>
        <v>3.0061892130857647E-2</v>
      </c>
      <c r="I107" s="132" t="s">
        <v>469</v>
      </c>
      <c r="J107" s="151"/>
      <c r="K107" s="80"/>
      <c r="L107" s="80"/>
      <c r="M107" s="80"/>
      <c r="N107" s="238"/>
      <c r="O107" s="230"/>
      <c r="P107" s="80"/>
      <c r="Q107" s="231"/>
      <c r="R107" s="478"/>
      <c r="S107" s="477"/>
      <c r="T107" s="477"/>
      <c r="U107" s="238"/>
      <c r="V107" s="476" t="s">
        <v>438</v>
      </c>
      <c r="W107" s="134"/>
      <c r="X107" s="134">
        <f>SUM(X108:X110)</f>
        <v>2330000</v>
      </c>
      <c r="Y107" s="135" t="s">
        <v>345</v>
      </c>
    </row>
    <row r="108" spans="1:25" ht="21" customHeight="1">
      <c r="A108" s="39"/>
      <c r="B108" s="40"/>
      <c r="C108" s="40"/>
      <c r="D108" s="40"/>
      <c r="E108" s="42"/>
      <c r="F108" s="42"/>
      <c r="G108" s="43"/>
      <c r="H108" s="62"/>
      <c r="I108" s="277" t="s">
        <v>468</v>
      </c>
      <c r="J108" s="288"/>
      <c r="K108" s="287"/>
      <c r="L108" s="287"/>
      <c r="M108" s="287">
        <f>M15</f>
        <v>260245</v>
      </c>
      <c r="N108" s="443" t="s">
        <v>25</v>
      </c>
      <c r="O108" s="200" t="s">
        <v>26</v>
      </c>
      <c r="P108" s="444">
        <v>24</v>
      </c>
      <c r="Q108" s="48" t="s">
        <v>137</v>
      </c>
      <c r="R108" s="201" t="s">
        <v>26</v>
      </c>
      <c r="S108" s="203">
        <v>12</v>
      </c>
      <c r="T108" s="203" t="s">
        <v>29</v>
      </c>
      <c r="U108" s="443" t="s">
        <v>26</v>
      </c>
      <c r="V108" s="475">
        <v>0.03</v>
      </c>
      <c r="W108" s="60" t="s">
        <v>27</v>
      </c>
      <c r="X108" s="60">
        <f>ROUND(M108*P108*S108*V108,-3)</f>
        <v>2249000</v>
      </c>
      <c r="Y108" s="51" t="s">
        <v>345</v>
      </c>
    </row>
    <row r="109" spans="1:25" ht="21" customHeight="1">
      <c r="A109" s="39"/>
      <c r="B109" s="40"/>
      <c r="C109" s="40"/>
      <c r="D109" s="40"/>
      <c r="E109" s="42"/>
      <c r="F109" s="42"/>
      <c r="G109" s="43"/>
      <c r="H109" s="62"/>
      <c r="I109" s="277" t="s">
        <v>467</v>
      </c>
      <c r="J109" s="288"/>
      <c r="K109" s="287"/>
      <c r="L109" s="287"/>
      <c r="M109" s="287">
        <f>M16</f>
        <v>36434</v>
      </c>
      <c r="N109" s="443" t="s">
        <v>25</v>
      </c>
      <c r="O109" s="200" t="s">
        <v>26</v>
      </c>
      <c r="P109" s="444">
        <v>24</v>
      </c>
      <c r="Q109" s="48" t="s">
        <v>137</v>
      </c>
      <c r="R109" s="461" t="s">
        <v>26</v>
      </c>
      <c r="S109" s="203">
        <v>1</v>
      </c>
      <c r="T109" s="203" t="s">
        <v>465</v>
      </c>
      <c r="U109" s="443" t="s">
        <v>26</v>
      </c>
      <c r="V109" s="475">
        <v>0.03</v>
      </c>
      <c r="W109" s="60" t="s">
        <v>27</v>
      </c>
      <c r="X109" s="60">
        <f>ROUNDUP(M109*P109*S109*V109,-3)</f>
        <v>27000</v>
      </c>
      <c r="Y109" s="51" t="s">
        <v>345</v>
      </c>
    </row>
    <row r="110" spans="1:25" ht="21" customHeight="1">
      <c r="A110" s="39"/>
      <c r="B110" s="40"/>
      <c r="C110" s="40"/>
      <c r="D110" s="40"/>
      <c r="E110" s="42"/>
      <c r="F110" s="42"/>
      <c r="G110" s="43"/>
      <c r="H110" s="62"/>
      <c r="I110" s="277" t="s">
        <v>466</v>
      </c>
      <c r="J110" s="60"/>
      <c r="K110" s="202"/>
      <c r="L110" s="202"/>
      <c r="M110" s="287">
        <f>M17</f>
        <v>37300</v>
      </c>
      <c r="N110" s="287" t="s">
        <v>25</v>
      </c>
      <c r="O110" s="200" t="s">
        <v>26</v>
      </c>
      <c r="P110" s="444">
        <v>24</v>
      </c>
      <c r="Q110" s="48" t="s">
        <v>137</v>
      </c>
      <c r="R110" s="461" t="s">
        <v>26</v>
      </c>
      <c r="S110" s="50">
        <v>2</v>
      </c>
      <c r="T110" s="443" t="s">
        <v>465</v>
      </c>
      <c r="U110" s="443" t="s">
        <v>26</v>
      </c>
      <c r="V110" s="475">
        <v>0.03</v>
      </c>
      <c r="W110" s="288" t="s">
        <v>27</v>
      </c>
      <c r="X110" s="60">
        <f>ROUND(M110*P110*S110*V110,-3)</f>
        <v>54000</v>
      </c>
      <c r="Y110" s="51" t="s">
        <v>345</v>
      </c>
    </row>
    <row r="111" spans="1:25" ht="21" customHeight="1">
      <c r="A111" s="39"/>
      <c r="B111" s="40"/>
      <c r="C111" s="40"/>
      <c r="D111" s="53"/>
      <c r="E111" s="55"/>
      <c r="F111" s="55"/>
      <c r="G111" s="56"/>
      <c r="H111" s="76"/>
      <c r="I111" s="63"/>
      <c r="J111" s="64"/>
      <c r="K111" s="465"/>
      <c r="L111" s="465"/>
      <c r="M111" s="216"/>
      <c r="N111" s="216"/>
      <c r="O111" s="464"/>
      <c r="P111" s="216"/>
      <c r="Q111" s="119"/>
      <c r="R111" s="463"/>
      <c r="S111" s="471"/>
      <c r="T111" s="193"/>
      <c r="U111" s="193"/>
      <c r="V111" s="462"/>
      <c r="W111" s="353"/>
      <c r="X111" s="64"/>
      <c r="Y111" s="65"/>
    </row>
    <row r="112" spans="1:25" ht="21" customHeight="1" thickBot="1">
      <c r="A112" s="39"/>
      <c r="B112" s="40"/>
      <c r="C112" s="40"/>
      <c r="D112" s="30" t="s">
        <v>464</v>
      </c>
      <c r="E112" s="31">
        <v>451328</v>
      </c>
      <c r="F112" s="229">
        <f>ROUND(X112/1000,0)</f>
        <v>439052</v>
      </c>
      <c r="G112" s="32">
        <f>F112-E112</f>
        <v>-12276</v>
      </c>
      <c r="H112" s="109">
        <f>IF(E112=0,0,G112/E112)</f>
        <v>-2.7199730572887125E-2</v>
      </c>
      <c r="I112" s="235" t="s">
        <v>980</v>
      </c>
      <c r="J112" s="234"/>
      <c r="K112" s="239"/>
      <c r="L112" s="239"/>
      <c r="M112" s="80"/>
      <c r="N112" s="80"/>
      <c r="O112" s="230"/>
      <c r="P112" s="80"/>
      <c r="Q112" s="231"/>
      <c r="R112" s="232"/>
      <c r="S112" s="233"/>
      <c r="T112" s="238"/>
      <c r="U112" s="238"/>
      <c r="V112" s="236" t="s">
        <v>438</v>
      </c>
      <c r="W112" s="237"/>
      <c r="X112" s="237">
        <f>SUM(X113,X114,X118,X120)</f>
        <v>439052000</v>
      </c>
      <c r="Y112" s="260" t="s">
        <v>345</v>
      </c>
    </row>
    <row r="113" spans="1:25" ht="21" customHeight="1">
      <c r="A113" s="39"/>
      <c r="B113" s="40"/>
      <c r="C113" s="40"/>
      <c r="D113" s="40"/>
      <c r="E113" s="42"/>
      <c r="F113" s="42"/>
      <c r="G113" s="43"/>
      <c r="H113" s="62"/>
      <c r="I113" s="278" t="s">
        <v>463</v>
      </c>
      <c r="J113" s="288"/>
      <c r="K113" s="287"/>
      <c r="L113" s="287"/>
      <c r="M113" s="287">
        <f>M20</f>
        <v>1092026000</v>
      </c>
      <c r="N113" s="287" t="s">
        <v>345</v>
      </c>
      <c r="O113" s="66" t="s">
        <v>359</v>
      </c>
      <c r="P113" s="474">
        <v>0.255</v>
      </c>
      <c r="Q113" s="287"/>
      <c r="R113" s="287"/>
      <c r="S113" s="287"/>
      <c r="T113" s="287"/>
      <c r="U113" s="287" t="s">
        <v>358</v>
      </c>
      <c r="V113" s="216" t="s">
        <v>346</v>
      </c>
      <c r="W113" s="64"/>
      <c r="X113" s="216">
        <f>ROUND(M113*P113,-3)</f>
        <v>278467000</v>
      </c>
      <c r="Y113" s="65" t="s">
        <v>25</v>
      </c>
    </row>
    <row r="114" spans="1:25" ht="21" customHeight="1">
      <c r="A114" s="39"/>
      <c r="B114" s="40"/>
      <c r="C114" s="40"/>
      <c r="D114" s="40"/>
      <c r="E114" s="42"/>
      <c r="F114" s="42"/>
      <c r="G114" s="43"/>
      <c r="H114" s="62"/>
      <c r="I114" s="279" t="s">
        <v>462</v>
      </c>
      <c r="J114" s="288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133" t="s">
        <v>346</v>
      </c>
      <c r="W114" s="134"/>
      <c r="X114" s="133">
        <f>SUM(X115:X117)</f>
        <v>92878000</v>
      </c>
      <c r="Y114" s="135" t="s">
        <v>25</v>
      </c>
    </row>
    <row r="115" spans="1:25" ht="21" customHeight="1">
      <c r="A115" s="39"/>
      <c r="B115" s="40"/>
      <c r="C115" s="40"/>
      <c r="D115" s="40"/>
      <c r="E115" s="42"/>
      <c r="F115" s="42"/>
      <c r="G115" s="43"/>
      <c r="H115" s="62"/>
      <c r="I115" s="277" t="s">
        <v>429</v>
      </c>
      <c r="J115" s="288"/>
      <c r="K115" s="287"/>
      <c r="L115" s="287"/>
      <c r="M115" s="287">
        <f>M22</f>
        <v>108793000</v>
      </c>
      <c r="N115" s="287" t="s">
        <v>345</v>
      </c>
      <c r="O115" s="66" t="s">
        <v>359</v>
      </c>
      <c r="P115" s="474">
        <v>0.255</v>
      </c>
      <c r="Q115" s="287"/>
      <c r="R115" s="287"/>
      <c r="S115" s="287"/>
      <c r="T115" s="287"/>
      <c r="U115" s="287" t="s">
        <v>358</v>
      </c>
      <c r="V115" s="818"/>
      <c r="W115" s="818"/>
      <c r="X115" s="234">
        <f>ROUND(M115*P115,-3)</f>
        <v>27742000</v>
      </c>
      <c r="Y115" s="469" t="s">
        <v>345</v>
      </c>
    </row>
    <row r="116" spans="1:25" ht="21" customHeight="1">
      <c r="A116" s="39"/>
      <c r="B116" s="40"/>
      <c r="C116" s="40"/>
      <c r="D116" s="40"/>
      <c r="E116" s="42"/>
      <c r="F116" s="42"/>
      <c r="G116" s="43"/>
      <c r="H116" s="62"/>
      <c r="I116" s="277" t="s">
        <v>428</v>
      </c>
      <c r="J116" s="288"/>
      <c r="K116" s="287"/>
      <c r="L116" s="287"/>
      <c r="M116" s="287">
        <f>M23</f>
        <v>15080000</v>
      </c>
      <c r="N116" s="287" t="s">
        <v>345</v>
      </c>
      <c r="O116" s="66" t="s">
        <v>359</v>
      </c>
      <c r="P116" s="474">
        <v>0.255</v>
      </c>
      <c r="Q116" s="287"/>
      <c r="R116" s="287"/>
      <c r="S116" s="287"/>
      <c r="T116" s="287"/>
      <c r="U116" s="287" t="s">
        <v>358</v>
      </c>
      <c r="V116" s="817"/>
      <c r="W116" s="817"/>
      <c r="X116" s="60">
        <f>ROUND(M116*P116,-3)</f>
        <v>3845000</v>
      </c>
      <c r="Y116" s="51" t="s">
        <v>345</v>
      </c>
    </row>
    <row r="117" spans="1:25" ht="21" customHeight="1">
      <c r="A117" s="39"/>
      <c r="B117" s="40"/>
      <c r="C117" s="40"/>
      <c r="D117" s="40"/>
      <c r="E117" s="42"/>
      <c r="F117" s="42"/>
      <c r="G117" s="43"/>
      <c r="H117" s="62"/>
      <c r="I117" s="277" t="s">
        <v>427</v>
      </c>
      <c r="J117" s="288"/>
      <c r="K117" s="287"/>
      <c r="L117" s="287"/>
      <c r="M117" s="287">
        <f>M24</f>
        <v>240356000</v>
      </c>
      <c r="N117" s="287" t="s">
        <v>345</v>
      </c>
      <c r="O117" s="66" t="s">
        <v>359</v>
      </c>
      <c r="P117" s="474">
        <v>0.255</v>
      </c>
      <c r="Q117" s="287"/>
      <c r="R117" s="287"/>
      <c r="S117" s="287"/>
      <c r="T117" s="287"/>
      <c r="U117" s="287" t="s">
        <v>358</v>
      </c>
      <c r="V117" s="817"/>
      <c r="W117" s="817"/>
      <c r="X117" s="60">
        <f>ROUND(M117*P117,-3)</f>
        <v>61291000</v>
      </c>
      <c r="Y117" s="51" t="s">
        <v>345</v>
      </c>
    </row>
    <row r="118" spans="1:25" ht="21" customHeight="1">
      <c r="A118" s="39"/>
      <c r="B118" s="40"/>
      <c r="C118" s="40"/>
      <c r="D118" s="40"/>
      <c r="E118" s="42"/>
      <c r="F118" s="42"/>
      <c r="G118" s="43"/>
      <c r="H118" s="62"/>
      <c r="I118" s="278" t="s">
        <v>461</v>
      </c>
      <c r="J118" s="288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16" t="s">
        <v>346</v>
      </c>
      <c r="W118" s="64"/>
      <c r="X118" s="216">
        <f>X119</f>
        <v>30945000</v>
      </c>
      <c r="Y118" s="65" t="s">
        <v>25</v>
      </c>
    </row>
    <row r="119" spans="1:25" ht="21" customHeight="1">
      <c r="A119" s="39"/>
      <c r="B119" s="40"/>
      <c r="C119" s="40"/>
      <c r="D119" s="40"/>
      <c r="E119" s="42"/>
      <c r="F119" s="42"/>
      <c r="G119" s="43"/>
      <c r="H119" s="62"/>
      <c r="I119" s="277" t="s">
        <v>979</v>
      </c>
      <c r="J119" s="288"/>
      <c r="K119" s="287"/>
      <c r="L119" s="287"/>
      <c r="M119" s="287">
        <f>SUM(M113:M117)</f>
        <v>1456255000</v>
      </c>
      <c r="N119" s="48" t="s">
        <v>345</v>
      </c>
      <c r="O119" s="443" t="s">
        <v>366</v>
      </c>
      <c r="P119" s="468">
        <v>12</v>
      </c>
      <c r="Q119" s="200" t="s">
        <v>365</v>
      </c>
      <c r="R119" s="66" t="s">
        <v>359</v>
      </c>
      <c r="S119" s="474">
        <v>0.255</v>
      </c>
      <c r="T119" s="287"/>
      <c r="U119" s="287" t="s">
        <v>358</v>
      </c>
      <c r="V119" s="80"/>
      <c r="W119" s="80"/>
      <c r="X119" s="234">
        <f>ROUND(M119/P119*S119,-3)</f>
        <v>30945000</v>
      </c>
      <c r="Y119" s="467" t="s">
        <v>345</v>
      </c>
    </row>
    <row r="120" spans="1:25" ht="21" customHeight="1">
      <c r="A120" s="39"/>
      <c r="B120" s="40"/>
      <c r="C120" s="40"/>
      <c r="D120" s="40"/>
      <c r="E120" s="42"/>
      <c r="F120" s="42"/>
      <c r="G120" s="43"/>
      <c r="H120" s="62"/>
      <c r="I120" s="278" t="s">
        <v>460</v>
      </c>
      <c r="J120" s="288"/>
      <c r="K120" s="287"/>
      <c r="L120" s="287"/>
      <c r="M120" s="287"/>
      <c r="N120" s="48"/>
      <c r="O120" s="287"/>
      <c r="P120" s="287"/>
      <c r="Q120" s="287"/>
      <c r="R120" s="287"/>
      <c r="S120" s="287"/>
      <c r="T120" s="287"/>
      <c r="U120" s="287"/>
      <c r="V120" s="216" t="s">
        <v>346</v>
      </c>
      <c r="W120" s="64"/>
      <c r="X120" s="216">
        <f>SUM(X121:X125)</f>
        <v>36762000</v>
      </c>
      <c r="Y120" s="65" t="s">
        <v>25</v>
      </c>
    </row>
    <row r="121" spans="1:25" ht="21" customHeight="1">
      <c r="A121" s="39"/>
      <c r="B121" s="40"/>
      <c r="C121" s="40"/>
      <c r="D121" s="40"/>
      <c r="E121" s="42"/>
      <c r="F121" s="42"/>
      <c r="G121" s="43"/>
      <c r="H121" s="62"/>
      <c r="I121" s="277" t="s">
        <v>459</v>
      </c>
      <c r="J121" s="288"/>
      <c r="K121" s="287"/>
      <c r="L121" s="287"/>
      <c r="M121" s="287">
        <f>M119</f>
        <v>1456255000</v>
      </c>
      <c r="N121" s="48" t="s">
        <v>345</v>
      </c>
      <c r="O121" s="66" t="s">
        <v>359</v>
      </c>
      <c r="P121" s="457">
        <v>0.09</v>
      </c>
      <c r="Q121" s="443">
        <v>2</v>
      </c>
      <c r="R121" s="66" t="s">
        <v>359</v>
      </c>
      <c r="S121" s="474">
        <v>0.255</v>
      </c>
      <c r="T121" s="68"/>
      <c r="U121" s="443" t="s">
        <v>358</v>
      </c>
      <c r="V121" s="287"/>
      <c r="W121" s="60"/>
      <c r="X121" s="60">
        <f>ROUND(M121*P121/Q121*S121,-3)</f>
        <v>16711000</v>
      </c>
      <c r="Y121" s="51" t="s">
        <v>345</v>
      </c>
    </row>
    <row r="122" spans="1:25" ht="21" customHeight="1">
      <c r="A122" s="39"/>
      <c r="B122" s="40"/>
      <c r="C122" s="40"/>
      <c r="D122" s="40"/>
      <c r="E122" s="42"/>
      <c r="F122" s="42"/>
      <c r="G122" s="43"/>
      <c r="H122" s="62"/>
      <c r="I122" s="277" t="s">
        <v>458</v>
      </c>
      <c r="J122" s="288"/>
      <c r="K122" s="287"/>
      <c r="L122" s="287"/>
      <c r="M122" s="287">
        <f>M119</f>
        <v>1456255000</v>
      </c>
      <c r="N122" s="48" t="s">
        <v>345</v>
      </c>
      <c r="O122" s="66" t="s">
        <v>359</v>
      </c>
      <c r="P122" s="456">
        <v>6.6699999999999995E-2</v>
      </c>
      <c r="Q122" s="443">
        <v>2</v>
      </c>
      <c r="R122" s="66" t="s">
        <v>359</v>
      </c>
      <c r="S122" s="474">
        <v>0.255</v>
      </c>
      <c r="T122" s="68"/>
      <c r="U122" s="443" t="s">
        <v>358</v>
      </c>
      <c r="V122" s="287"/>
      <c r="W122" s="60"/>
      <c r="X122" s="60">
        <f>ROUNDDOWN(M122*P122/Q122*S122,-3)</f>
        <v>12384000</v>
      </c>
      <c r="Y122" s="51" t="s">
        <v>345</v>
      </c>
    </row>
    <row r="123" spans="1:25" ht="21" customHeight="1">
      <c r="A123" s="39"/>
      <c r="B123" s="40"/>
      <c r="C123" s="40"/>
      <c r="D123" s="40"/>
      <c r="E123" s="42"/>
      <c r="F123" s="42"/>
      <c r="G123" s="43"/>
      <c r="H123" s="62"/>
      <c r="I123" s="277" t="s">
        <v>457</v>
      </c>
      <c r="J123" s="288"/>
      <c r="K123" s="287"/>
      <c r="L123" s="287"/>
      <c r="M123" s="287">
        <f>X122</f>
        <v>12384000</v>
      </c>
      <c r="N123" s="48" t="s">
        <v>345</v>
      </c>
      <c r="O123" s="66" t="s">
        <v>359</v>
      </c>
      <c r="P123" s="70">
        <v>0.10249999999999999</v>
      </c>
      <c r="Q123" s="455"/>
      <c r="R123" s="66"/>
      <c r="S123" s="69"/>
      <c r="T123" s="454"/>
      <c r="U123" s="443" t="s">
        <v>358</v>
      </c>
      <c r="V123" s="287"/>
      <c r="W123" s="60"/>
      <c r="X123" s="60">
        <f>ROUND(M123*P123,-3)</f>
        <v>1269000</v>
      </c>
      <c r="Y123" s="51" t="s">
        <v>345</v>
      </c>
    </row>
    <row r="124" spans="1:25" ht="21" customHeight="1">
      <c r="A124" s="39"/>
      <c r="B124" s="40"/>
      <c r="C124" s="40"/>
      <c r="D124" s="40"/>
      <c r="E124" s="42"/>
      <c r="F124" s="42"/>
      <c r="G124" s="43"/>
      <c r="H124" s="62"/>
      <c r="I124" s="277" t="s">
        <v>456</v>
      </c>
      <c r="J124" s="288"/>
      <c r="K124" s="287"/>
      <c r="L124" s="287"/>
      <c r="M124" s="287">
        <f>M119</f>
        <v>1456255000</v>
      </c>
      <c r="N124" s="48" t="s">
        <v>345</v>
      </c>
      <c r="O124" s="66" t="s">
        <v>359</v>
      </c>
      <c r="P124" s="70">
        <v>1.0500000000000001E-2</v>
      </c>
      <c r="Q124" s="66"/>
      <c r="R124" s="66" t="s">
        <v>359</v>
      </c>
      <c r="S124" s="474">
        <v>0.255</v>
      </c>
      <c r="T124" s="68"/>
      <c r="U124" s="443" t="s">
        <v>358</v>
      </c>
      <c r="V124" s="287"/>
      <c r="W124" s="60"/>
      <c r="X124" s="60">
        <f>ROUNDDOWN(M124*P124*S124,-3)</f>
        <v>3899000</v>
      </c>
      <c r="Y124" s="51" t="s">
        <v>345</v>
      </c>
    </row>
    <row r="125" spans="1:25" ht="21" customHeight="1">
      <c r="A125" s="39"/>
      <c r="B125" s="40"/>
      <c r="C125" s="40"/>
      <c r="D125" s="40"/>
      <c r="E125" s="42"/>
      <c r="F125" s="42"/>
      <c r="G125" s="43"/>
      <c r="H125" s="62"/>
      <c r="I125" s="277" t="s">
        <v>455</v>
      </c>
      <c r="J125" s="288"/>
      <c r="K125" s="287"/>
      <c r="L125" s="287"/>
      <c r="M125" s="287">
        <f>M119</f>
        <v>1456255000</v>
      </c>
      <c r="N125" s="48" t="s">
        <v>345</v>
      </c>
      <c r="O125" s="66" t="s">
        <v>359</v>
      </c>
      <c r="P125" s="453">
        <v>6.7299999999999999E-3</v>
      </c>
      <c r="Q125" s="66"/>
      <c r="R125" s="66" t="s">
        <v>359</v>
      </c>
      <c r="S125" s="474">
        <v>0.255</v>
      </c>
      <c r="T125" s="68"/>
      <c r="U125" s="443" t="s">
        <v>358</v>
      </c>
      <c r="V125" s="287"/>
      <c r="W125" s="60"/>
      <c r="X125" s="60">
        <f>ROUNDDOWN(M125*P125*S125,-3)</f>
        <v>2499000</v>
      </c>
      <c r="Y125" s="51" t="s">
        <v>345</v>
      </c>
    </row>
    <row r="126" spans="1:25" ht="21" customHeight="1">
      <c r="A126" s="39"/>
      <c r="B126" s="40"/>
      <c r="C126" s="40"/>
      <c r="D126" s="53"/>
      <c r="E126" s="55"/>
      <c r="F126" s="55"/>
      <c r="G126" s="56"/>
      <c r="H126" s="76"/>
      <c r="I126" s="63"/>
      <c r="J126" s="64"/>
      <c r="K126" s="465"/>
      <c r="L126" s="465"/>
      <c r="M126" s="216"/>
      <c r="N126" s="216"/>
      <c r="O126" s="464"/>
      <c r="P126" s="216"/>
      <c r="Q126" s="119"/>
      <c r="R126" s="463"/>
      <c r="S126" s="471"/>
      <c r="T126" s="193"/>
      <c r="U126" s="193"/>
      <c r="V126" s="462"/>
      <c r="W126" s="353"/>
      <c r="X126" s="64"/>
      <c r="Y126" s="65"/>
    </row>
    <row r="127" spans="1:25" ht="21" customHeight="1" thickBot="1">
      <c r="A127" s="39"/>
      <c r="B127" s="40"/>
      <c r="C127" s="40"/>
      <c r="D127" s="30" t="s">
        <v>454</v>
      </c>
      <c r="E127" s="31">
        <v>21746</v>
      </c>
      <c r="F127" s="229">
        <f>ROUND(X127/1000,0)</f>
        <v>21050</v>
      </c>
      <c r="G127" s="32">
        <f>F127-E127</f>
        <v>-696</v>
      </c>
      <c r="H127" s="109">
        <f>IF(E127=0,0,G127/E127)</f>
        <v>-3.2005886139979768E-2</v>
      </c>
      <c r="I127" s="235" t="s">
        <v>453</v>
      </c>
      <c r="J127" s="234"/>
      <c r="K127" s="239"/>
      <c r="L127" s="239"/>
      <c r="M127" s="80"/>
      <c r="N127" s="80"/>
      <c r="O127" s="230"/>
      <c r="P127" s="80"/>
      <c r="Q127" s="231"/>
      <c r="R127" s="232"/>
      <c r="S127" s="233"/>
      <c r="T127" s="238"/>
      <c r="U127" s="238"/>
      <c r="V127" s="236" t="s">
        <v>438</v>
      </c>
      <c r="W127" s="237"/>
      <c r="X127" s="237">
        <f>SUM(X128:X129)</f>
        <v>21050000</v>
      </c>
      <c r="Y127" s="260" t="s">
        <v>345</v>
      </c>
    </row>
    <row r="128" spans="1:25" ht="21" customHeight="1">
      <c r="A128" s="39"/>
      <c r="B128" s="40"/>
      <c r="C128" s="40"/>
      <c r="D128" s="40"/>
      <c r="E128" s="42"/>
      <c r="F128" s="42"/>
      <c r="G128" s="43"/>
      <c r="H128" s="62"/>
      <c r="I128" s="288" t="s">
        <v>452</v>
      </c>
      <c r="J128" s="60"/>
      <c r="K128" s="202"/>
      <c r="L128" s="202"/>
      <c r="M128" s="269">
        <f>M64</f>
        <v>2286000</v>
      </c>
      <c r="N128" s="269" t="s">
        <v>25</v>
      </c>
      <c r="O128" s="355" t="s">
        <v>26</v>
      </c>
      <c r="P128" s="356">
        <v>30</v>
      </c>
      <c r="Q128" s="357" t="s">
        <v>360</v>
      </c>
      <c r="R128" s="325" t="s">
        <v>359</v>
      </c>
      <c r="S128" s="358">
        <v>0.255</v>
      </c>
      <c r="T128" s="330"/>
      <c r="U128" s="328" t="s">
        <v>358</v>
      </c>
      <c r="V128" s="817"/>
      <c r="W128" s="817"/>
      <c r="X128" s="60">
        <f>ROUND(M128*P128*S128,-3)</f>
        <v>17488000</v>
      </c>
      <c r="Y128" s="51" t="s">
        <v>345</v>
      </c>
    </row>
    <row r="129" spans="1:25" ht="21" customHeight="1">
      <c r="A129" s="39"/>
      <c r="B129" s="40"/>
      <c r="C129" s="40"/>
      <c r="D129" s="40"/>
      <c r="E129" s="42"/>
      <c r="F129" s="42"/>
      <c r="G129" s="43"/>
      <c r="H129" s="62"/>
      <c r="I129" s="288" t="s">
        <v>451</v>
      </c>
      <c r="J129" s="60"/>
      <c r="K129" s="202"/>
      <c r="L129" s="202"/>
      <c r="M129" s="269">
        <f>M65</f>
        <v>635000</v>
      </c>
      <c r="N129" s="269" t="s">
        <v>25</v>
      </c>
      <c r="O129" s="355" t="s">
        <v>26</v>
      </c>
      <c r="P129" s="356">
        <v>22</v>
      </c>
      <c r="Q129" s="357" t="s">
        <v>360</v>
      </c>
      <c r="R129" s="325" t="s">
        <v>359</v>
      </c>
      <c r="S129" s="358">
        <v>0.255</v>
      </c>
      <c r="T129" s="330"/>
      <c r="U129" s="328" t="s">
        <v>358</v>
      </c>
      <c r="V129" s="817"/>
      <c r="W129" s="817"/>
      <c r="X129" s="60">
        <f>ROUND(M129*P129*S129,-3)</f>
        <v>3562000</v>
      </c>
      <c r="Y129" s="51" t="s">
        <v>345</v>
      </c>
    </row>
    <row r="130" spans="1:25" ht="21" customHeight="1">
      <c r="A130" s="39"/>
      <c r="B130" s="40"/>
      <c r="C130" s="40"/>
      <c r="D130" s="53"/>
      <c r="E130" s="55"/>
      <c r="F130" s="55"/>
      <c r="G130" s="56"/>
      <c r="H130" s="76"/>
      <c r="I130" s="63"/>
      <c r="J130" s="64"/>
      <c r="K130" s="465"/>
      <c r="L130" s="465"/>
      <c r="M130" s="216"/>
      <c r="N130" s="216"/>
      <c r="O130" s="464"/>
      <c r="P130" s="216"/>
      <c r="Q130" s="119"/>
      <c r="R130" s="463"/>
      <c r="S130" s="471"/>
      <c r="T130" s="193"/>
      <c r="U130" s="193"/>
      <c r="V130" s="462"/>
      <c r="W130" s="353"/>
      <c r="X130" s="64"/>
      <c r="Y130" s="65"/>
    </row>
    <row r="131" spans="1:25" ht="21" customHeight="1" thickBot="1">
      <c r="A131" s="39"/>
      <c r="B131" s="40"/>
      <c r="C131" s="40"/>
      <c r="D131" s="30" t="s">
        <v>450</v>
      </c>
      <c r="E131" s="31">
        <v>14942</v>
      </c>
      <c r="F131" s="229">
        <f>ROUND(X131/1000,0)</f>
        <v>14942</v>
      </c>
      <c r="G131" s="32">
        <f>F131-E131</f>
        <v>0</v>
      </c>
      <c r="H131" s="109">
        <f>IF(E131=0,0,G131/E131)</f>
        <v>0</v>
      </c>
      <c r="I131" s="235" t="s">
        <v>449</v>
      </c>
      <c r="J131" s="234"/>
      <c r="K131" s="239"/>
      <c r="L131" s="239"/>
      <c r="M131" s="80"/>
      <c r="N131" s="80"/>
      <c r="O131" s="230"/>
      <c r="P131" s="80"/>
      <c r="Q131" s="231"/>
      <c r="R131" s="232"/>
      <c r="S131" s="233"/>
      <c r="T131" s="238"/>
      <c r="U131" s="238"/>
      <c r="V131" s="236" t="s">
        <v>438</v>
      </c>
      <c r="W131" s="237"/>
      <c r="X131" s="237">
        <f>SUM(X132:X137)</f>
        <v>14942000</v>
      </c>
      <c r="Y131" s="260" t="s">
        <v>345</v>
      </c>
    </row>
    <row r="132" spans="1:25" ht="21" customHeight="1">
      <c r="A132" s="39"/>
      <c r="B132" s="40"/>
      <c r="C132" s="40"/>
      <c r="D132" s="40" t="s">
        <v>448</v>
      </c>
      <c r="E132" s="42"/>
      <c r="F132" s="42"/>
      <c r="G132" s="43"/>
      <c r="H132" s="62"/>
      <c r="I132" s="59" t="s">
        <v>447</v>
      </c>
      <c r="J132" s="288"/>
      <c r="K132" s="287"/>
      <c r="L132" s="287"/>
      <c r="M132" s="287">
        <v>500</v>
      </c>
      <c r="N132" s="287" t="s">
        <v>345</v>
      </c>
      <c r="O132" s="288" t="s">
        <v>359</v>
      </c>
      <c r="P132" s="473">
        <v>52</v>
      </c>
      <c r="Q132" s="459">
        <v>365</v>
      </c>
      <c r="R132" s="287" t="s">
        <v>446</v>
      </c>
      <c r="S132" s="472">
        <v>0.7</v>
      </c>
      <c r="T132" s="287"/>
      <c r="U132" s="287" t="s">
        <v>358</v>
      </c>
      <c r="V132" s="287"/>
      <c r="W132" s="60"/>
      <c r="X132" s="60">
        <f>ROUNDUP(M132*P132*Q132*S132,-3)</f>
        <v>6643000</v>
      </c>
      <c r="Y132" s="51" t="s">
        <v>25</v>
      </c>
    </row>
    <row r="133" spans="1:25" ht="21" customHeight="1">
      <c r="A133" s="39"/>
      <c r="B133" s="40"/>
      <c r="C133" s="40"/>
      <c r="D133" s="40"/>
      <c r="E133" s="42"/>
      <c r="F133" s="42"/>
      <c r="G133" s="43"/>
      <c r="H133" s="62"/>
      <c r="I133" s="59" t="s">
        <v>445</v>
      </c>
      <c r="J133" s="288"/>
      <c r="K133" s="287"/>
      <c r="L133" s="287"/>
      <c r="M133" s="287">
        <v>5000</v>
      </c>
      <c r="N133" s="287" t="s">
        <v>345</v>
      </c>
      <c r="O133" s="288" t="s">
        <v>359</v>
      </c>
      <c r="P133" s="473">
        <v>52</v>
      </c>
      <c r="Q133" s="459">
        <v>12</v>
      </c>
      <c r="R133" s="287" t="s">
        <v>365</v>
      </c>
      <c r="S133" s="472">
        <v>0.7</v>
      </c>
      <c r="T133" s="287"/>
      <c r="U133" s="287" t="s">
        <v>358</v>
      </c>
      <c r="V133" s="287"/>
      <c r="W133" s="60"/>
      <c r="X133" s="60">
        <f>ROUND(M133*P133*Q133*S133,-3)</f>
        <v>2184000</v>
      </c>
      <c r="Y133" s="51" t="s">
        <v>25</v>
      </c>
    </row>
    <row r="134" spans="1:25" ht="21" customHeight="1">
      <c r="A134" s="39"/>
      <c r="B134" s="40"/>
      <c r="C134" s="40"/>
      <c r="D134" s="40"/>
      <c r="E134" s="42"/>
      <c r="F134" s="42"/>
      <c r="G134" s="43"/>
      <c r="H134" s="62"/>
      <c r="I134" s="59" t="s">
        <v>444</v>
      </c>
      <c r="J134" s="288"/>
      <c r="K134" s="287"/>
      <c r="L134" s="287"/>
      <c r="M134" s="287">
        <v>20000</v>
      </c>
      <c r="N134" s="287" t="s">
        <v>345</v>
      </c>
      <c r="O134" s="288" t="s">
        <v>359</v>
      </c>
      <c r="P134" s="473">
        <v>52</v>
      </c>
      <c r="Q134" s="459">
        <v>4</v>
      </c>
      <c r="R134" s="287" t="s">
        <v>361</v>
      </c>
      <c r="S134" s="472">
        <v>0.7</v>
      </c>
      <c r="T134" s="287"/>
      <c r="U134" s="287" t="s">
        <v>358</v>
      </c>
      <c r="V134" s="287"/>
      <c r="W134" s="60"/>
      <c r="X134" s="60">
        <f>ROUND(M134*P134*Q134*S134,-3)</f>
        <v>2912000</v>
      </c>
      <c r="Y134" s="51" t="s">
        <v>25</v>
      </c>
    </row>
    <row r="135" spans="1:25" ht="21" customHeight="1">
      <c r="A135" s="39"/>
      <c r="B135" s="40"/>
      <c r="C135" s="40"/>
      <c r="D135" s="40"/>
      <c r="E135" s="42"/>
      <c r="F135" s="42"/>
      <c r="G135" s="43"/>
      <c r="H135" s="62"/>
      <c r="I135" s="59" t="s">
        <v>443</v>
      </c>
      <c r="J135" s="288"/>
      <c r="K135" s="287"/>
      <c r="L135" s="287"/>
      <c r="M135" s="287">
        <v>12000</v>
      </c>
      <c r="N135" s="287" t="s">
        <v>345</v>
      </c>
      <c r="O135" s="288" t="s">
        <v>359</v>
      </c>
      <c r="P135" s="473">
        <v>52</v>
      </c>
      <c r="Q135" s="459">
        <v>4</v>
      </c>
      <c r="R135" s="287" t="s">
        <v>361</v>
      </c>
      <c r="S135" s="472">
        <v>0.7</v>
      </c>
      <c r="T135" s="287"/>
      <c r="U135" s="287" t="s">
        <v>358</v>
      </c>
      <c r="V135" s="287"/>
      <c r="W135" s="60"/>
      <c r="X135" s="60">
        <f>ROUND(M135*P135*Q135*S135,-3)</f>
        <v>1747000</v>
      </c>
      <c r="Y135" s="51" t="s">
        <v>25</v>
      </c>
    </row>
    <row r="136" spans="1:25" ht="21" customHeight="1">
      <c r="A136" s="39"/>
      <c r="B136" s="40"/>
      <c r="C136" s="40"/>
      <c r="D136" s="40"/>
      <c r="E136" s="42"/>
      <c r="F136" s="42"/>
      <c r="G136" s="43"/>
      <c r="H136" s="62"/>
      <c r="I136" s="59" t="s">
        <v>442</v>
      </c>
      <c r="J136" s="288"/>
      <c r="K136" s="287"/>
      <c r="L136" s="287"/>
      <c r="M136" s="287"/>
      <c r="N136" s="287"/>
      <c r="O136" s="288"/>
      <c r="P136" s="473"/>
      <c r="Q136" s="459"/>
      <c r="R136" s="287"/>
      <c r="S136" s="287"/>
      <c r="T136" s="287"/>
      <c r="U136" s="287"/>
      <c r="V136" s="287"/>
      <c r="W136" s="60"/>
      <c r="X136" s="60"/>
      <c r="Y136" s="51"/>
    </row>
    <row r="137" spans="1:25" ht="21" customHeight="1">
      <c r="A137" s="39"/>
      <c r="B137" s="40"/>
      <c r="C137" s="40"/>
      <c r="D137" s="40"/>
      <c r="E137" s="42"/>
      <c r="F137" s="42"/>
      <c r="G137" s="43"/>
      <c r="H137" s="62"/>
      <c r="I137" s="59" t="s">
        <v>441</v>
      </c>
      <c r="J137" s="288"/>
      <c r="K137" s="287"/>
      <c r="L137" s="287"/>
      <c r="M137" s="287">
        <v>40000</v>
      </c>
      <c r="N137" s="287" t="s">
        <v>345</v>
      </c>
      <c r="O137" s="288" t="s">
        <v>359</v>
      </c>
      <c r="P137" s="473">
        <v>52</v>
      </c>
      <c r="Q137" s="459">
        <v>1</v>
      </c>
      <c r="R137" s="287" t="s">
        <v>361</v>
      </c>
      <c r="S137" s="472">
        <v>0.7</v>
      </c>
      <c r="T137" s="287"/>
      <c r="U137" s="287" t="s">
        <v>358</v>
      </c>
      <c r="V137" s="287"/>
      <c r="W137" s="60"/>
      <c r="X137" s="60">
        <f>ROUNDUP(M137*P137*Q137*S137,-3)</f>
        <v>1456000</v>
      </c>
      <c r="Y137" s="51" t="s">
        <v>25</v>
      </c>
    </row>
    <row r="138" spans="1:25" ht="21" customHeight="1">
      <c r="A138" s="39"/>
      <c r="B138" s="40"/>
      <c r="C138" s="40"/>
      <c r="D138" s="53"/>
      <c r="E138" s="55"/>
      <c r="F138" s="55"/>
      <c r="G138" s="56"/>
      <c r="H138" s="76"/>
      <c r="I138" s="63"/>
      <c r="J138" s="64"/>
      <c r="K138" s="465"/>
      <c r="L138" s="465"/>
      <c r="M138" s="216"/>
      <c r="N138" s="216"/>
      <c r="O138" s="464"/>
      <c r="P138" s="216"/>
      <c r="Q138" s="119"/>
      <c r="R138" s="463"/>
      <c r="S138" s="471"/>
      <c r="T138" s="193"/>
      <c r="U138" s="193"/>
      <c r="V138" s="462"/>
      <c r="W138" s="353"/>
      <c r="X138" s="64"/>
      <c r="Y138" s="65"/>
    </row>
    <row r="139" spans="1:25" ht="21" customHeight="1" thickBot="1">
      <c r="A139" s="39"/>
      <c r="B139" s="40"/>
      <c r="C139" s="40"/>
      <c r="D139" s="30" t="s">
        <v>440</v>
      </c>
      <c r="E139" s="31">
        <v>116701</v>
      </c>
      <c r="F139" s="229">
        <f>ROUND(X139/1000,0)</f>
        <v>116433</v>
      </c>
      <c r="G139" s="32">
        <f>F139-E139</f>
        <v>-268</v>
      </c>
      <c r="H139" s="109">
        <f>IF(E139=0,0,G139/E139)</f>
        <v>-2.2964670396997456E-3</v>
      </c>
      <c r="I139" s="235" t="s">
        <v>439</v>
      </c>
      <c r="J139" s="234"/>
      <c r="K139" s="239"/>
      <c r="L139" s="239"/>
      <c r="M139" s="80"/>
      <c r="N139" s="80"/>
      <c r="O139" s="230"/>
      <c r="P139" s="80"/>
      <c r="Q139" s="231"/>
      <c r="R139" s="232"/>
      <c r="S139" s="233"/>
      <c r="T139" s="238"/>
      <c r="U139" s="238"/>
      <c r="V139" s="236" t="s">
        <v>438</v>
      </c>
      <c r="W139" s="237"/>
      <c r="X139" s="237">
        <f>X140+X158</f>
        <v>116433000</v>
      </c>
      <c r="Y139" s="260" t="s">
        <v>345</v>
      </c>
    </row>
    <row r="140" spans="1:25" ht="21" customHeight="1">
      <c r="A140" s="39"/>
      <c r="B140" s="40"/>
      <c r="C140" s="40"/>
      <c r="D140" s="40" t="s">
        <v>437</v>
      </c>
      <c r="E140" s="42"/>
      <c r="F140" s="42"/>
      <c r="G140" s="43"/>
      <c r="H140" s="62"/>
      <c r="I140" s="470" t="s">
        <v>436</v>
      </c>
      <c r="J140" s="60"/>
      <c r="K140" s="202"/>
      <c r="L140" s="202"/>
      <c r="M140" s="287"/>
      <c r="N140" s="287"/>
      <c r="O140" s="200"/>
      <c r="P140" s="287"/>
      <c r="Q140" s="48"/>
      <c r="R140" s="461"/>
      <c r="S140" s="50"/>
      <c r="T140" s="443"/>
      <c r="U140" s="443"/>
      <c r="V140" s="216" t="s">
        <v>435</v>
      </c>
      <c r="W140" s="64"/>
      <c r="X140" s="216">
        <f>SUM(X141,X145,X149,X151)</f>
        <v>101853000</v>
      </c>
      <c r="Y140" s="65" t="s">
        <v>25</v>
      </c>
    </row>
    <row r="141" spans="1:25" ht="21" customHeight="1">
      <c r="A141" s="39"/>
      <c r="B141" s="40"/>
      <c r="C141" s="40"/>
      <c r="D141" s="40"/>
      <c r="E141" s="42"/>
      <c r="F141" s="42"/>
      <c r="G141" s="43"/>
      <c r="H141" s="62"/>
      <c r="I141" s="63" t="s">
        <v>434</v>
      </c>
      <c r="J141" s="288"/>
      <c r="K141" s="287"/>
      <c r="L141" s="287"/>
      <c r="M141" s="287"/>
      <c r="N141" s="287"/>
      <c r="O141" s="66"/>
      <c r="P141" s="69"/>
      <c r="Q141" s="287"/>
      <c r="R141" s="287"/>
      <c r="S141" s="287"/>
      <c r="T141" s="287"/>
      <c r="U141" s="287"/>
      <c r="V141" s="216" t="s">
        <v>346</v>
      </c>
      <c r="W141" s="64"/>
      <c r="X141" s="216">
        <f>SUM(X142:X144)</f>
        <v>63580000</v>
      </c>
      <c r="Y141" s="65" t="s">
        <v>25</v>
      </c>
    </row>
    <row r="142" spans="1:25" ht="21" customHeight="1">
      <c r="A142" s="39"/>
      <c r="B142" s="40"/>
      <c r="C142" s="40"/>
      <c r="D142" s="40"/>
      <c r="E142" s="42"/>
      <c r="F142" s="42"/>
      <c r="G142" s="43"/>
      <c r="H142" s="62"/>
      <c r="I142" s="280" t="s">
        <v>433</v>
      </c>
      <c r="J142" s="288"/>
      <c r="K142" s="287"/>
      <c r="L142" s="287"/>
      <c r="M142" s="287">
        <f>M81</f>
        <v>23092000</v>
      </c>
      <c r="N142" s="287" t="s">
        <v>345</v>
      </c>
      <c r="O142" s="66" t="s">
        <v>359</v>
      </c>
      <c r="P142" s="69">
        <v>0.9</v>
      </c>
      <c r="Q142" s="287"/>
      <c r="R142" s="287"/>
      <c r="S142" s="287"/>
      <c r="T142" s="287"/>
      <c r="U142" s="287" t="s">
        <v>358</v>
      </c>
      <c r="V142" s="80"/>
      <c r="W142" s="234"/>
      <c r="X142" s="80">
        <f>ROUNDUP(M142*P142,-3)</f>
        <v>20783000</v>
      </c>
      <c r="Y142" s="469" t="s">
        <v>345</v>
      </c>
    </row>
    <row r="143" spans="1:25" ht="21" customHeight="1">
      <c r="A143" s="39"/>
      <c r="B143" s="40"/>
      <c r="C143" s="40"/>
      <c r="D143" s="40"/>
      <c r="E143" s="42"/>
      <c r="F143" s="42"/>
      <c r="G143" s="43"/>
      <c r="H143" s="62"/>
      <c r="I143" s="277" t="s">
        <v>432</v>
      </c>
      <c r="J143" s="288"/>
      <c r="K143" s="287"/>
      <c r="L143" s="287"/>
      <c r="M143" s="287">
        <f>M82</f>
        <v>25122000</v>
      </c>
      <c r="N143" s="287" t="s">
        <v>345</v>
      </c>
      <c r="O143" s="66" t="s">
        <v>359</v>
      </c>
      <c r="P143" s="69">
        <v>0.9</v>
      </c>
      <c r="Q143" s="287"/>
      <c r="R143" s="287"/>
      <c r="S143" s="287"/>
      <c r="T143" s="287"/>
      <c r="U143" s="287" t="s">
        <v>358</v>
      </c>
      <c r="V143" s="287"/>
      <c r="W143" s="60"/>
      <c r="X143" s="287">
        <f>ROUND(M143*P143,-3)</f>
        <v>22610000</v>
      </c>
      <c r="Y143" s="51" t="s">
        <v>345</v>
      </c>
    </row>
    <row r="144" spans="1:25" ht="21" customHeight="1">
      <c r="A144" s="39"/>
      <c r="B144" s="40"/>
      <c r="C144" s="40"/>
      <c r="D144" s="40"/>
      <c r="E144" s="42"/>
      <c r="F144" s="42"/>
      <c r="G144" s="43"/>
      <c r="H144" s="62"/>
      <c r="I144" s="277" t="s">
        <v>431</v>
      </c>
      <c r="J144" s="288"/>
      <c r="K144" s="287"/>
      <c r="L144" s="287"/>
      <c r="M144" s="287">
        <f>M83</f>
        <v>22430000</v>
      </c>
      <c r="N144" s="287" t="s">
        <v>345</v>
      </c>
      <c r="O144" s="66" t="s">
        <v>359</v>
      </c>
      <c r="P144" s="69">
        <v>0.9</v>
      </c>
      <c r="Q144" s="287"/>
      <c r="R144" s="287"/>
      <c r="S144" s="287"/>
      <c r="T144" s="287"/>
      <c r="U144" s="287" t="s">
        <v>358</v>
      </c>
      <c r="V144" s="287"/>
      <c r="W144" s="60"/>
      <c r="X144" s="287">
        <f>ROUNDUP(M144*P144,-3)</f>
        <v>20187000</v>
      </c>
      <c r="Y144" s="51" t="s">
        <v>345</v>
      </c>
    </row>
    <row r="145" spans="1:25" ht="21" customHeight="1">
      <c r="A145" s="39"/>
      <c r="B145" s="40"/>
      <c r="C145" s="40"/>
      <c r="D145" s="40"/>
      <c r="E145" s="42"/>
      <c r="F145" s="42"/>
      <c r="G145" s="43"/>
      <c r="H145" s="62"/>
      <c r="I145" s="63" t="s">
        <v>430</v>
      </c>
      <c r="J145" s="288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16" t="s">
        <v>346</v>
      </c>
      <c r="W145" s="64"/>
      <c r="X145" s="216">
        <f>SUM(X146:X148)</f>
        <v>22562000</v>
      </c>
      <c r="Y145" s="65" t="s">
        <v>25</v>
      </c>
    </row>
    <row r="146" spans="1:25" ht="21" customHeight="1">
      <c r="A146" s="39"/>
      <c r="B146" s="40"/>
      <c r="C146" s="40"/>
      <c r="D146" s="40"/>
      <c r="E146" s="42"/>
      <c r="F146" s="42"/>
      <c r="G146" s="43"/>
      <c r="H146" s="62"/>
      <c r="I146" s="277" t="s">
        <v>429</v>
      </c>
      <c r="J146" s="288"/>
      <c r="K146" s="287"/>
      <c r="L146" s="287"/>
      <c r="M146" s="287">
        <f>M85</f>
        <v>6994800</v>
      </c>
      <c r="N146" s="287" t="s">
        <v>345</v>
      </c>
      <c r="O146" s="66" t="s">
        <v>359</v>
      </c>
      <c r="P146" s="69">
        <v>0.9</v>
      </c>
      <c r="Q146" s="287"/>
      <c r="R146" s="287"/>
      <c r="S146" s="287"/>
      <c r="T146" s="287"/>
      <c r="U146" s="287" t="s">
        <v>358</v>
      </c>
      <c r="V146" s="818"/>
      <c r="W146" s="818"/>
      <c r="X146" s="234">
        <f>ROUND(M146*P146,-3)</f>
        <v>6295000</v>
      </c>
      <c r="Y146" s="469" t="s">
        <v>345</v>
      </c>
    </row>
    <row r="147" spans="1:25" ht="21" customHeight="1">
      <c r="A147" s="39"/>
      <c r="B147" s="40"/>
      <c r="C147" s="40"/>
      <c r="D147" s="40"/>
      <c r="E147" s="42"/>
      <c r="F147" s="42"/>
      <c r="G147" s="43"/>
      <c r="H147" s="62"/>
      <c r="I147" s="274" t="s">
        <v>428</v>
      </c>
      <c r="J147" s="288"/>
      <c r="K147" s="287"/>
      <c r="L147" s="287"/>
      <c r="M147" s="287">
        <f>M86</f>
        <v>1180000</v>
      </c>
      <c r="N147" s="287" t="s">
        <v>345</v>
      </c>
      <c r="O147" s="66" t="s">
        <v>359</v>
      </c>
      <c r="P147" s="69">
        <v>0.9</v>
      </c>
      <c r="Q147" s="287"/>
      <c r="R147" s="287"/>
      <c r="S147" s="287"/>
      <c r="T147" s="287"/>
      <c r="U147" s="287" t="s">
        <v>358</v>
      </c>
      <c r="V147" s="817"/>
      <c r="W147" s="817"/>
      <c r="X147" s="60">
        <f>ROUND(M147*P147,-3)</f>
        <v>1062000</v>
      </c>
      <c r="Y147" s="51" t="s">
        <v>345</v>
      </c>
    </row>
    <row r="148" spans="1:25" ht="21" customHeight="1">
      <c r="A148" s="39"/>
      <c r="B148" s="40"/>
      <c r="C148" s="40"/>
      <c r="D148" s="40"/>
      <c r="E148" s="42"/>
      <c r="F148" s="42"/>
      <c r="G148" s="43"/>
      <c r="H148" s="62"/>
      <c r="I148" s="277" t="s">
        <v>427</v>
      </c>
      <c r="J148" s="288"/>
      <c r="K148" s="287"/>
      <c r="L148" s="287"/>
      <c r="M148" s="287">
        <f>M87</f>
        <v>16894000</v>
      </c>
      <c r="N148" s="287" t="s">
        <v>345</v>
      </c>
      <c r="O148" s="66" t="s">
        <v>359</v>
      </c>
      <c r="P148" s="69">
        <v>0.9</v>
      </c>
      <c r="Q148" s="287"/>
      <c r="R148" s="287"/>
      <c r="S148" s="287"/>
      <c r="T148" s="287"/>
      <c r="U148" s="287" t="s">
        <v>358</v>
      </c>
      <c r="V148" s="817"/>
      <c r="W148" s="817"/>
      <c r="X148" s="60">
        <f>ROUND(M148*P148,-3)</f>
        <v>15205000</v>
      </c>
      <c r="Y148" s="51" t="s">
        <v>345</v>
      </c>
    </row>
    <row r="149" spans="1:25" ht="21" customHeight="1">
      <c r="A149" s="39"/>
      <c r="B149" s="40"/>
      <c r="C149" s="40"/>
      <c r="D149" s="40"/>
      <c r="E149" s="42"/>
      <c r="F149" s="42"/>
      <c r="G149" s="43"/>
      <c r="H149" s="62"/>
      <c r="I149" s="63" t="s">
        <v>426</v>
      </c>
      <c r="J149" s="288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16" t="s">
        <v>346</v>
      </c>
      <c r="W149" s="64"/>
      <c r="X149" s="216">
        <f>X150</f>
        <v>7179000</v>
      </c>
      <c r="Y149" s="65" t="s">
        <v>25</v>
      </c>
    </row>
    <row r="150" spans="1:25" ht="21" customHeight="1">
      <c r="A150" s="39"/>
      <c r="B150" s="40"/>
      <c r="C150" s="40"/>
      <c r="D150" s="40"/>
      <c r="E150" s="42"/>
      <c r="F150" s="42"/>
      <c r="G150" s="43"/>
      <c r="H150" s="62"/>
      <c r="I150" s="277" t="s">
        <v>425</v>
      </c>
      <c r="J150" s="288"/>
      <c r="K150" s="287"/>
      <c r="L150" s="287"/>
      <c r="M150" s="287">
        <f>SUM(M141:M148)</f>
        <v>95712800</v>
      </c>
      <c r="N150" s="48" t="s">
        <v>368</v>
      </c>
      <c r="O150" s="443" t="s">
        <v>371</v>
      </c>
      <c r="P150" s="468">
        <v>12</v>
      </c>
      <c r="Q150" s="200" t="s">
        <v>370</v>
      </c>
      <c r="R150" s="66" t="s">
        <v>372</v>
      </c>
      <c r="S150" s="69">
        <v>0.9</v>
      </c>
      <c r="T150" s="287"/>
      <c r="U150" s="287" t="s">
        <v>369</v>
      </c>
      <c r="V150" s="80"/>
      <c r="W150" s="80"/>
      <c r="X150" s="234">
        <f>ROUNDUP(M150/P150*S150,-3)</f>
        <v>7179000</v>
      </c>
      <c r="Y150" s="467" t="s">
        <v>368</v>
      </c>
    </row>
    <row r="151" spans="1:25" ht="21" customHeight="1">
      <c r="A151" s="39"/>
      <c r="B151" s="40"/>
      <c r="C151" s="40"/>
      <c r="D151" s="40"/>
      <c r="E151" s="42"/>
      <c r="F151" s="42"/>
      <c r="G151" s="43"/>
      <c r="H151" s="62"/>
      <c r="I151" s="63" t="s">
        <v>424</v>
      </c>
      <c r="J151" s="288"/>
      <c r="K151" s="287"/>
      <c r="L151" s="287"/>
      <c r="M151" s="287"/>
      <c r="N151" s="48"/>
      <c r="O151" s="287"/>
      <c r="P151" s="287"/>
      <c r="Q151" s="287"/>
      <c r="R151" s="287"/>
      <c r="S151" s="287"/>
      <c r="T151" s="287"/>
      <c r="U151" s="287"/>
      <c r="V151" s="216" t="s">
        <v>373</v>
      </c>
      <c r="W151" s="64"/>
      <c r="X151" s="216">
        <f>SUM(X152:X156)</f>
        <v>8532000</v>
      </c>
      <c r="Y151" s="65" t="s">
        <v>25</v>
      </c>
    </row>
    <row r="152" spans="1:25" ht="21" customHeight="1">
      <c r="A152" s="39"/>
      <c r="B152" s="40"/>
      <c r="C152" s="40"/>
      <c r="D152" s="40"/>
      <c r="E152" s="42"/>
      <c r="F152" s="42"/>
      <c r="G152" s="43"/>
      <c r="H152" s="62"/>
      <c r="I152" s="277" t="s">
        <v>423</v>
      </c>
      <c r="J152" s="288"/>
      <c r="K152" s="287"/>
      <c r="L152" s="287"/>
      <c r="M152" s="287">
        <f>M150</f>
        <v>95712800</v>
      </c>
      <c r="N152" s="48" t="s">
        <v>368</v>
      </c>
      <c r="O152" s="66" t="s">
        <v>372</v>
      </c>
      <c r="P152" s="457">
        <v>0.09</v>
      </c>
      <c r="Q152" s="443">
        <v>2</v>
      </c>
      <c r="R152" s="66" t="s">
        <v>372</v>
      </c>
      <c r="S152" s="69">
        <v>0.9</v>
      </c>
      <c r="T152" s="68"/>
      <c r="U152" s="443" t="s">
        <v>369</v>
      </c>
      <c r="V152" s="287"/>
      <c r="W152" s="60"/>
      <c r="X152" s="60">
        <f>ROUNDUP(M152*P152/Q152*S152,-3)</f>
        <v>3877000</v>
      </c>
      <c r="Y152" s="51" t="s">
        <v>368</v>
      </c>
    </row>
    <row r="153" spans="1:25" ht="21" customHeight="1">
      <c r="A153" s="39"/>
      <c r="B153" s="40"/>
      <c r="C153" s="40"/>
      <c r="D153" s="40"/>
      <c r="E153" s="42"/>
      <c r="F153" s="42"/>
      <c r="G153" s="43"/>
      <c r="H153" s="62"/>
      <c r="I153" s="277" t="s">
        <v>422</v>
      </c>
      <c r="J153" s="288"/>
      <c r="K153" s="287"/>
      <c r="L153" s="287"/>
      <c r="M153" s="287">
        <f>M150</f>
        <v>95712800</v>
      </c>
      <c r="N153" s="48" t="s">
        <v>368</v>
      </c>
      <c r="O153" s="66" t="s">
        <v>372</v>
      </c>
      <c r="P153" s="456">
        <v>6.6699999999999995E-2</v>
      </c>
      <c r="Q153" s="443">
        <v>2</v>
      </c>
      <c r="R153" s="66" t="s">
        <v>372</v>
      </c>
      <c r="S153" s="69">
        <v>0.9</v>
      </c>
      <c r="T153" s="68"/>
      <c r="U153" s="443" t="s">
        <v>369</v>
      </c>
      <c r="V153" s="287"/>
      <c r="W153" s="60"/>
      <c r="X153" s="60">
        <f>ROUNDDOWN(ROUNDUP(M153*P153/Q153,-3)*S153,-3)</f>
        <v>2873000</v>
      </c>
      <c r="Y153" s="51" t="s">
        <v>368</v>
      </c>
    </row>
    <row r="154" spans="1:25" ht="21" customHeight="1">
      <c r="A154" s="39"/>
      <c r="B154" s="40"/>
      <c r="C154" s="40"/>
      <c r="D154" s="40"/>
      <c r="E154" s="42"/>
      <c r="F154" s="42"/>
      <c r="G154" s="43"/>
      <c r="H154" s="62"/>
      <c r="I154" s="277" t="s">
        <v>421</v>
      </c>
      <c r="J154" s="288"/>
      <c r="K154" s="287"/>
      <c r="L154" s="287"/>
      <c r="M154" s="287">
        <f>X153</f>
        <v>2873000</v>
      </c>
      <c r="N154" s="48" t="s">
        <v>368</v>
      </c>
      <c r="O154" s="66" t="s">
        <v>372</v>
      </c>
      <c r="P154" s="70">
        <v>0.10249999999999999</v>
      </c>
      <c r="Q154" s="455"/>
      <c r="R154" s="66"/>
      <c r="S154" s="69"/>
      <c r="T154" s="454"/>
      <c r="U154" s="443" t="s">
        <v>369</v>
      </c>
      <c r="V154" s="287"/>
      <c r="W154" s="60"/>
      <c r="X154" s="60">
        <f>ROUNDUP(M154*P154,-3)+1000</f>
        <v>296000</v>
      </c>
      <c r="Y154" s="51" t="s">
        <v>368</v>
      </c>
    </row>
    <row r="155" spans="1:25" ht="21" customHeight="1">
      <c r="A155" s="39"/>
      <c r="B155" s="40"/>
      <c r="C155" s="40"/>
      <c r="D155" s="40"/>
      <c r="E155" s="42"/>
      <c r="F155" s="42"/>
      <c r="G155" s="43"/>
      <c r="H155" s="62"/>
      <c r="I155" s="277" t="s">
        <v>420</v>
      </c>
      <c r="J155" s="288"/>
      <c r="K155" s="287"/>
      <c r="L155" s="287"/>
      <c r="M155" s="287">
        <f>M150</f>
        <v>95712800</v>
      </c>
      <c r="N155" s="48" t="s">
        <v>368</v>
      </c>
      <c r="O155" s="66" t="s">
        <v>372</v>
      </c>
      <c r="P155" s="70">
        <v>1.0500000000000001E-2</v>
      </c>
      <c r="Q155" s="66"/>
      <c r="R155" s="66" t="s">
        <v>372</v>
      </c>
      <c r="S155" s="69">
        <v>0.9</v>
      </c>
      <c r="T155" s="68"/>
      <c r="U155" s="443" t="s">
        <v>369</v>
      </c>
      <c r="V155" s="287"/>
      <c r="W155" s="60"/>
      <c r="X155" s="60">
        <f>ROUNDUP(M155*P155*S155,-3)</f>
        <v>905000</v>
      </c>
      <c r="Y155" s="51" t="s">
        <v>368</v>
      </c>
    </row>
    <row r="156" spans="1:25" ht="21" customHeight="1">
      <c r="A156" s="39"/>
      <c r="B156" s="40"/>
      <c r="C156" s="40"/>
      <c r="D156" s="40"/>
      <c r="E156" s="42"/>
      <c r="F156" s="42"/>
      <c r="G156" s="43"/>
      <c r="H156" s="62"/>
      <c r="I156" s="277" t="s">
        <v>419</v>
      </c>
      <c r="J156" s="288"/>
      <c r="K156" s="287"/>
      <c r="L156" s="287"/>
      <c r="M156" s="287">
        <f>M150</f>
        <v>95712800</v>
      </c>
      <c r="N156" s="48" t="s">
        <v>368</v>
      </c>
      <c r="O156" s="66" t="s">
        <v>372</v>
      </c>
      <c r="P156" s="453">
        <v>6.7299999999999999E-3</v>
      </c>
      <c r="Q156" s="66"/>
      <c r="R156" s="66" t="s">
        <v>372</v>
      </c>
      <c r="S156" s="69">
        <v>0.9</v>
      </c>
      <c r="T156" s="68"/>
      <c r="U156" s="443" t="s">
        <v>369</v>
      </c>
      <c r="V156" s="287"/>
      <c r="W156" s="60"/>
      <c r="X156" s="60">
        <f>ROUNDUP(M156*P156*S156,-3)+1000</f>
        <v>581000</v>
      </c>
      <c r="Y156" s="51" t="s">
        <v>368</v>
      </c>
    </row>
    <row r="157" spans="1:25" ht="21" customHeight="1">
      <c r="A157" s="39"/>
      <c r="B157" s="40"/>
      <c r="C157" s="40"/>
      <c r="D157" s="40"/>
      <c r="E157" s="42"/>
      <c r="F157" s="42"/>
      <c r="G157" s="43"/>
      <c r="H157" s="62"/>
      <c r="I157" s="59"/>
      <c r="J157" s="60"/>
      <c r="K157" s="202"/>
      <c r="L157" s="202"/>
      <c r="M157" s="287"/>
      <c r="N157" s="287"/>
      <c r="O157" s="200"/>
      <c r="P157" s="287"/>
      <c r="Q157" s="48"/>
      <c r="R157" s="461"/>
      <c r="S157" s="50"/>
      <c r="T157" s="443"/>
      <c r="U157" s="443"/>
      <c r="V157" s="69"/>
      <c r="W157" s="288"/>
      <c r="X157" s="60"/>
      <c r="Y157" s="51"/>
    </row>
    <row r="158" spans="1:25" ht="21" customHeight="1">
      <c r="A158" s="39"/>
      <c r="B158" s="40"/>
      <c r="C158" s="40"/>
      <c r="D158" s="40"/>
      <c r="E158" s="42"/>
      <c r="F158" s="42"/>
      <c r="G158" s="43"/>
      <c r="H158" s="62"/>
      <c r="I158" s="63" t="s">
        <v>418</v>
      </c>
      <c r="J158" s="60"/>
      <c r="K158" s="202"/>
      <c r="L158" s="202"/>
      <c r="M158" s="287"/>
      <c r="N158" s="287"/>
      <c r="O158" s="200"/>
      <c r="P158" s="287"/>
      <c r="Q158" s="48"/>
      <c r="R158" s="461"/>
      <c r="S158" s="50"/>
      <c r="T158" s="443"/>
      <c r="U158" s="443"/>
      <c r="V158" s="216" t="s">
        <v>417</v>
      </c>
      <c r="W158" s="64"/>
      <c r="X158" s="216">
        <f>SUM(X159:X161)</f>
        <v>14580000</v>
      </c>
      <c r="Y158" s="65" t="s">
        <v>25</v>
      </c>
    </row>
    <row r="159" spans="1:25" ht="21" customHeight="1">
      <c r="A159" s="39"/>
      <c r="B159" s="40"/>
      <c r="C159" s="40"/>
      <c r="D159" s="40"/>
      <c r="E159" s="42"/>
      <c r="F159" s="42"/>
      <c r="G159" s="43"/>
      <c r="H159" s="62"/>
      <c r="I159" s="277" t="s">
        <v>560</v>
      </c>
      <c r="J159" s="534"/>
      <c r="K159" s="533"/>
      <c r="L159" s="533"/>
      <c r="M159" s="500">
        <v>300000</v>
      </c>
      <c r="N159" s="384" t="s">
        <v>543</v>
      </c>
      <c r="O159" s="384" t="s">
        <v>546</v>
      </c>
      <c r="P159" s="535">
        <v>1</v>
      </c>
      <c r="Q159" s="466">
        <v>12</v>
      </c>
      <c r="R159" s="384" t="s">
        <v>544</v>
      </c>
      <c r="S159" s="502">
        <v>0.9</v>
      </c>
      <c r="T159" s="384"/>
      <c r="U159" s="384" t="s">
        <v>545</v>
      </c>
      <c r="V159" s="533"/>
      <c r="W159" s="124"/>
      <c r="X159" s="533">
        <f>M159*P159*Q159*S159</f>
        <v>3240000</v>
      </c>
      <c r="Y159" s="125" t="s">
        <v>543</v>
      </c>
    </row>
    <row r="160" spans="1:25" ht="21" customHeight="1">
      <c r="A160" s="39"/>
      <c r="B160" s="40"/>
      <c r="C160" s="40"/>
      <c r="D160" s="40"/>
      <c r="E160" s="42"/>
      <c r="F160" s="42"/>
      <c r="G160" s="43"/>
      <c r="H160" s="62"/>
      <c r="I160" s="277" t="s">
        <v>416</v>
      </c>
      <c r="J160" s="288"/>
      <c r="K160" s="287"/>
      <c r="L160" s="287"/>
      <c r="M160" s="460">
        <v>0</v>
      </c>
      <c r="N160" s="61" t="s">
        <v>368</v>
      </c>
      <c r="O160" s="61" t="s">
        <v>372</v>
      </c>
      <c r="P160" s="69">
        <v>0.9</v>
      </c>
      <c r="Q160" s="459"/>
      <c r="R160" s="61"/>
      <c r="S160" s="458"/>
      <c r="T160" s="61"/>
      <c r="U160" s="61" t="s">
        <v>369</v>
      </c>
      <c r="V160" s="287"/>
      <c r="W160" s="60"/>
      <c r="X160" s="287">
        <f>M160*P160</f>
        <v>0</v>
      </c>
      <c r="Y160" s="51" t="s">
        <v>368</v>
      </c>
    </row>
    <row r="161" spans="1:25" ht="21" customHeight="1">
      <c r="A161" s="39"/>
      <c r="B161" s="40"/>
      <c r="C161" s="40"/>
      <c r="D161" s="40"/>
      <c r="E161" s="42"/>
      <c r="F161" s="42"/>
      <c r="G161" s="43"/>
      <c r="H161" s="62"/>
      <c r="I161" s="277" t="s">
        <v>774</v>
      </c>
      <c r="J161" s="724"/>
      <c r="K161" s="723"/>
      <c r="L161" s="723"/>
      <c r="M161" s="500">
        <v>70000</v>
      </c>
      <c r="N161" s="384" t="s">
        <v>769</v>
      </c>
      <c r="O161" s="384" t="s">
        <v>770</v>
      </c>
      <c r="P161" s="501">
        <v>1</v>
      </c>
      <c r="Q161" s="466">
        <v>180</v>
      </c>
      <c r="R161" s="384" t="s">
        <v>775</v>
      </c>
      <c r="S161" s="502">
        <v>0.9</v>
      </c>
      <c r="T161" s="384"/>
      <c r="U161" s="384" t="s">
        <v>773</v>
      </c>
      <c r="V161" s="723"/>
      <c r="W161" s="722"/>
      <c r="X161" s="723">
        <f>M161*P161*Q161*S161</f>
        <v>11340000</v>
      </c>
      <c r="Y161" s="125" t="s">
        <v>769</v>
      </c>
    </row>
    <row r="162" spans="1:25" ht="21" customHeight="1">
      <c r="A162" s="39"/>
      <c r="B162" s="40"/>
      <c r="C162" s="40"/>
      <c r="D162" s="53"/>
      <c r="E162" s="55"/>
      <c r="F162" s="55"/>
      <c r="G162" s="56"/>
      <c r="H162" s="76"/>
      <c r="I162" s="353"/>
      <c r="J162" s="64"/>
      <c r="K162" s="465"/>
      <c r="L162" s="465"/>
      <c r="M162" s="553"/>
      <c r="N162" s="216"/>
      <c r="O162" s="464"/>
      <c r="P162" s="216"/>
      <c r="Q162" s="119"/>
      <c r="R162" s="463"/>
      <c r="S162" s="216"/>
      <c r="T162" s="193"/>
      <c r="U162" s="193"/>
      <c r="V162" s="462"/>
      <c r="W162" s="353"/>
      <c r="X162" s="64"/>
      <c r="Y162" s="65"/>
    </row>
    <row r="163" spans="1:25" ht="21" customHeight="1">
      <c r="A163" s="39"/>
      <c r="B163" s="40"/>
      <c r="C163" s="40"/>
      <c r="D163" s="40" t="s">
        <v>415</v>
      </c>
      <c r="E163" s="42">
        <v>18358</v>
      </c>
      <c r="F163" s="229">
        <f>ROUND(X163/1000,0)</f>
        <v>16995</v>
      </c>
      <c r="G163" s="43">
        <f>F163-E163</f>
        <v>-1363</v>
      </c>
      <c r="H163" s="62">
        <f>IF(E163=0,0,G163/E163)</f>
        <v>-7.4245560518575004E-2</v>
      </c>
      <c r="I163" s="430"/>
      <c r="J163" s="60"/>
      <c r="K163" s="202"/>
      <c r="L163" s="202"/>
      <c r="M163" s="287"/>
      <c r="N163" s="287"/>
      <c r="O163" s="200"/>
      <c r="P163" s="287"/>
      <c r="Q163" s="48"/>
      <c r="R163" s="461"/>
      <c r="S163" s="50"/>
      <c r="T163" s="443"/>
      <c r="U163" s="443"/>
      <c r="V163" s="216" t="s">
        <v>414</v>
      </c>
      <c r="W163" s="64"/>
      <c r="X163" s="216">
        <f>SUM(X164:X167)</f>
        <v>16995000</v>
      </c>
      <c r="Y163" s="65" t="s">
        <v>25</v>
      </c>
    </row>
    <row r="164" spans="1:25" ht="21" customHeight="1">
      <c r="A164" s="39"/>
      <c r="B164" s="40"/>
      <c r="C164" s="40"/>
      <c r="D164" s="40"/>
      <c r="E164" s="42"/>
      <c r="F164" s="42"/>
      <c r="G164" s="43"/>
      <c r="H164" s="62"/>
      <c r="I164" s="271"/>
      <c r="J164" s="60"/>
      <c r="K164" s="202"/>
      <c r="L164" s="202"/>
      <c r="M164" s="460"/>
      <c r="N164" s="61" t="s">
        <v>368</v>
      </c>
      <c r="O164" s="61" t="s">
        <v>372</v>
      </c>
      <c r="P164" s="69">
        <v>0.7</v>
      </c>
      <c r="Q164" s="459"/>
      <c r="R164" s="61"/>
      <c r="S164" s="458"/>
      <c r="T164" s="61"/>
      <c r="U164" s="61" t="s">
        <v>369</v>
      </c>
      <c r="V164" s="287"/>
      <c r="W164" s="60"/>
      <c r="X164" s="287">
        <f>ROUND(M164*P164,-3)</f>
        <v>0</v>
      </c>
      <c r="Y164" s="51" t="s">
        <v>368</v>
      </c>
    </row>
    <row r="165" spans="1:25" ht="21" customHeight="1">
      <c r="A165" s="39"/>
      <c r="B165" s="40"/>
      <c r="C165" s="40"/>
      <c r="D165" s="40"/>
      <c r="E165" s="42"/>
      <c r="F165" s="42"/>
      <c r="G165" s="43"/>
      <c r="H165" s="62"/>
      <c r="I165" s="271" t="s">
        <v>413</v>
      </c>
      <c r="J165" s="60"/>
      <c r="K165" s="202"/>
      <c r="L165" s="202"/>
      <c r="M165" s="460">
        <v>17590000</v>
      </c>
      <c r="N165" s="61" t="s">
        <v>368</v>
      </c>
      <c r="O165" s="61" t="s">
        <v>372</v>
      </c>
      <c r="P165" s="69">
        <v>0.5</v>
      </c>
      <c r="Q165" s="459"/>
      <c r="R165" s="61"/>
      <c r="S165" s="458"/>
      <c r="T165" s="61"/>
      <c r="U165" s="61" t="s">
        <v>369</v>
      </c>
      <c r="V165" s="287"/>
      <c r="W165" s="60"/>
      <c r="X165" s="287">
        <f>ROUNDDOWN(M165*P165,-3)</f>
        <v>8795000</v>
      </c>
      <c r="Y165" s="51" t="s">
        <v>368</v>
      </c>
    </row>
    <row r="166" spans="1:25" ht="21" customHeight="1">
      <c r="A166" s="39"/>
      <c r="B166" s="40"/>
      <c r="C166" s="40"/>
      <c r="D166" s="40"/>
      <c r="E166" s="42"/>
      <c r="F166" s="42"/>
      <c r="G166" s="43"/>
      <c r="H166" s="62"/>
      <c r="I166" s="277" t="s">
        <v>510</v>
      </c>
      <c r="J166" s="542"/>
      <c r="K166" s="541"/>
      <c r="L166" s="541"/>
      <c r="M166" s="500">
        <v>300000</v>
      </c>
      <c r="N166" s="384" t="s">
        <v>56</v>
      </c>
      <c r="O166" s="384" t="s">
        <v>57</v>
      </c>
      <c r="P166" s="501">
        <v>20</v>
      </c>
      <c r="Q166" s="466"/>
      <c r="R166" s="384"/>
      <c r="S166" s="502"/>
      <c r="T166" s="384"/>
      <c r="U166" s="384" t="s">
        <v>53</v>
      </c>
      <c r="V166" s="541"/>
      <c r="W166" s="124"/>
      <c r="X166" s="541">
        <f>ROUND(M166*P166,-3)</f>
        <v>6000000</v>
      </c>
      <c r="Y166" s="125" t="s">
        <v>56</v>
      </c>
    </row>
    <row r="167" spans="1:25" ht="21" customHeight="1">
      <c r="A167" s="39"/>
      <c r="B167" s="40"/>
      <c r="C167" s="40"/>
      <c r="D167" s="40"/>
      <c r="E167" s="42"/>
      <c r="F167" s="42"/>
      <c r="G167" s="43"/>
      <c r="H167" s="62"/>
      <c r="I167" s="277" t="s">
        <v>892</v>
      </c>
      <c r="J167" s="625"/>
      <c r="K167" s="624"/>
      <c r="L167" s="624"/>
      <c r="M167" s="624"/>
      <c r="N167" s="561"/>
      <c r="O167" s="381"/>
      <c r="P167" s="628"/>
      <c r="Q167" s="381"/>
      <c r="R167" s="381"/>
      <c r="S167" s="629"/>
      <c r="T167" s="68"/>
      <c r="U167" s="626"/>
      <c r="V167" s="624"/>
      <c r="W167" s="627"/>
      <c r="X167" s="788">
        <v>2200000</v>
      </c>
      <c r="Y167" s="125" t="s">
        <v>686</v>
      </c>
    </row>
    <row r="168" spans="1:25" ht="21" customHeight="1">
      <c r="A168" s="39"/>
      <c r="B168" s="40"/>
      <c r="C168" s="30" t="s">
        <v>412</v>
      </c>
      <c r="D168" s="445" t="s">
        <v>377</v>
      </c>
      <c r="E168" s="211">
        <f>E169</f>
        <v>0</v>
      </c>
      <c r="F168" s="211">
        <f>F169</f>
        <v>0</v>
      </c>
      <c r="G168" s="212">
        <f>F168-E168</f>
        <v>0</v>
      </c>
      <c r="H168" s="213">
        <f>IF(E168=0,0,G168/E168)</f>
        <v>0</v>
      </c>
      <c r="I168" s="196" t="s">
        <v>411</v>
      </c>
      <c r="J168" s="197"/>
      <c r="K168" s="198"/>
      <c r="L168" s="198"/>
      <c r="M168" s="198"/>
      <c r="N168" s="198"/>
      <c r="O168" s="198"/>
      <c r="P168" s="199"/>
      <c r="Q168" s="199"/>
      <c r="R168" s="199"/>
      <c r="S168" s="199"/>
      <c r="T168" s="199"/>
      <c r="U168" s="199"/>
      <c r="V168" s="226" t="s">
        <v>373</v>
      </c>
      <c r="W168" s="227"/>
      <c r="X168" s="227">
        <f>SUM(X169:X169)</f>
        <v>0</v>
      </c>
      <c r="Y168" s="259" t="s">
        <v>368</v>
      </c>
    </row>
    <row r="169" spans="1:25" ht="21" customHeight="1">
      <c r="A169" s="39"/>
      <c r="B169" s="40"/>
      <c r="C169" s="40" t="s">
        <v>410</v>
      </c>
      <c r="D169" s="40" t="s">
        <v>409</v>
      </c>
      <c r="E169" s="42">
        <v>0</v>
      </c>
      <c r="F169" s="42">
        <f>ROUND(X169/1000,0)</f>
        <v>0</v>
      </c>
      <c r="G169" s="265">
        <f>F169-E169</f>
        <v>0</v>
      </c>
      <c r="H169" s="175">
        <f>IF(E169=0,0,G169/E169)</f>
        <v>0</v>
      </c>
      <c r="I169" s="277" t="s">
        <v>607</v>
      </c>
      <c r="J169" s="564"/>
      <c r="K169" s="563"/>
      <c r="L169" s="563"/>
      <c r="M169" s="563">
        <v>80000</v>
      </c>
      <c r="N169" s="543" t="s">
        <v>602</v>
      </c>
      <c r="O169" s="381" t="s">
        <v>603</v>
      </c>
      <c r="P169" s="384">
        <v>0</v>
      </c>
      <c r="Q169" s="381" t="s">
        <v>608</v>
      </c>
      <c r="R169" s="385"/>
      <c r="S169" s="68"/>
      <c r="T169" s="68"/>
      <c r="U169" s="543" t="s">
        <v>606</v>
      </c>
      <c r="V169" s="563"/>
      <c r="W169" s="124"/>
      <c r="X169" s="124">
        <f>M169*P169</f>
        <v>0</v>
      </c>
      <c r="Y169" s="125" t="s">
        <v>602</v>
      </c>
    </row>
    <row r="170" spans="1:25" s="10" customFormat="1" ht="19.5" customHeight="1">
      <c r="A170" s="261"/>
      <c r="B170" s="75"/>
      <c r="C170" s="75"/>
      <c r="D170" s="53"/>
      <c r="E170" s="55"/>
      <c r="F170" s="55"/>
      <c r="G170" s="56"/>
      <c r="H170" s="76"/>
      <c r="I170" s="63"/>
      <c r="J170" s="216"/>
      <c r="K170" s="77"/>
      <c r="L170" s="77"/>
      <c r="M170" s="78"/>
      <c r="N170" s="216"/>
      <c r="O170" s="77"/>
      <c r="P170" s="216"/>
      <c r="Q170" s="216"/>
      <c r="R170" s="216"/>
      <c r="S170" s="216"/>
      <c r="T170" s="216"/>
      <c r="U170" s="216"/>
      <c r="V170" s="216"/>
      <c r="W170" s="216"/>
      <c r="X170" s="216"/>
      <c r="Y170" s="65"/>
    </row>
    <row r="171" spans="1:25" ht="21" customHeight="1">
      <c r="A171" s="29" t="s">
        <v>397</v>
      </c>
      <c r="B171" s="30" t="s">
        <v>30</v>
      </c>
      <c r="C171" s="819" t="s">
        <v>408</v>
      </c>
      <c r="D171" s="820"/>
      <c r="E171" s="240">
        <f>SUM(E172,E187)</f>
        <v>163152</v>
      </c>
      <c r="F171" s="240">
        <f>SUM(F172,F187)</f>
        <v>251160</v>
      </c>
      <c r="G171" s="241">
        <f>F171-E171</f>
        <v>88008</v>
      </c>
      <c r="H171" s="242">
        <f>IF(E171=0,0,G171/E171)</f>
        <v>0.5394233598117093</v>
      </c>
      <c r="I171" s="243" t="s">
        <v>407</v>
      </c>
      <c r="J171" s="244"/>
      <c r="K171" s="245"/>
      <c r="L171" s="245"/>
      <c r="M171" s="244"/>
      <c r="N171" s="244"/>
      <c r="O171" s="244"/>
      <c r="P171" s="244"/>
      <c r="Q171" s="244" t="s">
        <v>406</v>
      </c>
      <c r="R171" s="246"/>
      <c r="S171" s="246"/>
      <c r="T171" s="246"/>
      <c r="U171" s="246"/>
      <c r="V171" s="246"/>
      <c r="W171" s="246"/>
      <c r="X171" s="247">
        <f>X172+X187</f>
        <v>251160000</v>
      </c>
      <c r="Y171" s="258" t="s">
        <v>25</v>
      </c>
    </row>
    <row r="172" spans="1:25" ht="21" customHeight="1">
      <c r="A172" s="39" t="s">
        <v>405</v>
      </c>
      <c r="B172" s="40" t="s">
        <v>405</v>
      </c>
      <c r="C172" s="30" t="s">
        <v>404</v>
      </c>
      <c r="D172" s="445" t="s">
        <v>377</v>
      </c>
      <c r="E172" s="211">
        <f>E173+E183</f>
        <v>72992</v>
      </c>
      <c r="F172" s="211">
        <f>F173+F183</f>
        <v>171000</v>
      </c>
      <c r="G172" s="212">
        <f>F172-E172</f>
        <v>98008</v>
      </c>
      <c r="H172" s="213">
        <f>IF(E172=0,0,G172/E172)</f>
        <v>1.3427224901359054</v>
      </c>
      <c r="I172" s="196" t="s">
        <v>403</v>
      </c>
      <c r="J172" s="197"/>
      <c r="K172" s="198"/>
      <c r="L172" s="198"/>
      <c r="M172" s="198"/>
      <c r="N172" s="198"/>
      <c r="O172" s="198"/>
      <c r="P172" s="199"/>
      <c r="Q172" s="199"/>
      <c r="R172" s="199"/>
      <c r="S172" s="199"/>
      <c r="T172" s="199"/>
      <c r="U172" s="199"/>
      <c r="V172" s="226" t="s">
        <v>373</v>
      </c>
      <c r="W172" s="227"/>
      <c r="X172" s="228">
        <f>SUM(X173,X183)</f>
        <v>171000000</v>
      </c>
      <c r="Y172" s="259" t="s">
        <v>368</v>
      </c>
    </row>
    <row r="173" spans="1:25" ht="21.75" customHeight="1">
      <c r="A173" s="39"/>
      <c r="B173" s="40"/>
      <c r="C173" s="40" t="s">
        <v>397</v>
      </c>
      <c r="D173" s="30" t="s">
        <v>402</v>
      </c>
      <c r="E173" s="31">
        <v>70192</v>
      </c>
      <c r="F173" s="42">
        <f>ROUND(X173/1000,0)</f>
        <v>168200</v>
      </c>
      <c r="G173" s="265">
        <f>F173-E173</f>
        <v>98008</v>
      </c>
      <c r="H173" s="175">
        <f>IF(E173=0,0,G173/E173)</f>
        <v>1.3962844768634601</v>
      </c>
      <c r="I173" s="132" t="s">
        <v>400</v>
      </c>
      <c r="J173" s="151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16" t="s">
        <v>373</v>
      </c>
      <c r="W173" s="816"/>
      <c r="X173" s="134">
        <f>SUM(X174:X182)</f>
        <v>168200000</v>
      </c>
      <c r="Y173" s="135" t="s">
        <v>368</v>
      </c>
    </row>
    <row r="174" spans="1:25" ht="18" customHeight="1">
      <c r="A174" s="39"/>
      <c r="B174" s="40"/>
      <c r="C174" s="40"/>
      <c r="D174" s="40"/>
      <c r="E174" s="42"/>
      <c r="F174" s="42"/>
      <c r="G174" s="43"/>
      <c r="H174" s="25"/>
      <c r="I174" s="59" t="s">
        <v>683</v>
      </c>
      <c r="J174" s="288"/>
      <c r="K174" s="287"/>
      <c r="L174" s="287"/>
      <c r="M174" s="287">
        <v>150000</v>
      </c>
      <c r="N174" s="443" t="s">
        <v>368</v>
      </c>
      <c r="O174" s="66" t="s">
        <v>372</v>
      </c>
      <c r="P174" s="61">
        <v>12</v>
      </c>
      <c r="Q174" s="66" t="s">
        <v>370</v>
      </c>
      <c r="R174" s="71"/>
      <c r="S174" s="68"/>
      <c r="T174" s="68"/>
      <c r="U174" s="443" t="s">
        <v>369</v>
      </c>
      <c r="V174" s="287"/>
      <c r="W174" s="60"/>
      <c r="X174" s="124">
        <f>M174*P174</f>
        <v>1800000</v>
      </c>
      <c r="Y174" s="51" t="s">
        <v>368</v>
      </c>
    </row>
    <row r="175" spans="1:25" ht="18" customHeight="1">
      <c r="A175" s="39"/>
      <c r="B175" s="40"/>
      <c r="C175" s="40"/>
      <c r="D175" s="40"/>
      <c r="E175" s="42"/>
      <c r="F175" s="42"/>
      <c r="G175" s="43"/>
      <c r="H175" s="25"/>
      <c r="I175" s="277" t="s">
        <v>682</v>
      </c>
      <c r="J175" s="423"/>
      <c r="K175" s="370"/>
      <c r="L175" s="370"/>
      <c r="M175" s="370"/>
      <c r="N175" s="517"/>
      <c r="O175" s="519"/>
      <c r="P175" s="536"/>
      <c r="Q175" s="519"/>
      <c r="R175" s="537"/>
      <c r="S175" s="538"/>
      <c r="T175" s="538"/>
      <c r="U175" s="517"/>
      <c r="V175" s="370"/>
      <c r="W175" s="518"/>
      <c r="X175" s="614">
        <v>2752000</v>
      </c>
      <c r="Y175" s="125" t="s">
        <v>678</v>
      </c>
    </row>
    <row r="176" spans="1:25" ht="18" customHeight="1">
      <c r="A176" s="39"/>
      <c r="B176" s="40"/>
      <c r="C176" s="40"/>
      <c r="D176" s="40"/>
      <c r="E176" s="42"/>
      <c r="F176" s="42"/>
      <c r="G176" s="43"/>
      <c r="H176" s="25"/>
      <c r="I176" s="277" t="s">
        <v>782</v>
      </c>
      <c r="J176" s="625"/>
      <c r="K176" s="624"/>
      <c r="L176" s="624"/>
      <c r="M176" s="624"/>
      <c r="N176" s="626"/>
      <c r="O176" s="381"/>
      <c r="P176" s="384"/>
      <c r="Q176" s="381"/>
      <c r="R176" s="385"/>
      <c r="S176" s="68"/>
      <c r="T176" s="68"/>
      <c r="U176" s="626"/>
      <c r="V176" s="624"/>
      <c r="W176" s="627"/>
      <c r="X176" s="627">
        <v>19000000</v>
      </c>
      <c r="Y176" s="125" t="s">
        <v>686</v>
      </c>
    </row>
    <row r="177" spans="1:25" ht="18" customHeight="1">
      <c r="A177" s="39"/>
      <c r="B177" s="40"/>
      <c r="C177" s="40"/>
      <c r="D177" s="40"/>
      <c r="E177" s="42"/>
      <c r="F177" s="42"/>
      <c r="G177" s="43"/>
      <c r="H177" s="25"/>
      <c r="I177" s="277" t="s">
        <v>784</v>
      </c>
      <c r="J177" s="612"/>
      <c r="K177" s="611"/>
      <c r="L177" s="611"/>
      <c r="M177" s="611"/>
      <c r="N177" s="613"/>
      <c r="O177" s="381"/>
      <c r="P177" s="384"/>
      <c r="Q177" s="381"/>
      <c r="R177" s="385"/>
      <c r="S177" s="68"/>
      <c r="T177" s="68"/>
      <c r="U177" s="613"/>
      <c r="V177" s="611"/>
      <c r="W177" s="614"/>
      <c r="X177" s="614">
        <v>9350000</v>
      </c>
      <c r="Y177" s="125" t="s">
        <v>783</v>
      </c>
    </row>
    <row r="178" spans="1:25" ht="18" customHeight="1">
      <c r="A178" s="39"/>
      <c r="B178" s="40"/>
      <c r="C178" s="40"/>
      <c r="D178" s="40"/>
      <c r="E178" s="42"/>
      <c r="F178" s="42"/>
      <c r="G178" s="43"/>
      <c r="H178" s="25"/>
      <c r="I178" s="277" t="s">
        <v>918</v>
      </c>
      <c r="J178" s="612"/>
      <c r="K178" s="611"/>
      <c r="L178" s="611"/>
      <c r="M178" s="611"/>
      <c r="N178" s="613"/>
      <c r="O178" s="381"/>
      <c r="P178" s="384"/>
      <c r="Q178" s="381"/>
      <c r="R178" s="385"/>
      <c r="S178" s="68"/>
      <c r="T178" s="68"/>
      <c r="U178" s="613"/>
      <c r="V178" s="611"/>
      <c r="W178" s="614"/>
      <c r="X178" s="614">
        <v>11707000</v>
      </c>
      <c r="Y178" s="125" t="s">
        <v>783</v>
      </c>
    </row>
    <row r="179" spans="1:25" ht="18" customHeight="1">
      <c r="A179" s="39"/>
      <c r="B179" s="40"/>
      <c r="C179" s="40"/>
      <c r="D179" s="40"/>
      <c r="E179" s="42"/>
      <c r="F179" s="42"/>
      <c r="G179" s="43"/>
      <c r="H179" s="25"/>
      <c r="I179" s="277" t="s">
        <v>785</v>
      </c>
      <c r="J179" s="760"/>
      <c r="K179" s="759"/>
      <c r="L179" s="759"/>
      <c r="M179" s="759"/>
      <c r="N179" s="757"/>
      <c r="O179" s="381"/>
      <c r="P179" s="384"/>
      <c r="Q179" s="381"/>
      <c r="R179" s="385"/>
      <c r="S179" s="68"/>
      <c r="T179" s="68"/>
      <c r="U179" s="757"/>
      <c r="V179" s="759"/>
      <c r="W179" s="758"/>
      <c r="X179" s="758">
        <v>76291000</v>
      </c>
      <c r="Y179" s="125" t="s">
        <v>56</v>
      </c>
    </row>
    <row r="180" spans="1:25" ht="18" customHeight="1">
      <c r="A180" s="39"/>
      <c r="B180" s="40"/>
      <c r="C180" s="40"/>
      <c r="D180" s="40"/>
      <c r="E180" s="42"/>
      <c r="F180" s="42"/>
      <c r="G180" s="43"/>
      <c r="H180" s="25"/>
      <c r="I180" s="277" t="s">
        <v>908</v>
      </c>
      <c r="J180" s="760"/>
      <c r="K180" s="759"/>
      <c r="L180" s="759"/>
      <c r="M180" s="759"/>
      <c r="N180" s="757"/>
      <c r="O180" s="381"/>
      <c r="P180" s="384"/>
      <c r="Q180" s="381"/>
      <c r="R180" s="385"/>
      <c r="S180" s="68"/>
      <c r="T180" s="68"/>
      <c r="U180" s="757"/>
      <c r="V180" s="759"/>
      <c r="W180" s="758"/>
      <c r="X180" s="758">
        <v>7300000</v>
      </c>
      <c r="Y180" s="125" t="s">
        <v>56</v>
      </c>
    </row>
    <row r="181" spans="1:25" ht="18" customHeight="1">
      <c r="A181" s="39"/>
      <c r="B181" s="40"/>
      <c r="C181" s="40"/>
      <c r="D181" s="40"/>
      <c r="E181" s="42"/>
      <c r="F181" s="42"/>
      <c r="G181" s="43"/>
      <c r="H181" s="25"/>
      <c r="I181" s="277" t="s">
        <v>907</v>
      </c>
      <c r="J181" s="760"/>
      <c r="K181" s="759"/>
      <c r="L181" s="759"/>
      <c r="M181" s="759"/>
      <c r="N181" s="757"/>
      <c r="O181" s="381"/>
      <c r="P181" s="384"/>
      <c r="Q181" s="381"/>
      <c r="R181" s="385"/>
      <c r="S181" s="68"/>
      <c r="T181" s="68"/>
      <c r="U181" s="757"/>
      <c r="V181" s="759"/>
      <c r="W181" s="758"/>
      <c r="X181" s="758">
        <v>30000000</v>
      </c>
      <c r="Y181" s="125" t="s">
        <v>56</v>
      </c>
    </row>
    <row r="182" spans="1:25" ht="18" customHeight="1">
      <c r="A182" s="39"/>
      <c r="B182" s="40"/>
      <c r="C182" s="40"/>
      <c r="D182" s="53"/>
      <c r="E182" s="55"/>
      <c r="F182" s="55"/>
      <c r="G182" s="56"/>
      <c r="H182" s="195"/>
      <c r="I182" s="278" t="s">
        <v>974</v>
      </c>
      <c r="J182" s="623"/>
      <c r="K182" s="622"/>
      <c r="L182" s="622"/>
      <c r="M182" s="622"/>
      <c r="N182" s="630"/>
      <c r="O182" s="631"/>
      <c r="P182" s="632"/>
      <c r="Q182" s="631"/>
      <c r="R182" s="633"/>
      <c r="S182" s="207"/>
      <c r="T182" s="207"/>
      <c r="U182" s="630"/>
      <c r="V182" s="622"/>
      <c r="W182" s="402"/>
      <c r="X182" s="402">
        <v>10000000</v>
      </c>
      <c r="Y182" s="393" t="s">
        <v>975</v>
      </c>
    </row>
    <row r="183" spans="1:25" ht="18" customHeight="1">
      <c r="A183" s="39"/>
      <c r="B183" s="40"/>
      <c r="C183" s="40"/>
      <c r="D183" s="30" t="s">
        <v>401</v>
      </c>
      <c r="E183" s="31">
        <v>2800</v>
      </c>
      <c r="F183" s="42">
        <f>ROUND(X183/1000,0)</f>
        <v>2800</v>
      </c>
      <c r="G183" s="32">
        <f>F183-E183</f>
        <v>0</v>
      </c>
      <c r="H183" s="33">
        <f>IF(E183=0,0,G183/E183)</f>
        <v>0</v>
      </c>
      <c r="I183" s="132" t="s">
        <v>400</v>
      </c>
      <c r="J183" s="151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16" t="s">
        <v>373</v>
      </c>
      <c r="W183" s="816"/>
      <c r="X183" s="134">
        <f>SUM(X184:X186)</f>
        <v>2800000</v>
      </c>
      <c r="Y183" s="135" t="s">
        <v>368</v>
      </c>
    </row>
    <row r="184" spans="1:25" ht="18" customHeight="1">
      <c r="A184" s="39"/>
      <c r="B184" s="40"/>
      <c r="C184" s="40"/>
      <c r="D184" s="40"/>
      <c r="E184" s="42"/>
      <c r="F184" s="42"/>
      <c r="G184" s="43"/>
      <c r="H184" s="25"/>
      <c r="I184" s="59" t="s">
        <v>515</v>
      </c>
      <c r="J184" s="288"/>
      <c r="K184" s="287"/>
      <c r="L184" s="287"/>
      <c r="M184" s="513">
        <v>130000</v>
      </c>
      <c r="N184" s="511" t="s">
        <v>56</v>
      </c>
      <c r="O184" s="381" t="s">
        <v>57</v>
      </c>
      <c r="P184" s="384">
        <v>12</v>
      </c>
      <c r="Q184" s="381" t="s">
        <v>0</v>
      </c>
      <c r="R184" s="385"/>
      <c r="S184" s="68"/>
      <c r="T184" s="68"/>
      <c r="U184" s="511" t="s">
        <v>53</v>
      </c>
      <c r="V184" s="513"/>
      <c r="W184" s="124"/>
      <c r="X184" s="124">
        <f>M184*P184</f>
        <v>1560000</v>
      </c>
      <c r="Y184" s="125" t="s">
        <v>56</v>
      </c>
    </row>
    <row r="185" spans="1:25" ht="18" customHeight="1">
      <c r="A185" s="39"/>
      <c r="B185" s="40"/>
      <c r="C185" s="40"/>
      <c r="D185" s="40"/>
      <c r="E185" s="42"/>
      <c r="F185" s="42"/>
      <c r="G185" s="43"/>
      <c r="H185" s="25"/>
      <c r="I185" s="59" t="s">
        <v>684</v>
      </c>
      <c r="J185" s="288"/>
      <c r="K185" s="287"/>
      <c r="L185" s="287"/>
      <c r="M185" s="532">
        <v>20000</v>
      </c>
      <c r="N185" s="531" t="s">
        <v>56</v>
      </c>
      <c r="O185" s="381" t="s">
        <v>57</v>
      </c>
      <c r="P185" s="384">
        <v>12</v>
      </c>
      <c r="Q185" s="381" t="s">
        <v>0</v>
      </c>
      <c r="R185" s="385"/>
      <c r="S185" s="68"/>
      <c r="T185" s="68"/>
      <c r="U185" s="531" t="s">
        <v>53</v>
      </c>
      <c r="V185" s="532"/>
      <c r="W185" s="124"/>
      <c r="X185" s="124">
        <f>M185*P185</f>
        <v>240000</v>
      </c>
      <c r="Y185" s="125" t="s">
        <v>56</v>
      </c>
    </row>
    <row r="186" spans="1:25" ht="18" customHeight="1">
      <c r="A186" s="39"/>
      <c r="B186" s="40"/>
      <c r="C186" s="53"/>
      <c r="D186" s="53"/>
      <c r="E186" s="55"/>
      <c r="F186" s="55"/>
      <c r="G186" s="56"/>
      <c r="H186" s="195"/>
      <c r="I186" s="277" t="s">
        <v>786</v>
      </c>
      <c r="J186" s="625"/>
      <c r="K186" s="624"/>
      <c r="L186" s="624"/>
      <c r="M186" s="624"/>
      <c r="N186" s="626"/>
      <c r="O186" s="381"/>
      <c r="P186" s="384"/>
      <c r="Q186" s="381"/>
      <c r="R186" s="385"/>
      <c r="S186" s="68"/>
      <c r="T186" s="68"/>
      <c r="U186" s="626"/>
      <c r="V186" s="624"/>
      <c r="W186" s="627"/>
      <c r="X186" s="627">
        <v>1000000</v>
      </c>
      <c r="Y186" s="125" t="s">
        <v>686</v>
      </c>
    </row>
    <row r="187" spans="1:25" ht="25.5" customHeight="1">
      <c r="A187" s="39"/>
      <c r="B187" s="40"/>
      <c r="C187" s="40" t="s">
        <v>399</v>
      </c>
      <c r="D187" s="445" t="s">
        <v>377</v>
      </c>
      <c r="E187" s="211">
        <f>E188</f>
        <v>90160</v>
      </c>
      <c r="F187" s="211">
        <f>F188</f>
        <v>80160</v>
      </c>
      <c r="G187" s="212">
        <f>F187-E187</f>
        <v>-10000</v>
      </c>
      <c r="H187" s="213">
        <f>IF(E187=0,0,G187/E187)</f>
        <v>-0.11091393078970718</v>
      </c>
      <c r="I187" s="196" t="s">
        <v>398</v>
      </c>
      <c r="J187" s="197"/>
      <c r="K187" s="198"/>
      <c r="L187" s="198"/>
      <c r="M187" s="198"/>
      <c r="N187" s="198"/>
      <c r="O187" s="198"/>
      <c r="P187" s="199"/>
      <c r="Q187" s="199"/>
      <c r="R187" s="199"/>
      <c r="S187" s="199"/>
      <c r="T187" s="199"/>
      <c r="U187" s="199"/>
      <c r="V187" s="226" t="s">
        <v>373</v>
      </c>
      <c r="W187" s="227"/>
      <c r="X187" s="227">
        <f>X188</f>
        <v>80160000</v>
      </c>
      <c r="Y187" s="259" t="s">
        <v>368</v>
      </c>
    </row>
    <row r="188" spans="1:25" ht="21" customHeight="1">
      <c r="A188" s="39"/>
      <c r="B188" s="40"/>
      <c r="C188" s="40" t="s">
        <v>397</v>
      </c>
      <c r="D188" s="40" t="s">
        <v>396</v>
      </c>
      <c r="E188" s="42">
        <v>90160</v>
      </c>
      <c r="F188" s="42">
        <f>ROUND(X188/1000,0)</f>
        <v>80160</v>
      </c>
      <c r="G188" s="265">
        <f>F188-E188</f>
        <v>-10000</v>
      </c>
      <c r="H188" s="175">
        <f>IF(E188=0,0,G188/E188)</f>
        <v>-0.11091393078970718</v>
      </c>
      <c r="I188" s="132" t="s">
        <v>395</v>
      </c>
      <c r="J188" s="151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16" t="s">
        <v>346</v>
      </c>
      <c r="W188" s="816"/>
      <c r="X188" s="134">
        <f>SUM(X189:X190)</f>
        <v>80160000</v>
      </c>
      <c r="Y188" s="135" t="s">
        <v>345</v>
      </c>
    </row>
    <row r="189" spans="1:25" ht="21" customHeight="1">
      <c r="A189" s="39"/>
      <c r="B189" s="40"/>
      <c r="C189" s="40"/>
      <c r="D189" s="40"/>
      <c r="E189" s="42"/>
      <c r="F189" s="42"/>
      <c r="G189" s="263"/>
      <c r="H189" s="264"/>
      <c r="I189" s="277" t="s">
        <v>776</v>
      </c>
      <c r="J189" s="724" t="s">
        <v>777</v>
      </c>
      <c r="K189" s="723"/>
      <c r="L189" s="723"/>
      <c r="M189" s="723">
        <v>6680000</v>
      </c>
      <c r="N189" s="721" t="s">
        <v>769</v>
      </c>
      <c r="O189" s="381" t="s">
        <v>770</v>
      </c>
      <c r="P189" s="384">
        <v>12</v>
      </c>
      <c r="Q189" s="381" t="s">
        <v>772</v>
      </c>
      <c r="R189" s="385"/>
      <c r="S189" s="68"/>
      <c r="T189" s="68"/>
      <c r="U189" s="721" t="s">
        <v>773</v>
      </c>
      <c r="V189" s="723"/>
      <c r="W189" s="722"/>
      <c r="X189" s="722">
        <f>M189*P189</f>
        <v>80160000</v>
      </c>
      <c r="Y189" s="125" t="s">
        <v>769</v>
      </c>
    </row>
    <row r="190" spans="1:25" ht="21" customHeight="1">
      <c r="A190" s="39"/>
      <c r="B190" s="40"/>
      <c r="C190" s="40"/>
      <c r="D190" s="40"/>
      <c r="E190" s="42"/>
      <c r="F190" s="42"/>
      <c r="G190" s="263"/>
      <c r="H190" s="264"/>
      <c r="I190" s="59"/>
      <c r="J190" s="288"/>
      <c r="K190" s="287"/>
      <c r="L190" s="287"/>
      <c r="M190" s="287"/>
      <c r="N190" s="443"/>
      <c r="O190" s="66"/>
      <c r="P190" s="61"/>
      <c r="Q190" s="66"/>
      <c r="R190" s="71"/>
      <c r="S190" s="68"/>
      <c r="T190" s="68"/>
      <c r="U190" s="443"/>
      <c r="V190" s="287"/>
      <c r="W190" s="60"/>
      <c r="X190" s="60"/>
      <c r="Y190" s="51"/>
    </row>
    <row r="191" spans="1:25" ht="21" customHeight="1">
      <c r="A191" s="52"/>
      <c r="B191" s="53"/>
      <c r="C191" s="53"/>
      <c r="D191" s="53"/>
      <c r="E191" s="55"/>
      <c r="F191" s="55"/>
      <c r="G191" s="56"/>
      <c r="H191" s="195"/>
      <c r="I191" s="63"/>
      <c r="J191" s="353"/>
      <c r="K191" s="216"/>
      <c r="L191" s="216"/>
      <c r="M191" s="216"/>
      <c r="N191" s="193"/>
      <c r="O191" s="204"/>
      <c r="P191" s="205"/>
      <c r="Q191" s="204"/>
      <c r="R191" s="206"/>
      <c r="S191" s="207"/>
      <c r="T191" s="207"/>
      <c r="U191" s="193"/>
      <c r="V191" s="216"/>
      <c r="W191" s="64"/>
      <c r="X191" s="64"/>
      <c r="Y191" s="65"/>
    </row>
    <row r="192" spans="1:25" ht="21" customHeight="1">
      <c r="A192" s="29" t="s">
        <v>386</v>
      </c>
      <c r="B192" s="30" t="s">
        <v>386</v>
      </c>
      <c r="C192" s="819" t="s">
        <v>357</v>
      </c>
      <c r="D192" s="820"/>
      <c r="E192" s="240">
        <f>E193+E196</f>
        <v>0</v>
      </c>
      <c r="F192" s="240">
        <f>F193+F196</f>
        <v>0</v>
      </c>
      <c r="G192" s="241">
        <f>F192-E192</f>
        <v>0</v>
      </c>
      <c r="H192" s="242">
        <f>IF(E192=0,0,G192/E192)</f>
        <v>0</v>
      </c>
      <c r="I192" s="243" t="s">
        <v>394</v>
      </c>
      <c r="J192" s="244"/>
      <c r="K192" s="245"/>
      <c r="L192" s="245"/>
      <c r="M192" s="244"/>
      <c r="N192" s="244"/>
      <c r="O192" s="244"/>
      <c r="P192" s="244"/>
      <c r="Q192" s="244" t="s">
        <v>355</v>
      </c>
      <c r="R192" s="246"/>
      <c r="S192" s="246"/>
      <c r="T192" s="246"/>
      <c r="U192" s="246"/>
      <c r="V192" s="246"/>
      <c r="W192" s="246"/>
      <c r="X192" s="247">
        <f>X193+X196</f>
        <v>0</v>
      </c>
      <c r="Y192" s="258" t="s">
        <v>25</v>
      </c>
    </row>
    <row r="193" spans="1:26" ht="21" customHeight="1">
      <c r="A193" s="39"/>
      <c r="B193" s="40"/>
      <c r="C193" s="30" t="s">
        <v>393</v>
      </c>
      <c r="D193" s="445" t="s">
        <v>353</v>
      </c>
      <c r="E193" s="211">
        <f>E194</f>
        <v>0</v>
      </c>
      <c r="F193" s="211">
        <f>F194</f>
        <v>0</v>
      </c>
      <c r="G193" s="212">
        <f>F193-E193</f>
        <v>0</v>
      </c>
      <c r="H193" s="213">
        <f>IF(E193=0,0,G193/E193)</f>
        <v>0</v>
      </c>
      <c r="I193" s="196" t="s">
        <v>390</v>
      </c>
      <c r="J193" s="197"/>
      <c r="K193" s="198"/>
      <c r="L193" s="198"/>
      <c r="M193" s="198"/>
      <c r="N193" s="198"/>
      <c r="O193" s="198"/>
      <c r="P193" s="199"/>
      <c r="Q193" s="199"/>
      <c r="R193" s="199"/>
      <c r="S193" s="199"/>
      <c r="T193" s="199"/>
      <c r="U193" s="199"/>
      <c r="V193" s="226" t="s">
        <v>346</v>
      </c>
      <c r="W193" s="227"/>
      <c r="X193" s="228">
        <f>X194</f>
        <v>0</v>
      </c>
      <c r="Y193" s="259" t="s">
        <v>345</v>
      </c>
    </row>
    <row r="194" spans="1:26" ht="21" customHeight="1">
      <c r="A194" s="39"/>
      <c r="B194" s="40"/>
      <c r="C194" s="40" t="s">
        <v>392</v>
      </c>
      <c r="D194" s="30" t="s">
        <v>391</v>
      </c>
      <c r="E194" s="31">
        <v>0</v>
      </c>
      <c r="F194" s="42">
        <f>ROUND(X194/1000,0)</f>
        <v>0</v>
      </c>
      <c r="G194" s="32">
        <f>F194-E194</f>
        <v>0</v>
      </c>
      <c r="H194" s="33">
        <f>IF(E194=0,0,G194/E194)</f>
        <v>0</v>
      </c>
      <c r="I194" s="132" t="s">
        <v>390</v>
      </c>
      <c r="J194" s="151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16" t="s">
        <v>346</v>
      </c>
      <c r="W194" s="816"/>
      <c r="X194" s="134">
        <f>X195</f>
        <v>0</v>
      </c>
      <c r="Y194" s="135" t="s">
        <v>345</v>
      </c>
    </row>
    <row r="195" spans="1:26" ht="21" customHeight="1">
      <c r="A195" s="39"/>
      <c r="B195" s="40"/>
      <c r="C195" s="40" t="s">
        <v>386</v>
      </c>
      <c r="D195" s="40" t="s">
        <v>386</v>
      </c>
      <c r="E195" s="42"/>
      <c r="F195" s="42"/>
      <c r="G195" s="43"/>
      <c r="H195" s="25"/>
      <c r="I195" s="59" t="s">
        <v>389</v>
      </c>
      <c r="J195" s="288"/>
      <c r="K195" s="287"/>
      <c r="L195" s="287"/>
      <c r="M195" s="287"/>
      <c r="N195" s="443"/>
      <c r="O195" s="66"/>
      <c r="P195" s="61"/>
      <c r="Q195" s="66"/>
      <c r="R195" s="71"/>
      <c r="S195" s="68"/>
      <c r="T195" s="68"/>
      <c r="U195" s="443"/>
      <c r="V195" s="287"/>
      <c r="W195" s="60"/>
      <c r="X195" s="60">
        <v>0</v>
      </c>
      <c r="Y195" s="51" t="s">
        <v>345</v>
      </c>
    </row>
    <row r="196" spans="1:26" ht="21" customHeight="1">
      <c r="A196" s="39"/>
      <c r="B196" s="40"/>
      <c r="C196" s="30" t="s">
        <v>388</v>
      </c>
      <c r="D196" s="445" t="s">
        <v>353</v>
      </c>
      <c r="E196" s="211">
        <f>E197</f>
        <v>0</v>
      </c>
      <c r="F196" s="211">
        <f>F197</f>
        <v>0</v>
      </c>
      <c r="G196" s="212">
        <f>F196-E196</f>
        <v>0</v>
      </c>
      <c r="H196" s="213">
        <f>IF(E196=0,0,G196/E196)</f>
        <v>0</v>
      </c>
      <c r="I196" s="196" t="s">
        <v>387</v>
      </c>
      <c r="J196" s="197"/>
      <c r="K196" s="198"/>
      <c r="L196" s="198"/>
      <c r="M196" s="198"/>
      <c r="N196" s="198"/>
      <c r="O196" s="198"/>
      <c r="P196" s="199"/>
      <c r="Q196" s="199"/>
      <c r="R196" s="199"/>
      <c r="S196" s="199"/>
      <c r="T196" s="199"/>
      <c r="U196" s="199"/>
      <c r="V196" s="226" t="s">
        <v>346</v>
      </c>
      <c r="W196" s="227"/>
      <c r="X196" s="227">
        <f>X197</f>
        <v>0</v>
      </c>
      <c r="Y196" s="259" t="s">
        <v>345</v>
      </c>
    </row>
    <row r="197" spans="1:26" ht="21" customHeight="1">
      <c r="A197" s="39"/>
      <c r="B197" s="40"/>
      <c r="C197" s="40" t="s">
        <v>386</v>
      </c>
      <c r="D197" s="40" t="s">
        <v>385</v>
      </c>
      <c r="E197" s="42">
        <v>0</v>
      </c>
      <c r="F197" s="42">
        <f>ROUND(X197/1000,0)</f>
        <v>0</v>
      </c>
      <c r="G197" s="32">
        <f>F197-E197</f>
        <v>0</v>
      </c>
      <c r="H197" s="33">
        <f>IF(E197=0,0,G197/E197)</f>
        <v>0</v>
      </c>
      <c r="I197" s="59" t="s">
        <v>384</v>
      </c>
      <c r="J197" s="288"/>
      <c r="K197" s="287"/>
      <c r="L197" s="287"/>
      <c r="M197" s="287"/>
      <c r="N197" s="443"/>
      <c r="O197" s="66"/>
      <c r="P197" s="61"/>
      <c r="Q197" s="66"/>
      <c r="R197" s="71"/>
      <c r="S197" s="68"/>
      <c r="T197" s="68"/>
      <c r="U197" s="443"/>
      <c r="V197" s="287"/>
      <c r="W197" s="60"/>
      <c r="X197" s="60">
        <v>0</v>
      </c>
      <c r="Y197" s="51" t="s">
        <v>345</v>
      </c>
    </row>
    <row r="198" spans="1:26" ht="21" customHeight="1">
      <c r="A198" s="52"/>
      <c r="B198" s="53"/>
      <c r="C198" s="53"/>
      <c r="D198" s="53"/>
      <c r="E198" s="55"/>
      <c r="F198" s="55"/>
      <c r="G198" s="56"/>
      <c r="H198" s="195"/>
      <c r="I198" s="63"/>
      <c r="J198" s="353"/>
      <c r="K198" s="216"/>
      <c r="L198" s="216"/>
      <c r="M198" s="216"/>
      <c r="N198" s="193"/>
      <c r="O198" s="204"/>
      <c r="P198" s="205"/>
      <c r="Q198" s="204"/>
      <c r="R198" s="206"/>
      <c r="S198" s="207"/>
      <c r="T198" s="207"/>
      <c r="U198" s="193"/>
      <c r="V198" s="216"/>
      <c r="W198" s="64"/>
      <c r="X198" s="64"/>
      <c r="Y198" s="65"/>
    </row>
    <row r="199" spans="1:26" ht="21" customHeight="1">
      <c r="A199" s="29" t="s">
        <v>381</v>
      </c>
      <c r="B199" s="30" t="s">
        <v>13</v>
      </c>
      <c r="C199" s="819" t="s">
        <v>357</v>
      </c>
      <c r="D199" s="820"/>
      <c r="E199" s="240">
        <f>SUM(E200,E241)</f>
        <v>43607</v>
      </c>
      <c r="F199" s="240">
        <f>SUM(F200,F241)</f>
        <v>73814</v>
      </c>
      <c r="G199" s="241">
        <f>F199-E199</f>
        <v>30207</v>
      </c>
      <c r="H199" s="242">
        <f>IF(E199=0,0,G199/E199)</f>
        <v>0.69270988602747263</v>
      </c>
      <c r="I199" s="243" t="s">
        <v>383</v>
      </c>
      <c r="J199" s="244"/>
      <c r="K199" s="245"/>
      <c r="L199" s="245"/>
      <c r="M199" s="244"/>
      <c r="N199" s="244"/>
      <c r="O199" s="244"/>
      <c r="P199" s="244"/>
      <c r="Q199" s="244" t="s">
        <v>355</v>
      </c>
      <c r="R199" s="246"/>
      <c r="S199" s="246"/>
      <c r="T199" s="246"/>
      <c r="U199" s="246"/>
      <c r="V199" s="246"/>
      <c r="W199" s="246"/>
      <c r="X199" s="247">
        <f>X201+X241</f>
        <v>73814000</v>
      </c>
      <c r="Y199" s="258" t="s">
        <v>25</v>
      </c>
      <c r="Z199" s="18"/>
    </row>
    <row r="200" spans="1:26" ht="21" customHeight="1">
      <c r="A200" s="39"/>
      <c r="B200" s="40"/>
      <c r="C200" s="30" t="s">
        <v>382</v>
      </c>
      <c r="D200" s="445" t="s">
        <v>353</v>
      </c>
      <c r="E200" s="211">
        <f>E201</f>
        <v>42051</v>
      </c>
      <c r="F200" s="211">
        <f>F201</f>
        <v>73026</v>
      </c>
      <c r="G200" s="212">
        <f>F200-E200</f>
        <v>30975</v>
      </c>
      <c r="H200" s="213">
        <f>IF(E200=0,0,G200/E200)</f>
        <v>0.73660555040308195</v>
      </c>
      <c r="I200" s="196" t="s">
        <v>379</v>
      </c>
      <c r="J200" s="197"/>
      <c r="K200" s="198"/>
      <c r="L200" s="198"/>
      <c r="M200" s="198"/>
      <c r="N200" s="198"/>
      <c r="O200" s="198"/>
      <c r="P200" s="199"/>
      <c r="Q200" s="199"/>
      <c r="R200" s="199"/>
      <c r="S200" s="199"/>
      <c r="T200" s="199"/>
      <c r="U200" s="199"/>
      <c r="V200" s="226" t="s">
        <v>346</v>
      </c>
      <c r="W200" s="227"/>
      <c r="X200" s="228">
        <f>SUM(X201:X201)</f>
        <v>73026000</v>
      </c>
      <c r="Y200" s="259" t="s">
        <v>345</v>
      </c>
      <c r="Z200" s="18"/>
    </row>
    <row r="201" spans="1:26" ht="21" customHeight="1">
      <c r="A201" s="39"/>
      <c r="B201" s="40"/>
      <c r="C201" s="40" t="s">
        <v>381</v>
      </c>
      <c r="D201" s="30" t="s">
        <v>380</v>
      </c>
      <c r="E201" s="31">
        <v>42051</v>
      </c>
      <c r="F201" s="42">
        <f>ROUND(X201/1000,0)</f>
        <v>73026</v>
      </c>
      <c r="G201" s="32">
        <f>F201-E201</f>
        <v>30975</v>
      </c>
      <c r="H201" s="33">
        <f>IF(E201=0,0,G201/E201)</f>
        <v>0.73660555040308195</v>
      </c>
      <c r="I201" s="132" t="s">
        <v>379</v>
      </c>
      <c r="J201" s="151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16" t="s">
        <v>346</v>
      </c>
      <c r="W201" s="816"/>
      <c r="X201" s="134">
        <f>SUM(X202,X208,X216,X226,X229,X231,X233,X236,X239)</f>
        <v>73026000</v>
      </c>
      <c r="Y201" s="135" t="s">
        <v>345</v>
      </c>
      <c r="Z201" s="18"/>
    </row>
    <row r="202" spans="1:26" ht="21" customHeight="1" thickBot="1">
      <c r="A202" s="39"/>
      <c r="B202" s="40"/>
      <c r="C202" s="40"/>
      <c r="D202" s="40"/>
      <c r="E202" s="42"/>
      <c r="F202" s="42"/>
      <c r="G202" s="43"/>
      <c r="H202" s="25"/>
      <c r="I202" s="394" t="s">
        <v>909</v>
      </c>
      <c r="J202" s="570"/>
      <c r="K202" s="570"/>
      <c r="L202" s="570"/>
      <c r="M202" s="570"/>
      <c r="N202" s="570"/>
      <c r="O202" s="570"/>
      <c r="P202" s="570"/>
      <c r="Q202" s="512" t="s">
        <v>910</v>
      </c>
      <c r="R202" s="570"/>
      <c r="S202" s="570"/>
      <c r="T202" s="570"/>
      <c r="U202" s="570"/>
      <c r="V202" s="570"/>
      <c r="W202" s="570"/>
      <c r="X202" s="512">
        <f>SUM(X203:X207)</f>
        <v>52703000</v>
      </c>
      <c r="Y202" s="125" t="s">
        <v>56</v>
      </c>
      <c r="Z202" s="18"/>
    </row>
    <row r="203" spans="1:26" ht="21" customHeight="1">
      <c r="A203" s="39"/>
      <c r="B203" s="40"/>
      <c r="C203" s="40"/>
      <c r="D203" s="40"/>
      <c r="E203" s="42"/>
      <c r="F203" s="42"/>
      <c r="G203" s="43"/>
      <c r="H203" s="25"/>
      <c r="I203" s="394" t="s">
        <v>911</v>
      </c>
      <c r="J203" s="756"/>
      <c r="K203" s="756"/>
      <c r="L203" s="756"/>
      <c r="M203" s="756"/>
      <c r="N203" s="756"/>
      <c r="O203" s="756"/>
      <c r="P203" s="756"/>
      <c r="Q203" s="756"/>
      <c r="R203" s="756"/>
      <c r="S203" s="756"/>
      <c r="T203" s="756"/>
      <c r="U203" s="756"/>
      <c r="V203" s="756"/>
      <c r="W203" s="756"/>
      <c r="X203" s="755">
        <v>19580000</v>
      </c>
      <c r="Y203" s="125" t="s">
        <v>56</v>
      </c>
      <c r="Z203" s="18"/>
    </row>
    <row r="204" spans="1:26" ht="21" customHeight="1">
      <c r="A204" s="39"/>
      <c r="B204" s="40"/>
      <c r="C204" s="40"/>
      <c r="D204" s="40"/>
      <c r="E204" s="42"/>
      <c r="F204" s="42"/>
      <c r="G204" s="43"/>
      <c r="H204" s="25"/>
      <c r="I204" s="394" t="s">
        <v>912</v>
      </c>
      <c r="J204" s="756"/>
      <c r="K204" s="756"/>
      <c r="L204" s="756"/>
      <c r="M204" s="756"/>
      <c r="N204" s="756"/>
      <c r="O204" s="756"/>
      <c r="P204" s="756"/>
      <c r="Q204" s="756"/>
      <c r="R204" s="756"/>
      <c r="S204" s="756"/>
      <c r="T204" s="756"/>
      <c r="U204" s="756"/>
      <c r="V204" s="756"/>
      <c r="W204" s="756"/>
      <c r="X204" s="755">
        <v>33123000</v>
      </c>
      <c r="Y204" s="125" t="s">
        <v>56</v>
      </c>
      <c r="Z204" s="18"/>
    </row>
    <row r="205" spans="1:26" ht="21" customHeight="1">
      <c r="A205" s="39"/>
      <c r="B205" s="40"/>
      <c r="C205" s="40"/>
      <c r="D205" s="40"/>
      <c r="E205" s="42"/>
      <c r="F205" s="42"/>
      <c r="G205" s="43"/>
      <c r="H205" s="25"/>
      <c r="I205" s="394"/>
      <c r="J205" s="756"/>
      <c r="K205" s="756"/>
      <c r="L205" s="756"/>
      <c r="M205" s="756"/>
      <c r="N205" s="756"/>
      <c r="O205" s="756"/>
      <c r="P205" s="756"/>
      <c r="Q205" s="756"/>
      <c r="R205" s="756"/>
      <c r="S205" s="756"/>
      <c r="T205" s="756"/>
      <c r="U205" s="756"/>
      <c r="V205" s="756"/>
      <c r="W205" s="756"/>
      <c r="X205" s="755"/>
      <c r="Y205" s="125" t="s">
        <v>56</v>
      </c>
      <c r="Z205" s="18"/>
    </row>
    <row r="206" spans="1:26" ht="21" customHeight="1">
      <c r="A206" s="39"/>
      <c r="B206" s="40"/>
      <c r="C206" s="40"/>
      <c r="D206" s="40"/>
      <c r="E206" s="42"/>
      <c r="F206" s="42"/>
      <c r="G206" s="43"/>
      <c r="H206" s="25"/>
      <c r="I206" s="394"/>
      <c r="J206" s="756"/>
      <c r="K206" s="756"/>
      <c r="L206" s="756"/>
      <c r="M206" s="756"/>
      <c r="N206" s="756"/>
      <c r="O206" s="756"/>
      <c r="P206" s="756"/>
      <c r="Q206" s="756"/>
      <c r="R206" s="756"/>
      <c r="S206" s="756"/>
      <c r="T206" s="756"/>
      <c r="U206" s="756"/>
      <c r="V206" s="756"/>
      <c r="W206" s="756"/>
      <c r="X206" s="755"/>
      <c r="Y206" s="125" t="s">
        <v>56</v>
      </c>
      <c r="Z206" s="18"/>
    </row>
    <row r="207" spans="1:26" ht="21" customHeight="1">
      <c r="A207" s="39"/>
      <c r="B207" s="40"/>
      <c r="C207" s="40"/>
      <c r="D207" s="40"/>
      <c r="E207" s="42"/>
      <c r="F207" s="42"/>
      <c r="G207" s="43"/>
      <c r="H207" s="25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1"/>
      <c r="Y207" s="125" t="s">
        <v>56</v>
      </c>
      <c r="Z207" s="18"/>
    </row>
    <row r="208" spans="1:26" ht="21" customHeight="1" thickBot="1">
      <c r="A208" s="39"/>
      <c r="B208" s="40"/>
      <c r="C208" s="40"/>
      <c r="D208" s="40"/>
      <c r="E208" s="42"/>
      <c r="F208" s="42"/>
      <c r="G208" s="43"/>
      <c r="H208" s="25"/>
      <c r="I208" s="449" t="s">
        <v>650</v>
      </c>
      <c r="J208" s="57"/>
      <c r="K208" s="287"/>
      <c r="L208" s="287"/>
      <c r="M208" s="287"/>
      <c r="N208" s="287"/>
      <c r="O208" s="287"/>
      <c r="P208" s="287"/>
      <c r="Q208" s="512" t="s">
        <v>364</v>
      </c>
      <c r="R208" s="512"/>
      <c r="S208" s="512"/>
      <c r="T208" s="512"/>
      <c r="U208" s="512"/>
      <c r="V208" s="512"/>
      <c r="W208" s="512"/>
      <c r="X208" s="512">
        <f>SUM(X209:X215)</f>
        <v>5307000</v>
      </c>
      <c r="Y208" s="446" t="s">
        <v>56</v>
      </c>
    </row>
    <row r="209" spans="1:25" ht="21" customHeight="1">
      <c r="A209" s="39"/>
      <c r="B209" s="40"/>
      <c r="C209" s="40"/>
      <c r="D209" s="40"/>
      <c r="E209" s="42"/>
      <c r="F209" s="42"/>
      <c r="G209" s="43"/>
      <c r="H209" s="25"/>
      <c r="I209" s="572" t="s">
        <v>612</v>
      </c>
      <c r="J209" s="572"/>
      <c r="K209" s="571"/>
      <c r="L209" s="571"/>
      <c r="M209" s="571">
        <v>0</v>
      </c>
      <c r="N209" s="571" t="s">
        <v>56</v>
      </c>
      <c r="O209" s="381" t="s">
        <v>57</v>
      </c>
      <c r="P209" s="571">
        <v>39</v>
      </c>
      <c r="Q209" s="571" t="s">
        <v>55</v>
      </c>
      <c r="R209" s="381"/>
      <c r="S209" s="571"/>
      <c r="T209" s="571"/>
      <c r="U209" s="571" t="s">
        <v>53</v>
      </c>
      <c r="V209" s="571"/>
      <c r="W209" s="574"/>
      <c r="X209" s="788">
        <v>727000</v>
      </c>
      <c r="Y209" s="125" t="s">
        <v>56</v>
      </c>
    </row>
    <row r="210" spans="1:25" ht="21" customHeight="1">
      <c r="A210" s="39"/>
      <c r="B210" s="40"/>
      <c r="C210" s="40"/>
      <c r="D210" s="40"/>
      <c r="E210" s="42"/>
      <c r="F210" s="42"/>
      <c r="G210" s="43"/>
      <c r="H210" s="25"/>
      <c r="I210" s="572" t="s">
        <v>567</v>
      </c>
      <c r="J210" s="572"/>
      <c r="K210" s="571"/>
      <c r="L210" s="571"/>
      <c r="M210" s="571">
        <v>20000</v>
      </c>
      <c r="N210" s="571" t="s">
        <v>56</v>
      </c>
      <c r="O210" s="381" t="s">
        <v>57</v>
      </c>
      <c r="P210" s="571">
        <v>39</v>
      </c>
      <c r="Q210" s="571" t="s">
        <v>55</v>
      </c>
      <c r="R210" s="381"/>
      <c r="S210" s="571"/>
      <c r="T210" s="571"/>
      <c r="U210" s="571" t="s">
        <v>53</v>
      </c>
      <c r="V210" s="571"/>
      <c r="W210" s="574"/>
      <c r="X210" s="788">
        <f>M210*P210</f>
        <v>780000</v>
      </c>
      <c r="Y210" s="125" t="s">
        <v>56</v>
      </c>
    </row>
    <row r="211" spans="1:25" ht="21" customHeight="1">
      <c r="A211" s="39"/>
      <c r="B211" s="40"/>
      <c r="C211" s="40"/>
      <c r="D211" s="40"/>
      <c r="E211" s="42"/>
      <c r="F211" s="42"/>
      <c r="G211" s="43"/>
      <c r="H211" s="25"/>
      <c r="I211" s="271" t="s">
        <v>837</v>
      </c>
      <c r="J211" s="288"/>
      <c r="K211" s="287"/>
      <c r="L211" s="287"/>
      <c r="M211" s="287">
        <v>590000</v>
      </c>
      <c r="N211" s="67" t="s">
        <v>56</v>
      </c>
      <c r="O211" s="66" t="s">
        <v>57</v>
      </c>
      <c r="P211" s="67">
        <v>3</v>
      </c>
      <c r="Q211" s="287" t="s">
        <v>55</v>
      </c>
      <c r="R211" s="66"/>
      <c r="S211" s="67"/>
      <c r="T211" s="67"/>
      <c r="U211" s="452" t="s">
        <v>53</v>
      </c>
      <c r="V211" s="67"/>
      <c r="W211" s="67"/>
      <c r="X211" s="788">
        <f>M211*P211</f>
        <v>1770000</v>
      </c>
      <c r="Y211" s="383" t="s">
        <v>769</v>
      </c>
    </row>
    <row r="212" spans="1:25" ht="21" customHeight="1">
      <c r="A212" s="39"/>
      <c r="B212" s="40"/>
      <c r="C212" s="40"/>
      <c r="D212" s="40"/>
      <c r="E212" s="42"/>
      <c r="F212" s="42"/>
      <c r="G212" s="43"/>
      <c r="H212" s="25"/>
      <c r="I212" s="625" t="s">
        <v>687</v>
      </c>
      <c r="J212" s="625"/>
      <c r="K212" s="624"/>
      <c r="L212" s="624"/>
      <c r="M212" s="624">
        <v>0</v>
      </c>
      <c r="N212" s="382" t="s">
        <v>686</v>
      </c>
      <c r="O212" s="381" t="s">
        <v>688</v>
      </c>
      <c r="P212" s="382">
        <v>39</v>
      </c>
      <c r="Q212" s="624" t="s">
        <v>689</v>
      </c>
      <c r="R212" s="381"/>
      <c r="S212" s="382"/>
      <c r="T212" s="382"/>
      <c r="U212" s="387" t="s">
        <v>690</v>
      </c>
      <c r="V212" s="382"/>
      <c r="W212" s="382"/>
      <c r="X212" s="789">
        <v>0</v>
      </c>
      <c r="Y212" s="383" t="s">
        <v>769</v>
      </c>
    </row>
    <row r="213" spans="1:25" ht="21" customHeight="1">
      <c r="A213" s="39"/>
      <c r="B213" s="40"/>
      <c r="C213" s="40"/>
      <c r="D213" s="40"/>
      <c r="E213" s="42"/>
      <c r="F213" s="42"/>
      <c r="G213" s="43"/>
      <c r="H213" s="25"/>
      <c r="I213" s="572" t="s">
        <v>613</v>
      </c>
      <c r="J213" s="572"/>
      <c r="K213" s="572"/>
      <c r="L213" s="572"/>
      <c r="M213" s="571">
        <v>30000</v>
      </c>
      <c r="N213" s="382" t="s">
        <v>56</v>
      </c>
      <c r="O213" s="381" t="s">
        <v>57</v>
      </c>
      <c r="P213" s="391">
        <v>39</v>
      </c>
      <c r="Q213" s="571" t="s">
        <v>55</v>
      </c>
      <c r="R213" s="381" t="s">
        <v>57</v>
      </c>
      <c r="S213" s="382">
        <v>1</v>
      </c>
      <c r="T213" s="382" t="s">
        <v>64</v>
      </c>
      <c r="U213" s="387" t="s">
        <v>53</v>
      </c>
      <c r="V213" s="382"/>
      <c r="W213" s="382"/>
      <c r="X213" s="788">
        <f>M213*P213*S213</f>
        <v>1170000</v>
      </c>
      <c r="Y213" s="383" t="s">
        <v>769</v>
      </c>
    </row>
    <row r="214" spans="1:25" ht="21" customHeight="1">
      <c r="A214" s="39"/>
      <c r="B214" s="40"/>
      <c r="C214" s="40"/>
      <c r="D214" s="40"/>
      <c r="E214" s="42"/>
      <c r="F214" s="42"/>
      <c r="G214" s="43"/>
      <c r="H214" s="25"/>
      <c r="I214" s="59" t="s">
        <v>250</v>
      </c>
      <c r="J214" s="288"/>
      <c r="K214" s="288"/>
      <c r="L214" s="288"/>
      <c r="M214" s="287"/>
      <c r="N214" s="67"/>
      <c r="O214" s="67"/>
      <c r="P214" s="67"/>
      <c r="Q214" s="287"/>
      <c r="R214" s="287"/>
      <c r="S214" s="67"/>
      <c r="T214" s="67"/>
      <c r="U214" s="67"/>
      <c r="V214" s="67"/>
      <c r="W214" s="67"/>
      <c r="X214" s="789">
        <v>860000</v>
      </c>
      <c r="Y214" s="383" t="s">
        <v>769</v>
      </c>
    </row>
    <row r="215" spans="1:25" ht="21" customHeight="1">
      <c r="A215" s="39"/>
      <c r="B215" s="40"/>
      <c r="C215" s="40"/>
      <c r="D215" s="40"/>
      <c r="E215" s="42"/>
      <c r="F215" s="42"/>
      <c r="G215" s="43"/>
      <c r="H215" s="25"/>
      <c r="I215" s="277" t="s">
        <v>691</v>
      </c>
      <c r="J215" s="625"/>
      <c r="K215" s="624"/>
      <c r="L215" s="624"/>
      <c r="M215" s="624"/>
      <c r="N215" s="624"/>
      <c r="O215" s="625"/>
      <c r="P215" s="624"/>
      <c r="Q215" s="624"/>
      <c r="R215" s="624"/>
      <c r="S215" s="624"/>
      <c r="T215" s="624"/>
      <c r="U215" s="624"/>
      <c r="V215" s="624"/>
      <c r="W215" s="627"/>
      <c r="X215" s="788">
        <v>0</v>
      </c>
      <c r="Y215" s="125" t="s">
        <v>769</v>
      </c>
    </row>
    <row r="216" spans="1:25" ht="21" customHeight="1" thickBot="1">
      <c r="A216" s="39"/>
      <c r="B216" s="40"/>
      <c r="C216" s="40"/>
      <c r="D216" s="40"/>
      <c r="E216" s="42"/>
      <c r="F216" s="42"/>
      <c r="G216" s="43"/>
      <c r="H216" s="25"/>
      <c r="I216" s="449" t="s">
        <v>651</v>
      </c>
      <c r="J216" s="57"/>
      <c r="K216" s="287"/>
      <c r="L216" s="287"/>
      <c r="M216" s="288"/>
      <c r="N216" s="288"/>
      <c r="O216" s="288"/>
      <c r="P216" s="288"/>
      <c r="Q216" s="512" t="s">
        <v>363</v>
      </c>
      <c r="R216" s="512"/>
      <c r="S216" s="512"/>
      <c r="T216" s="512"/>
      <c r="U216" s="512"/>
      <c r="V216" s="512"/>
      <c r="W216" s="512"/>
      <c r="X216" s="512">
        <f>SUM(X217:X225)</f>
        <v>13236000</v>
      </c>
      <c r="Y216" s="446" t="s">
        <v>56</v>
      </c>
    </row>
    <row r="217" spans="1:25" ht="21" customHeight="1">
      <c r="A217" s="39"/>
      <c r="B217" s="40"/>
      <c r="C217" s="40"/>
      <c r="D217" s="40"/>
      <c r="E217" s="42"/>
      <c r="F217" s="42"/>
      <c r="G217" s="43"/>
      <c r="H217" s="25"/>
      <c r="I217" s="277" t="s">
        <v>615</v>
      </c>
      <c r="J217" s="572"/>
      <c r="K217" s="572"/>
      <c r="L217" s="572"/>
      <c r="M217" s="571">
        <v>100000</v>
      </c>
      <c r="N217" s="382" t="s">
        <v>56</v>
      </c>
      <c r="O217" s="381" t="s">
        <v>57</v>
      </c>
      <c r="P217" s="382">
        <v>14</v>
      </c>
      <c r="Q217" s="571" t="s">
        <v>55</v>
      </c>
      <c r="R217" s="571"/>
      <c r="S217" s="382"/>
      <c r="T217" s="382"/>
      <c r="U217" s="382" t="s">
        <v>53</v>
      </c>
      <c r="V217" s="382"/>
      <c r="W217" s="382"/>
      <c r="X217" s="789">
        <f>M217*P217</f>
        <v>1400000</v>
      </c>
      <c r="Y217" s="383" t="s">
        <v>25</v>
      </c>
    </row>
    <row r="218" spans="1:25" ht="21" customHeight="1">
      <c r="A218" s="39"/>
      <c r="B218" s="40"/>
      <c r="C218" s="40"/>
      <c r="D218" s="40"/>
      <c r="E218" s="42"/>
      <c r="F218" s="42"/>
      <c r="G218" s="43"/>
      <c r="H218" s="25"/>
      <c r="I218" s="572" t="s">
        <v>614</v>
      </c>
      <c r="J218" s="572"/>
      <c r="K218" s="572"/>
      <c r="L218" s="572"/>
      <c r="M218" s="287">
        <v>20000</v>
      </c>
      <c r="N218" s="287" t="s">
        <v>56</v>
      </c>
      <c r="O218" s="66" t="s">
        <v>57</v>
      </c>
      <c r="P218" s="571">
        <v>14</v>
      </c>
      <c r="Q218" s="287" t="s">
        <v>55</v>
      </c>
      <c r="R218" s="66" t="s">
        <v>57</v>
      </c>
      <c r="S218" s="287">
        <v>2</v>
      </c>
      <c r="T218" s="287" t="s">
        <v>64</v>
      </c>
      <c r="U218" s="287" t="s">
        <v>53</v>
      </c>
      <c r="V218" s="382"/>
      <c r="W218" s="382"/>
      <c r="X218" s="789">
        <f>M218*P218*S218</f>
        <v>560000</v>
      </c>
      <c r="Y218" s="383" t="s">
        <v>25</v>
      </c>
    </row>
    <row r="219" spans="1:25" ht="21" customHeight="1">
      <c r="A219" s="39"/>
      <c r="B219" s="40"/>
      <c r="C219" s="40"/>
      <c r="D219" s="40"/>
      <c r="E219" s="42"/>
      <c r="F219" s="42"/>
      <c r="G219" s="43"/>
      <c r="H219" s="25"/>
      <c r="I219" s="288" t="s">
        <v>616</v>
      </c>
      <c r="J219" s="288"/>
      <c r="K219" s="288"/>
      <c r="L219" s="288"/>
      <c r="M219" s="287">
        <v>100000</v>
      </c>
      <c r="N219" s="287" t="s">
        <v>56</v>
      </c>
      <c r="O219" s="66" t="s">
        <v>57</v>
      </c>
      <c r="P219" s="571">
        <v>39</v>
      </c>
      <c r="Q219" s="287" t="s">
        <v>55</v>
      </c>
      <c r="R219" s="66" t="s">
        <v>57</v>
      </c>
      <c r="S219" s="287">
        <v>1</v>
      </c>
      <c r="T219" s="287" t="s">
        <v>64</v>
      </c>
      <c r="U219" s="287" t="s">
        <v>53</v>
      </c>
      <c r="V219" s="287"/>
      <c r="W219" s="60"/>
      <c r="X219" s="789">
        <f>M219*P219*S219</f>
        <v>3900000</v>
      </c>
      <c r="Y219" s="125" t="s">
        <v>769</v>
      </c>
    </row>
    <row r="220" spans="1:25" ht="21" customHeight="1">
      <c r="A220" s="39"/>
      <c r="B220" s="40"/>
      <c r="C220" s="40"/>
      <c r="D220" s="40"/>
      <c r="E220" s="42"/>
      <c r="F220" s="42"/>
      <c r="G220" s="43"/>
      <c r="H220" s="25"/>
      <c r="I220" s="625" t="s">
        <v>692</v>
      </c>
      <c r="J220" s="625"/>
      <c r="K220" s="625"/>
      <c r="L220" s="625"/>
      <c r="M220" s="624">
        <v>100000</v>
      </c>
      <c r="N220" s="382" t="s">
        <v>686</v>
      </c>
      <c r="O220" s="381" t="s">
        <v>688</v>
      </c>
      <c r="P220" s="382">
        <v>4</v>
      </c>
      <c r="Q220" s="624" t="s">
        <v>693</v>
      </c>
      <c r="R220" s="382"/>
      <c r="S220" s="382"/>
      <c r="T220" s="382"/>
      <c r="U220" s="387" t="s">
        <v>690</v>
      </c>
      <c r="V220" s="382"/>
      <c r="W220" s="382"/>
      <c r="X220" s="789">
        <v>400000</v>
      </c>
      <c r="Y220" s="383" t="s">
        <v>769</v>
      </c>
    </row>
    <row r="221" spans="1:25" ht="21" customHeight="1">
      <c r="A221" s="39"/>
      <c r="B221" s="40"/>
      <c r="C221" s="40"/>
      <c r="D221" s="40"/>
      <c r="E221" s="42"/>
      <c r="F221" s="42"/>
      <c r="G221" s="43"/>
      <c r="H221" s="25"/>
      <c r="I221" s="724" t="s">
        <v>778</v>
      </c>
      <c r="J221" s="724"/>
      <c r="K221" s="724"/>
      <c r="L221" s="724"/>
      <c r="M221" s="723">
        <v>100000</v>
      </c>
      <c r="N221" s="382" t="s">
        <v>769</v>
      </c>
      <c r="O221" s="381" t="s">
        <v>770</v>
      </c>
      <c r="P221" s="382">
        <v>39</v>
      </c>
      <c r="Q221" s="723" t="s">
        <v>771</v>
      </c>
      <c r="R221" s="382"/>
      <c r="S221" s="382"/>
      <c r="T221" s="382"/>
      <c r="U221" s="387" t="s">
        <v>773</v>
      </c>
      <c r="V221" s="382"/>
      <c r="W221" s="584"/>
      <c r="X221" s="789">
        <v>0</v>
      </c>
      <c r="Y221" s="383" t="s">
        <v>769</v>
      </c>
    </row>
    <row r="222" spans="1:25" ht="21" customHeight="1">
      <c r="A222" s="39"/>
      <c r="B222" s="40"/>
      <c r="C222" s="40"/>
      <c r="D222" s="40"/>
      <c r="E222" s="42"/>
      <c r="F222" s="42"/>
      <c r="G222" s="43"/>
      <c r="H222" s="25"/>
      <c r="I222" s="288" t="s">
        <v>838</v>
      </c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790">
        <v>278000</v>
      </c>
      <c r="Y222" s="451" t="s">
        <v>839</v>
      </c>
    </row>
    <row r="223" spans="1:25" ht="21" customHeight="1">
      <c r="A223" s="39"/>
      <c r="B223" s="40"/>
      <c r="C223" s="40"/>
      <c r="D223" s="40"/>
      <c r="E223" s="42"/>
      <c r="F223" s="42"/>
      <c r="G223" s="43"/>
      <c r="H223" s="25"/>
      <c r="I223" s="288" t="s">
        <v>840</v>
      </c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790">
        <v>680000</v>
      </c>
      <c r="Y223" s="451" t="s">
        <v>839</v>
      </c>
    </row>
    <row r="224" spans="1:25" ht="21" customHeight="1">
      <c r="A224" s="39"/>
      <c r="B224" s="40"/>
      <c r="C224" s="40"/>
      <c r="D224" s="40"/>
      <c r="E224" s="42"/>
      <c r="F224" s="42"/>
      <c r="G224" s="43"/>
      <c r="H224" s="25"/>
      <c r="I224" s="288" t="s">
        <v>841</v>
      </c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790">
        <v>2700000</v>
      </c>
      <c r="Y224" s="451" t="s">
        <v>839</v>
      </c>
    </row>
    <row r="225" spans="1:26" ht="21" customHeight="1">
      <c r="A225" s="39"/>
      <c r="B225" s="40"/>
      <c r="C225" s="40"/>
      <c r="D225" s="40"/>
      <c r="E225" s="42"/>
      <c r="F225" s="42"/>
      <c r="G225" s="43"/>
      <c r="H225" s="25"/>
      <c r="I225" s="288" t="s">
        <v>842</v>
      </c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790">
        <v>3318000</v>
      </c>
      <c r="Y225" s="451" t="s">
        <v>839</v>
      </c>
    </row>
    <row r="226" spans="1:26" ht="21" customHeight="1" thickBot="1">
      <c r="A226" s="39"/>
      <c r="B226" s="40"/>
      <c r="C226" s="40"/>
      <c r="D226" s="40"/>
      <c r="E226" s="42"/>
      <c r="F226" s="42"/>
      <c r="G226" s="43"/>
      <c r="H226" s="25"/>
      <c r="I226" s="449" t="s">
        <v>652</v>
      </c>
      <c r="J226" s="57"/>
      <c r="K226" s="287"/>
      <c r="L226" s="287"/>
      <c r="M226" s="287"/>
      <c r="N226" s="287"/>
      <c r="O226" s="287"/>
      <c r="P226" s="288"/>
      <c r="Q226" s="288"/>
      <c r="R226" s="288"/>
      <c r="S226" s="450" t="s">
        <v>362</v>
      </c>
      <c r="T226" s="57"/>
      <c r="U226" s="57"/>
      <c r="V226" s="450"/>
      <c r="W226" s="450"/>
      <c r="X226" s="512">
        <f>SUM(X227:X228)</f>
        <v>1080000</v>
      </c>
      <c r="Y226" s="446" t="s">
        <v>56</v>
      </c>
    </row>
    <row r="227" spans="1:26" ht="21" customHeight="1">
      <c r="A227" s="39"/>
      <c r="B227" s="40"/>
      <c r="C227" s="40"/>
      <c r="D227" s="40"/>
      <c r="E227" s="42"/>
      <c r="F227" s="42"/>
      <c r="G227" s="43"/>
      <c r="H227" s="25"/>
      <c r="I227" s="277" t="s">
        <v>609</v>
      </c>
      <c r="J227" s="572"/>
      <c r="K227" s="571"/>
      <c r="L227" s="571"/>
      <c r="M227" s="571">
        <v>50000</v>
      </c>
      <c r="N227" s="571" t="s">
        <v>56</v>
      </c>
      <c r="O227" s="381" t="s">
        <v>57</v>
      </c>
      <c r="P227" s="571">
        <v>4</v>
      </c>
      <c r="Q227" s="571" t="s">
        <v>55</v>
      </c>
      <c r="R227" s="381" t="s">
        <v>57</v>
      </c>
      <c r="S227" s="571">
        <v>4</v>
      </c>
      <c r="T227" s="571" t="s">
        <v>64</v>
      </c>
      <c r="U227" s="571" t="s">
        <v>53</v>
      </c>
      <c r="V227" s="571"/>
      <c r="W227" s="574"/>
      <c r="X227" s="269">
        <f>M227*P227*S227</f>
        <v>800000</v>
      </c>
      <c r="Y227" s="125" t="s">
        <v>56</v>
      </c>
    </row>
    <row r="228" spans="1:26" ht="21" customHeight="1">
      <c r="A228" s="39"/>
      <c r="B228" s="40"/>
      <c r="C228" s="40"/>
      <c r="D228" s="40"/>
      <c r="E228" s="42"/>
      <c r="F228" s="42"/>
      <c r="G228" s="43"/>
      <c r="H228" s="25"/>
      <c r="I228" s="59" t="s">
        <v>660</v>
      </c>
      <c r="J228" s="288"/>
      <c r="K228" s="287"/>
      <c r="L228" s="287"/>
      <c r="M228" s="287"/>
      <c r="N228" s="287"/>
      <c r="O228" s="288"/>
      <c r="P228" s="287"/>
      <c r="Q228" s="287"/>
      <c r="R228" s="287"/>
      <c r="S228" s="287"/>
      <c r="T228" s="287"/>
      <c r="U228" s="287"/>
      <c r="V228" s="287"/>
      <c r="W228" s="60"/>
      <c r="X228" s="788">
        <v>280000</v>
      </c>
      <c r="Y228" s="125" t="s">
        <v>686</v>
      </c>
    </row>
    <row r="229" spans="1:26" ht="21" customHeight="1" thickBot="1">
      <c r="A229" s="39"/>
      <c r="B229" s="40"/>
      <c r="C229" s="40"/>
      <c r="D229" s="40"/>
      <c r="E229" s="42"/>
      <c r="F229" s="42"/>
      <c r="G229" s="43"/>
      <c r="H229" s="25"/>
      <c r="I229" s="449" t="s">
        <v>657</v>
      </c>
      <c r="J229" s="448"/>
      <c r="K229" s="170"/>
      <c r="L229" s="170"/>
      <c r="M229" s="170"/>
      <c r="N229" s="170"/>
      <c r="O229" s="170"/>
      <c r="P229" s="170"/>
      <c r="Q229" s="170"/>
      <c r="R229" s="170"/>
      <c r="S229" s="448" t="s">
        <v>659</v>
      </c>
      <c r="T229" s="448"/>
      <c r="U229" s="448"/>
      <c r="V229" s="448"/>
      <c r="W229" s="448"/>
      <c r="X229" s="447">
        <f>X230</f>
        <v>500000</v>
      </c>
      <c r="Y229" s="446" t="s">
        <v>56</v>
      </c>
    </row>
    <row r="230" spans="1:26" ht="21" customHeight="1">
      <c r="A230" s="39"/>
      <c r="B230" s="40"/>
      <c r="C230" s="40"/>
      <c r="D230" s="40"/>
      <c r="E230" s="42"/>
      <c r="F230" s="42"/>
      <c r="G230" s="43"/>
      <c r="H230" s="25"/>
      <c r="I230" s="590" t="s">
        <v>658</v>
      </c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791">
        <v>500000</v>
      </c>
      <c r="Y230" s="125" t="s">
        <v>769</v>
      </c>
    </row>
    <row r="231" spans="1:26" ht="21" customHeight="1" thickBot="1">
      <c r="A231" s="39"/>
      <c r="B231" s="40"/>
      <c r="C231" s="40"/>
      <c r="D231" s="40"/>
      <c r="E231" s="42"/>
      <c r="F231" s="42"/>
      <c r="G231" s="43"/>
      <c r="H231" s="25"/>
      <c r="I231" s="449" t="s">
        <v>710</v>
      </c>
      <c r="J231" s="448"/>
      <c r="K231" s="170"/>
      <c r="L231" s="170"/>
      <c r="M231" s="170"/>
      <c r="N231" s="170"/>
      <c r="O231" s="170"/>
      <c r="P231" s="170"/>
      <c r="Q231" s="170"/>
      <c r="R231" s="170"/>
      <c r="S231" s="448" t="s">
        <v>659</v>
      </c>
      <c r="T231" s="448"/>
      <c r="U231" s="448"/>
      <c r="V231" s="448"/>
      <c r="W231" s="448"/>
      <c r="X231" s="732">
        <f>X232</f>
        <v>200000</v>
      </c>
      <c r="Y231" s="733" t="s">
        <v>769</v>
      </c>
    </row>
    <row r="232" spans="1:26" ht="21" customHeight="1">
      <c r="A232" s="39"/>
      <c r="B232" s="40"/>
      <c r="C232" s="40"/>
      <c r="D232" s="40"/>
      <c r="E232" s="42"/>
      <c r="F232" s="42"/>
      <c r="G232" s="43"/>
      <c r="H232" s="25"/>
      <c r="I232" s="729" t="s">
        <v>843</v>
      </c>
      <c r="J232" s="423"/>
      <c r="K232" s="423"/>
      <c r="L232" s="423"/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791">
        <v>200000</v>
      </c>
      <c r="Y232" s="125" t="s">
        <v>769</v>
      </c>
    </row>
    <row r="233" spans="1:26" ht="21" customHeight="1" thickBot="1">
      <c r="A233" s="39"/>
      <c r="B233" s="40"/>
      <c r="C233" s="40"/>
      <c r="D233" s="40"/>
      <c r="E233" s="42"/>
      <c r="F233" s="42"/>
      <c r="G233" s="43"/>
      <c r="H233" s="25"/>
      <c r="I233" s="449" t="s">
        <v>711</v>
      </c>
      <c r="J233" s="448"/>
      <c r="K233" s="170"/>
      <c r="L233" s="170"/>
      <c r="M233" s="170"/>
      <c r="N233" s="170"/>
      <c r="O233" s="170"/>
      <c r="P233" s="170"/>
      <c r="Q233" s="170"/>
      <c r="R233" s="170"/>
      <c r="S233" s="448" t="s">
        <v>514</v>
      </c>
      <c r="T233" s="448"/>
      <c r="U233" s="448"/>
      <c r="V233" s="448"/>
      <c r="W233" s="448"/>
      <c r="X233" s="732">
        <f>SUM(X234:X234)</f>
        <v>0</v>
      </c>
      <c r="Y233" s="733" t="s">
        <v>769</v>
      </c>
    </row>
    <row r="234" spans="1:26" ht="21" customHeight="1">
      <c r="A234" s="39"/>
      <c r="B234" s="40"/>
      <c r="C234" s="40"/>
      <c r="D234" s="40"/>
      <c r="E234" s="42"/>
      <c r="F234" s="42"/>
      <c r="G234" s="43"/>
      <c r="H234" s="25"/>
      <c r="I234" s="625" t="s">
        <v>694</v>
      </c>
      <c r="J234" s="625"/>
      <c r="K234" s="625"/>
      <c r="L234" s="625"/>
      <c r="M234" s="625"/>
      <c r="N234" s="625"/>
      <c r="O234" s="625"/>
      <c r="P234" s="625"/>
      <c r="Q234" s="625"/>
      <c r="R234" s="625"/>
      <c r="S234" s="625"/>
      <c r="T234" s="625"/>
      <c r="U234" s="625"/>
      <c r="V234" s="625"/>
      <c r="W234" s="625"/>
      <c r="X234" s="723">
        <v>0</v>
      </c>
      <c r="Y234" s="125" t="s">
        <v>769</v>
      </c>
    </row>
    <row r="235" spans="1:26" ht="21" customHeight="1">
      <c r="A235" s="39"/>
      <c r="B235" s="40"/>
      <c r="C235" s="40"/>
      <c r="D235" s="40"/>
      <c r="E235" s="42"/>
      <c r="F235" s="42"/>
      <c r="G235" s="43"/>
      <c r="H235" s="25"/>
      <c r="I235" s="616"/>
      <c r="J235" s="616"/>
      <c r="K235" s="616"/>
      <c r="L235" s="616"/>
      <c r="M235" s="616"/>
      <c r="N235" s="616"/>
      <c r="O235" s="616"/>
      <c r="P235" s="616"/>
      <c r="Q235" s="616"/>
      <c r="R235" s="616"/>
      <c r="S235" s="616"/>
      <c r="T235" s="616"/>
      <c r="U235" s="616"/>
      <c r="V235" s="616"/>
      <c r="W235" s="616"/>
      <c r="X235" s="615"/>
      <c r="Y235" s="125"/>
    </row>
    <row r="236" spans="1:26" ht="21" customHeight="1" thickBot="1">
      <c r="A236" s="39"/>
      <c r="B236" s="40"/>
      <c r="C236" s="40"/>
      <c r="D236" s="40"/>
      <c r="E236" s="42"/>
      <c r="F236" s="42"/>
      <c r="G236" s="43"/>
      <c r="H236" s="25"/>
      <c r="I236" s="620" t="s">
        <v>712</v>
      </c>
      <c r="J236" s="621"/>
      <c r="K236" s="616"/>
      <c r="L236" s="616"/>
      <c r="M236" s="616"/>
      <c r="N236" s="616"/>
      <c r="O236" s="616"/>
      <c r="P236" s="616"/>
      <c r="Q236" s="616"/>
      <c r="R236" s="616"/>
      <c r="S236" s="448" t="s">
        <v>514</v>
      </c>
      <c r="T236" s="448"/>
      <c r="U236" s="448"/>
      <c r="V236" s="448"/>
      <c r="W236" s="448"/>
      <c r="X236" s="447">
        <f>SUM(X237:X238)</f>
        <v>0</v>
      </c>
      <c r="Y236" s="446" t="s">
        <v>56</v>
      </c>
    </row>
    <row r="237" spans="1:26" ht="21" customHeight="1">
      <c r="A237" s="39"/>
      <c r="B237" s="40"/>
      <c r="C237" s="40"/>
      <c r="D237" s="40"/>
      <c r="E237" s="42"/>
      <c r="F237" s="42"/>
      <c r="G237" s="43"/>
      <c r="H237" s="25"/>
      <c r="I237" s="634" t="s">
        <v>695</v>
      </c>
      <c r="J237" s="635"/>
      <c r="K237" s="625"/>
      <c r="L237" s="625"/>
      <c r="M237" s="625"/>
      <c r="N237" s="625"/>
      <c r="O237" s="625"/>
      <c r="P237" s="625"/>
      <c r="Q237" s="625"/>
      <c r="R237" s="625"/>
      <c r="S237" s="625"/>
      <c r="T237" s="625"/>
      <c r="U237" s="625"/>
      <c r="V237" s="625"/>
      <c r="W237" s="625"/>
      <c r="X237" s="624">
        <v>0</v>
      </c>
      <c r="Y237" s="125" t="s">
        <v>686</v>
      </c>
    </row>
    <row r="238" spans="1:26" ht="21" customHeight="1">
      <c r="A238" s="39"/>
      <c r="B238" s="40"/>
      <c r="C238" s="40"/>
      <c r="D238" s="40"/>
      <c r="E238" s="42"/>
      <c r="F238" s="42"/>
      <c r="G238" s="43"/>
      <c r="H238" s="25"/>
      <c r="I238" s="760" t="s">
        <v>919</v>
      </c>
      <c r="J238" s="618"/>
      <c r="K238" s="618"/>
      <c r="L238" s="618"/>
      <c r="M238" s="618"/>
      <c r="N238" s="618"/>
      <c r="O238" s="618"/>
      <c r="P238" s="618"/>
      <c r="Q238" s="618"/>
      <c r="R238" s="618"/>
      <c r="S238" s="618"/>
      <c r="T238" s="618"/>
      <c r="U238" s="618"/>
      <c r="V238" s="618"/>
      <c r="W238" s="618"/>
      <c r="X238" s="617">
        <v>0</v>
      </c>
      <c r="Y238" s="125" t="s">
        <v>698</v>
      </c>
    </row>
    <row r="239" spans="1:26" ht="21" customHeight="1" thickBot="1">
      <c r="A239" s="39"/>
      <c r="B239" s="40"/>
      <c r="C239" s="40"/>
      <c r="D239" s="40"/>
      <c r="E239" s="42"/>
      <c r="F239" s="42"/>
      <c r="G239" s="43"/>
      <c r="H239" s="25"/>
      <c r="I239" s="449" t="s">
        <v>713</v>
      </c>
      <c r="J239" s="448"/>
      <c r="K239" s="170"/>
      <c r="L239" s="170"/>
      <c r="M239" s="170"/>
      <c r="N239" s="170"/>
      <c r="O239" s="170"/>
      <c r="P239" s="170"/>
      <c r="Q239" s="170"/>
      <c r="R239" s="170"/>
      <c r="S239" s="448" t="s">
        <v>514</v>
      </c>
      <c r="T239" s="448"/>
      <c r="U239" s="448"/>
      <c r="V239" s="448"/>
      <c r="W239" s="448"/>
      <c r="X239" s="447">
        <f>X240</f>
        <v>0</v>
      </c>
      <c r="Y239" s="446" t="s">
        <v>56</v>
      </c>
    </row>
    <row r="240" spans="1:26" ht="21" customHeight="1">
      <c r="A240" s="39"/>
      <c r="B240" s="40"/>
      <c r="C240" s="40"/>
      <c r="D240" s="40"/>
      <c r="E240" s="42"/>
      <c r="F240" s="42"/>
      <c r="G240" s="43"/>
      <c r="H240" s="25"/>
      <c r="I240" s="625" t="s">
        <v>696</v>
      </c>
      <c r="J240" s="625"/>
      <c r="K240" s="625"/>
      <c r="L240" s="625"/>
      <c r="M240" s="625"/>
      <c r="N240" s="625"/>
      <c r="O240" s="625"/>
      <c r="P240" s="625"/>
      <c r="Q240" s="625"/>
      <c r="R240" s="625"/>
      <c r="S240" s="625"/>
      <c r="T240" s="625"/>
      <c r="U240" s="625"/>
      <c r="V240" s="625"/>
      <c r="W240" s="625"/>
      <c r="X240" s="789">
        <v>0</v>
      </c>
      <c r="Y240" s="125" t="s">
        <v>686</v>
      </c>
      <c r="Z240" s="18"/>
    </row>
    <row r="241" spans="1:26" ht="21" customHeight="1">
      <c r="A241" s="39"/>
      <c r="B241" s="40"/>
      <c r="C241" s="30" t="s">
        <v>378</v>
      </c>
      <c r="D241" s="445" t="s">
        <v>377</v>
      </c>
      <c r="E241" s="211">
        <f>E242</f>
        <v>1556</v>
      </c>
      <c r="F241" s="211">
        <f>F242</f>
        <v>788</v>
      </c>
      <c r="G241" s="212">
        <f>F241-E241</f>
        <v>-768</v>
      </c>
      <c r="H241" s="213">
        <f>IF(E241=0,0,G241/E241)</f>
        <v>-0.49357326478149099</v>
      </c>
      <c r="I241" s="196" t="s">
        <v>376</v>
      </c>
      <c r="J241" s="197"/>
      <c r="K241" s="198"/>
      <c r="L241" s="198"/>
      <c r="M241" s="198"/>
      <c r="N241" s="198"/>
      <c r="O241" s="198"/>
      <c r="P241" s="199"/>
      <c r="Q241" s="199"/>
      <c r="R241" s="199"/>
      <c r="S241" s="199"/>
      <c r="T241" s="199"/>
      <c r="U241" s="199"/>
      <c r="V241" s="226" t="s">
        <v>373</v>
      </c>
      <c r="W241" s="227"/>
      <c r="X241" s="227">
        <f>SUM(X243,X246)</f>
        <v>788000</v>
      </c>
      <c r="Y241" s="259" t="s">
        <v>368</v>
      </c>
      <c r="Z241" s="18"/>
    </row>
    <row r="242" spans="1:26" ht="21" customHeight="1">
      <c r="A242" s="39"/>
      <c r="B242" s="40"/>
      <c r="C242" s="40" t="s">
        <v>375</v>
      </c>
      <c r="D242" s="40" t="s">
        <v>374</v>
      </c>
      <c r="E242" s="42">
        <v>1556</v>
      </c>
      <c r="F242" s="42">
        <f>ROUND(X241/1000,0)</f>
        <v>788</v>
      </c>
      <c r="G242" s="32">
        <f>F242-E242</f>
        <v>-768</v>
      </c>
      <c r="H242" s="33">
        <f>IF(E242=0,0,G242/E242)</f>
        <v>-0.49357326478149099</v>
      </c>
      <c r="I242" s="132"/>
      <c r="J242" s="136"/>
      <c r="K242" s="287"/>
      <c r="L242" s="287"/>
      <c r="M242" s="287"/>
      <c r="N242" s="443"/>
      <c r="O242" s="66"/>
      <c r="P242" s="61"/>
      <c r="Q242" s="66"/>
      <c r="R242" s="71"/>
      <c r="S242" s="68"/>
      <c r="T242" s="68"/>
      <c r="U242" s="443"/>
      <c r="V242" s="816"/>
      <c r="W242" s="816"/>
      <c r="X242" s="134"/>
      <c r="Y242" s="135"/>
    </row>
    <row r="243" spans="1:26" ht="21" customHeight="1" thickBot="1">
      <c r="A243" s="39"/>
      <c r="B243" s="40"/>
      <c r="C243" s="40" t="s">
        <v>170</v>
      </c>
      <c r="D243" s="40" t="s">
        <v>341</v>
      </c>
      <c r="E243" s="42"/>
      <c r="F243" s="42"/>
      <c r="G243" s="43"/>
      <c r="H243" s="25"/>
      <c r="I243" s="449" t="s">
        <v>649</v>
      </c>
      <c r="J243" s="57"/>
      <c r="K243" s="287"/>
      <c r="L243" s="287"/>
      <c r="M243" s="287"/>
      <c r="N243" s="287"/>
      <c r="O243" s="287"/>
      <c r="P243" s="287"/>
      <c r="Q243" s="512" t="s">
        <v>367</v>
      </c>
      <c r="R243" s="512"/>
      <c r="S243" s="512"/>
      <c r="T243" s="512"/>
      <c r="U243" s="512"/>
      <c r="V243" s="512"/>
      <c r="W243" s="512"/>
      <c r="X243" s="512">
        <f>ROUND(SUM(X244:X245),-3)</f>
        <v>778000</v>
      </c>
      <c r="Y243" s="446" t="s">
        <v>56</v>
      </c>
    </row>
    <row r="244" spans="1:26" ht="21" customHeight="1">
      <c r="A244" s="39"/>
      <c r="B244" s="40"/>
      <c r="C244" s="40"/>
      <c r="D244" s="40"/>
      <c r="E244" s="42"/>
      <c r="F244" s="42"/>
      <c r="G244" s="43"/>
      <c r="H244" s="25"/>
      <c r="I244" s="271" t="s">
        <v>531</v>
      </c>
      <c r="J244" s="271"/>
      <c r="K244" s="271"/>
      <c r="L244" s="271"/>
      <c r="M244" s="269">
        <v>17590000</v>
      </c>
      <c r="N244" s="328" t="s">
        <v>56</v>
      </c>
      <c r="O244" s="328" t="s">
        <v>63</v>
      </c>
      <c r="P244" s="374">
        <v>12</v>
      </c>
      <c r="Q244" s="573" t="s">
        <v>0</v>
      </c>
      <c r="R244" s="269"/>
      <c r="S244" s="269"/>
      <c r="T244" s="269"/>
      <c r="U244" s="269" t="s">
        <v>53</v>
      </c>
      <c r="V244" s="269"/>
      <c r="W244" s="272"/>
      <c r="X244" s="272">
        <v>778000</v>
      </c>
      <c r="Y244" s="295" t="s">
        <v>56</v>
      </c>
    </row>
    <row r="245" spans="1:26" ht="21" customHeight="1">
      <c r="A245" s="39"/>
      <c r="B245" s="40"/>
      <c r="C245" s="40"/>
      <c r="D245" s="40"/>
      <c r="E245" s="42"/>
      <c r="F245" s="42"/>
      <c r="G245" s="43"/>
      <c r="H245" s="25"/>
      <c r="I245" s="271"/>
      <c r="J245" s="271"/>
      <c r="K245" s="271"/>
      <c r="L245" s="271"/>
      <c r="M245" s="269"/>
      <c r="N245" s="328"/>
      <c r="O245" s="328"/>
      <c r="P245" s="374"/>
      <c r="Q245" s="585"/>
      <c r="R245" s="269"/>
      <c r="S245" s="269"/>
      <c r="T245" s="269"/>
      <c r="U245" s="269"/>
      <c r="V245" s="269"/>
      <c r="W245" s="272"/>
      <c r="X245" s="272"/>
      <c r="Y245" s="763"/>
    </row>
    <row r="246" spans="1:26" ht="21" customHeight="1" thickBot="1">
      <c r="A246" s="39"/>
      <c r="B246" s="40"/>
      <c r="C246" s="40"/>
      <c r="D246" s="40"/>
      <c r="E246" s="42"/>
      <c r="F246" s="42"/>
      <c r="G246" s="43"/>
      <c r="H246" s="25"/>
      <c r="I246" s="333" t="s">
        <v>920</v>
      </c>
      <c r="J246" s="57"/>
      <c r="K246" s="287"/>
      <c r="L246" s="287"/>
      <c r="M246" s="287"/>
      <c r="N246" s="287"/>
      <c r="O246" s="287"/>
      <c r="P246" s="287"/>
      <c r="Q246" s="512" t="s">
        <v>666</v>
      </c>
      <c r="R246" s="512"/>
      <c r="S246" s="512"/>
      <c r="T246" s="512"/>
      <c r="U246" s="512"/>
      <c r="V246" s="512"/>
      <c r="W246" s="512"/>
      <c r="X246" s="512">
        <f>ROUND(SUM(X247:X247),-3)</f>
        <v>10000</v>
      </c>
      <c r="Y246" s="446" t="s">
        <v>56</v>
      </c>
    </row>
    <row r="247" spans="1:26" ht="21" customHeight="1" thickBot="1">
      <c r="A247" s="52"/>
      <c r="B247" s="53"/>
      <c r="C247" s="53"/>
      <c r="D247" s="53"/>
      <c r="E247" s="55"/>
      <c r="F247" s="55"/>
      <c r="G247" s="56"/>
      <c r="H247" s="195"/>
      <c r="I247" s="646"/>
      <c r="J247" s="625"/>
      <c r="K247" s="625"/>
      <c r="L247" s="625"/>
      <c r="M247" s="624"/>
      <c r="N247" s="626"/>
      <c r="O247" s="626"/>
      <c r="P247" s="568"/>
      <c r="Q247" s="381"/>
      <c r="R247" s="624"/>
      <c r="S247" s="624"/>
      <c r="T247" s="624"/>
      <c r="U247" s="624"/>
      <c r="V247" s="624"/>
      <c r="W247" s="627"/>
      <c r="X247" s="792">
        <v>10000</v>
      </c>
      <c r="Y247" s="125" t="s">
        <v>686</v>
      </c>
    </row>
    <row r="248" spans="1:26" ht="21" customHeight="1">
      <c r="A248" s="29" t="s">
        <v>14</v>
      </c>
      <c r="B248" s="30" t="s">
        <v>14</v>
      </c>
      <c r="C248" s="819" t="s">
        <v>357</v>
      </c>
      <c r="D248" s="820"/>
      <c r="E248" s="240">
        <f>SUM(E249,E264,E270)</f>
        <v>41567</v>
      </c>
      <c r="F248" s="240">
        <f>SUM(F249,F264,F270)</f>
        <v>34690</v>
      </c>
      <c r="G248" s="241">
        <f>F248-E248</f>
        <v>-6877</v>
      </c>
      <c r="H248" s="242">
        <f>IF(E248=0,0,G248/E248)</f>
        <v>-0.16544374142949936</v>
      </c>
      <c r="I248" s="243" t="s">
        <v>356</v>
      </c>
      <c r="J248" s="244"/>
      <c r="K248" s="245"/>
      <c r="L248" s="245"/>
      <c r="M248" s="244"/>
      <c r="N248" s="244"/>
      <c r="O248" s="244"/>
      <c r="P248" s="244"/>
      <c r="Q248" s="244" t="s">
        <v>355</v>
      </c>
      <c r="R248" s="246"/>
      <c r="S248" s="246"/>
      <c r="T248" s="246"/>
      <c r="U248" s="246"/>
      <c r="V248" s="246"/>
      <c r="W248" s="246"/>
      <c r="X248" s="595">
        <f>SUM(X249,X264,X270)</f>
        <v>34690000</v>
      </c>
      <c r="Y248" s="258" t="s">
        <v>25</v>
      </c>
    </row>
    <row r="249" spans="1:26" ht="21" customHeight="1">
      <c r="A249" s="39"/>
      <c r="B249" s="40"/>
      <c r="C249" s="30" t="s">
        <v>354</v>
      </c>
      <c r="D249" s="445" t="s">
        <v>353</v>
      </c>
      <c r="E249" s="211">
        <f>SUM(E250,E253,E256,E260,E262)</f>
        <v>25067</v>
      </c>
      <c r="F249" s="211">
        <f>SUM(F250,F253,F256,F260,F262)</f>
        <v>17058</v>
      </c>
      <c r="G249" s="212">
        <f>F249-E249</f>
        <v>-8009</v>
      </c>
      <c r="H249" s="213">
        <f>IF(E249=0,0,G249/E249)</f>
        <v>-0.31950373000359039</v>
      </c>
      <c r="I249" s="196" t="s">
        <v>352</v>
      </c>
      <c r="J249" s="197"/>
      <c r="K249" s="198"/>
      <c r="L249" s="198"/>
      <c r="M249" s="198"/>
      <c r="N249" s="198"/>
      <c r="O249" s="198"/>
      <c r="P249" s="199"/>
      <c r="Q249" s="199"/>
      <c r="R249" s="199"/>
      <c r="S249" s="199"/>
      <c r="T249" s="199"/>
      <c r="U249" s="199"/>
      <c r="V249" s="226" t="s">
        <v>346</v>
      </c>
      <c r="W249" s="227"/>
      <c r="X249" s="228">
        <f>SUM(X250,X253,X256,X260)</f>
        <v>17058000</v>
      </c>
      <c r="Y249" s="259" t="s">
        <v>345</v>
      </c>
    </row>
    <row r="250" spans="1:26" ht="21" customHeight="1">
      <c r="A250" s="39"/>
      <c r="B250" s="40"/>
      <c r="C250" s="40"/>
      <c r="D250" s="526" t="s">
        <v>524</v>
      </c>
      <c r="E250" s="31">
        <v>0</v>
      </c>
      <c r="F250" s="31">
        <f>ROUND(X250/1000,0)</f>
        <v>0</v>
      </c>
      <c r="G250" s="32">
        <f>F250-E250</f>
        <v>0</v>
      </c>
      <c r="H250" s="33">
        <f>IF(E250=0,0,G250/E250)</f>
        <v>0</v>
      </c>
      <c r="I250" s="132" t="s">
        <v>525</v>
      </c>
      <c r="J250" s="151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16" t="s">
        <v>62</v>
      </c>
      <c r="W250" s="816"/>
      <c r="X250" s="134">
        <f>ROUNDUP(SUM(W251:X252),-3)</f>
        <v>0</v>
      </c>
      <c r="Y250" s="135" t="s">
        <v>56</v>
      </c>
    </row>
    <row r="251" spans="1:26" ht="21" customHeight="1">
      <c r="A251" s="39"/>
      <c r="B251" s="40"/>
      <c r="C251" s="40"/>
      <c r="D251" s="527"/>
      <c r="E251" s="42"/>
      <c r="F251" s="42"/>
      <c r="G251" s="43"/>
      <c r="H251" s="25"/>
      <c r="I251" s="277" t="s">
        <v>526</v>
      </c>
      <c r="J251" s="288"/>
      <c r="K251" s="287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520"/>
      <c r="W251" s="520"/>
      <c r="X251" s="60">
        <v>0</v>
      </c>
      <c r="Y251" s="51" t="s">
        <v>56</v>
      </c>
    </row>
    <row r="252" spans="1:26" ht="21" customHeight="1">
      <c r="A252" s="39"/>
      <c r="B252" s="40"/>
      <c r="C252" s="40"/>
      <c r="D252" s="522"/>
      <c r="E252" s="523"/>
      <c r="F252" s="524"/>
      <c r="G252" s="524"/>
      <c r="H252" s="525"/>
      <c r="I252" s="278" t="s">
        <v>527</v>
      </c>
      <c r="J252" s="353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193"/>
      <c r="W252" s="193"/>
      <c r="X252" s="64">
        <v>0</v>
      </c>
      <c r="Y252" s="65" t="s">
        <v>56</v>
      </c>
    </row>
    <row r="253" spans="1:26" ht="21" customHeight="1">
      <c r="A253" s="39"/>
      <c r="B253" s="40"/>
      <c r="C253" s="40" t="s">
        <v>351</v>
      </c>
      <c r="D253" s="30" t="s">
        <v>350</v>
      </c>
      <c r="E253" s="31">
        <v>10867</v>
      </c>
      <c r="F253" s="31">
        <f>ROUND(X253/1000,0)</f>
        <v>7101</v>
      </c>
      <c r="G253" s="32">
        <f>F253-E253</f>
        <v>-3766</v>
      </c>
      <c r="H253" s="33">
        <f>IF(E253=0,0,G253/E253)</f>
        <v>-0.34655378669365972</v>
      </c>
      <c r="I253" s="132" t="s">
        <v>349</v>
      </c>
      <c r="J253" s="151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16" t="s">
        <v>346</v>
      </c>
      <c r="W253" s="816"/>
      <c r="X253" s="134">
        <f>ROUNDUP(SUM(W254:X255),-3)</f>
        <v>7101000</v>
      </c>
      <c r="Y253" s="135" t="s">
        <v>345</v>
      </c>
    </row>
    <row r="254" spans="1:26" ht="21" customHeight="1">
      <c r="A254" s="39"/>
      <c r="B254" s="40"/>
      <c r="C254" s="40"/>
      <c r="D254" s="40"/>
      <c r="E254" s="42"/>
      <c r="F254" s="42"/>
      <c r="G254" s="43"/>
      <c r="H254" s="25"/>
      <c r="I254" s="277" t="s">
        <v>348</v>
      </c>
      <c r="J254" s="288"/>
      <c r="K254" s="287"/>
      <c r="L254" s="287"/>
      <c r="M254" s="287"/>
      <c r="N254" s="287"/>
      <c r="O254" s="287"/>
      <c r="P254" s="287"/>
      <c r="Q254" s="287"/>
      <c r="R254" s="287"/>
      <c r="S254" s="287"/>
      <c r="T254" s="287"/>
      <c r="U254" s="287"/>
      <c r="V254" s="443"/>
      <c r="W254" s="443"/>
      <c r="X254" s="60">
        <v>7100543</v>
      </c>
      <c r="Y254" s="51" t="s">
        <v>345</v>
      </c>
    </row>
    <row r="255" spans="1:26" ht="21" customHeight="1">
      <c r="A255" s="39"/>
      <c r="B255" s="40"/>
      <c r="C255" s="40"/>
      <c r="D255" s="53"/>
      <c r="E255" s="55"/>
      <c r="F255" s="55"/>
      <c r="G255" s="56"/>
      <c r="H255" s="195"/>
      <c r="I255" s="278" t="s">
        <v>347</v>
      </c>
      <c r="J255" s="353"/>
      <c r="K255" s="216"/>
      <c r="L255" s="216"/>
      <c r="M255" s="216"/>
      <c r="N255" s="216"/>
      <c r="O255" s="216"/>
      <c r="P255" s="216"/>
      <c r="Q255" s="216"/>
      <c r="R255" s="216"/>
      <c r="S255" s="216"/>
      <c r="T255" s="216"/>
      <c r="U255" s="216"/>
      <c r="V255" s="193"/>
      <c r="W255" s="193"/>
      <c r="X255" s="64">
        <v>0</v>
      </c>
      <c r="Y255" s="65" t="s">
        <v>345</v>
      </c>
    </row>
    <row r="256" spans="1:26" ht="21" customHeight="1">
      <c r="A256" s="39"/>
      <c r="B256" s="40"/>
      <c r="C256" s="40"/>
      <c r="D256" s="30" t="s">
        <v>344</v>
      </c>
      <c r="E256" s="31">
        <v>5500</v>
      </c>
      <c r="F256" s="31">
        <f>ROUND(X256/1000,0)</f>
        <v>4663</v>
      </c>
      <c r="G256" s="32">
        <f>F256-E256</f>
        <v>-837</v>
      </c>
      <c r="H256" s="33">
        <f>IF(E256=0,0,G256/E256)</f>
        <v>-0.15218181818181817</v>
      </c>
      <c r="I256" s="132" t="s">
        <v>182</v>
      </c>
      <c r="J256" s="151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16" t="s">
        <v>62</v>
      </c>
      <c r="W256" s="816"/>
      <c r="X256" s="134">
        <f>ROUNDUP(SUM(W257:X258),-3)</f>
        <v>4663000</v>
      </c>
      <c r="Y256" s="135" t="s">
        <v>56</v>
      </c>
    </row>
    <row r="257" spans="1:25" ht="21" customHeight="1">
      <c r="A257" s="39"/>
      <c r="B257" s="40"/>
      <c r="C257" s="40"/>
      <c r="D257" s="40"/>
      <c r="E257" s="42"/>
      <c r="F257" s="42"/>
      <c r="G257" s="43"/>
      <c r="H257" s="25"/>
      <c r="I257" s="277" t="s">
        <v>194</v>
      </c>
      <c r="J257" s="288"/>
      <c r="K257" s="287"/>
      <c r="L257" s="287"/>
      <c r="M257" s="287"/>
      <c r="N257" s="287"/>
      <c r="O257" s="287"/>
      <c r="P257" s="287"/>
      <c r="Q257" s="287"/>
      <c r="R257" s="287"/>
      <c r="S257" s="287"/>
      <c r="T257" s="287"/>
      <c r="U257" s="287"/>
      <c r="V257" s="443"/>
      <c r="W257" s="443"/>
      <c r="X257" s="60">
        <v>3977692</v>
      </c>
      <c r="Y257" s="51" t="s">
        <v>56</v>
      </c>
    </row>
    <row r="258" spans="1:25" ht="21" customHeight="1">
      <c r="A258" s="39"/>
      <c r="B258" s="40"/>
      <c r="C258" s="40"/>
      <c r="D258" s="40"/>
      <c r="E258" s="42"/>
      <c r="F258" s="42"/>
      <c r="G258" s="43"/>
      <c r="H258" s="25"/>
      <c r="I258" s="277" t="s">
        <v>905</v>
      </c>
      <c r="J258" s="288"/>
      <c r="K258" s="287"/>
      <c r="L258" s="287"/>
      <c r="M258" s="287"/>
      <c r="N258" s="287"/>
      <c r="O258" s="287"/>
      <c r="P258" s="287"/>
      <c r="Q258" s="287"/>
      <c r="R258" s="287"/>
      <c r="S258" s="287"/>
      <c r="T258" s="287"/>
      <c r="U258" s="287"/>
      <c r="V258" s="443"/>
      <c r="W258" s="443"/>
      <c r="X258" s="60">
        <v>684320</v>
      </c>
      <c r="Y258" s="51" t="s">
        <v>56</v>
      </c>
    </row>
    <row r="259" spans="1:25" ht="21" customHeight="1">
      <c r="A259" s="39"/>
      <c r="B259" s="40"/>
      <c r="C259" s="40"/>
      <c r="D259" s="53"/>
      <c r="E259" s="55"/>
      <c r="F259" s="55"/>
      <c r="G259" s="56"/>
      <c r="H259" s="195"/>
      <c r="I259" s="63"/>
      <c r="J259" s="353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193"/>
      <c r="W259" s="193"/>
      <c r="X259" s="64"/>
      <c r="Y259" s="65"/>
    </row>
    <row r="260" spans="1:25" ht="21" customHeight="1">
      <c r="A260" s="39"/>
      <c r="B260" s="40"/>
      <c r="C260" s="40"/>
      <c r="D260" s="30" t="s">
        <v>343</v>
      </c>
      <c r="E260" s="31">
        <v>8000</v>
      </c>
      <c r="F260" s="31">
        <f>ROUND(X261/1000,0)+1</f>
        <v>4584</v>
      </c>
      <c r="G260" s="32">
        <f>F260-E260</f>
        <v>-3416</v>
      </c>
      <c r="H260" s="33">
        <f>IF(E260=0,0,G260/E260)</f>
        <v>-0.42699999999999999</v>
      </c>
      <c r="I260" s="132" t="s">
        <v>183</v>
      </c>
      <c r="J260" s="151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16" t="s">
        <v>62</v>
      </c>
      <c r="W260" s="816"/>
      <c r="X260" s="134">
        <f>ROUNDUP(SUM(W261:X262),-3)</f>
        <v>5294000</v>
      </c>
      <c r="Y260" s="135" t="s">
        <v>56</v>
      </c>
    </row>
    <row r="261" spans="1:25" ht="21" customHeight="1">
      <c r="A261" s="39"/>
      <c r="B261" s="40"/>
      <c r="C261" s="40"/>
      <c r="D261" s="40" t="s">
        <v>665</v>
      </c>
      <c r="E261" s="42"/>
      <c r="F261" s="42"/>
      <c r="G261" s="43"/>
      <c r="H261" s="25"/>
      <c r="I261" s="277" t="s">
        <v>661</v>
      </c>
      <c r="J261" s="288"/>
      <c r="K261" s="287"/>
      <c r="L261" s="287"/>
      <c r="M261" s="287"/>
      <c r="N261" s="287"/>
      <c r="O261" s="287"/>
      <c r="P261" s="287"/>
      <c r="Q261" s="287"/>
      <c r="R261" s="287"/>
      <c r="S261" s="287"/>
      <c r="T261" s="287"/>
      <c r="U261" s="287"/>
      <c r="V261" s="596"/>
      <c r="W261" s="596"/>
      <c r="X261" s="60">
        <v>4583330</v>
      </c>
      <c r="Y261" s="51" t="s">
        <v>56</v>
      </c>
    </row>
    <row r="262" spans="1:25" ht="21" customHeight="1">
      <c r="A262" s="39"/>
      <c r="B262" s="40"/>
      <c r="C262" s="40"/>
      <c r="D262" s="575" t="s">
        <v>671</v>
      </c>
      <c r="E262" s="497">
        <v>700</v>
      </c>
      <c r="F262" s="497">
        <f>ROUND(X262/1000,0)</f>
        <v>710</v>
      </c>
      <c r="G262" s="601">
        <f>F262-E262</f>
        <v>10</v>
      </c>
      <c r="H262" s="602">
        <f>IF(E262=0,0,G262/E262)</f>
        <v>1.4285714285714285E-2</v>
      </c>
      <c r="I262" s="277" t="s">
        <v>672</v>
      </c>
      <c r="J262" s="600"/>
      <c r="K262" s="599"/>
      <c r="L262" s="599"/>
      <c r="M262" s="599"/>
      <c r="N262" s="599"/>
      <c r="O262" s="599"/>
      <c r="P262" s="599"/>
      <c r="Q262" s="599"/>
      <c r="R262" s="599"/>
      <c r="S262" s="599"/>
      <c r="T262" s="599"/>
      <c r="U262" s="599"/>
      <c r="V262" s="597"/>
      <c r="W262" s="597"/>
      <c r="X262" s="598">
        <v>709798</v>
      </c>
      <c r="Y262" s="125" t="s">
        <v>673</v>
      </c>
    </row>
    <row r="263" spans="1:25" ht="21" customHeight="1">
      <c r="A263" s="39"/>
      <c r="B263" s="40"/>
      <c r="C263" s="40"/>
      <c r="D263" s="575" t="s">
        <v>674</v>
      </c>
      <c r="E263" s="497"/>
      <c r="F263" s="497"/>
      <c r="G263" s="601"/>
      <c r="H263" s="602"/>
      <c r="I263" s="277"/>
      <c r="J263" s="600"/>
      <c r="K263" s="599"/>
      <c r="L263" s="599"/>
      <c r="M263" s="599"/>
      <c r="N263" s="597"/>
      <c r="O263" s="381"/>
      <c r="P263" s="384"/>
      <c r="Q263" s="381"/>
      <c r="R263" s="385"/>
      <c r="S263" s="68"/>
      <c r="T263" s="68"/>
      <c r="U263" s="597"/>
      <c r="V263" s="599"/>
      <c r="W263" s="598"/>
      <c r="X263" s="598"/>
      <c r="Y263" s="125"/>
    </row>
    <row r="264" spans="1:25" ht="21" customHeight="1">
      <c r="A264" s="39"/>
      <c r="B264" s="40"/>
      <c r="C264" s="30" t="s">
        <v>171</v>
      </c>
      <c r="D264" s="445" t="s">
        <v>139</v>
      </c>
      <c r="E264" s="211">
        <f>E265+E267</f>
        <v>16500</v>
      </c>
      <c r="F264" s="211">
        <f>SUM(F265,F267)</f>
        <v>17632</v>
      </c>
      <c r="G264" s="212">
        <f>F264-E264</f>
        <v>1132</v>
      </c>
      <c r="H264" s="213">
        <f>IF(E264=0,0,G264/E264)</f>
        <v>6.8606060606060601E-2</v>
      </c>
      <c r="I264" s="196" t="s">
        <v>173</v>
      </c>
      <c r="J264" s="197"/>
      <c r="K264" s="198"/>
      <c r="L264" s="198"/>
      <c r="M264" s="198"/>
      <c r="N264" s="198"/>
      <c r="O264" s="198"/>
      <c r="P264" s="199"/>
      <c r="Q264" s="199"/>
      <c r="R264" s="199"/>
      <c r="S264" s="199"/>
      <c r="T264" s="199"/>
      <c r="U264" s="199"/>
      <c r="V264" s="226" t="s">
        <v>62</v>
      </c>
      <c r="W264" s="227"/>
      <c r="X264" s="134">
        <f>ROUNDUP(SUM(W265:X267),-3)</f>
        <v>17632000</v>
      </c>
      <c r="Y264" s="259" t="s">
        <v>56</v>
      </c>
    </row>
    <row r="265" spans="1:25" ht="21" customHeight="1">
      <c r="A265" s="39"/>
      <c r="B265" s="40"/>
      <c r="C265" s="40" t="s">
        <v>172</v>
      </c>
      <c r="D265" s="40" t="s">
        <v>342</v>
      </c>
      <c r="E265" s="42">
        <v>1500</v>
      </c>
      <c r="F265" s="42">
        <f>ROUND(X265/1000,0)</f>
        <v>1364</v>
      </c>
      <c r="G265" s="32">
        <f>F265-E265</f>
        <v>-136</v>
      </c>
      <c r="H265" s="33">
        <f>IF(E265=0,0,G265/E265)</f>
        <v>-9.0666666666666673E-2</v>
      </c>
      <c r="I265" s="277" t="s">
        <v>596</v>
      </c>
      <c r="J265" s="590"/>
      <c r="K265" s="589"/>
      <c r="L265" s="589"/>
      <c r="M265" s="589"/>
      <c r="N265" s="589"/>
      <c r="O265" s="589"/>
      <c r="P265" s="589"/>
      <c r="Q265" s="561"/>
      <c r="R265" s="561"/>
      <c r="S265" s="561"/>
      <c r="T265" s="589"/>
      <c r="U265" s="589"/>
      <c r="V265" s="589"/>
      <c r="W265" s="586"/>
      <c r="X265" s="586">
        <v>1363750</v>
      </c>
      <c r="Y265" s="125" t="s">
        <v>56</v>
      </c>
    </row>
    <row r="266" spans="1:25" ht="21" customHeight="1">
      <c r="A266" s="39"/>
      <c r="B266" s="40"/>
      <c r="C266" s="40" t="s">
        <v>170</v>
      </c>
      <c r="D266" s="40" t="s">
        <v>662</v>
      </c>
      <c r="E266" s="42"/>
      <c r="F266" s="55"/>
      <c r="G266" s="43"/>
      <c r="H266" s="62"/>
      <c r="I266" s="278"/>
      <c r="J266" s="588"/>
      <c r="K266" s="587"/>
      <c r="L266" s="587"/>
      <c r="M266" s="587"/>
      <c r="N266" s="587"/>
      <c r="O266" s="587"/>
      <c r="P266" s="587"/>
      <c r="Q266" s="594"/>
      <c r="R266" s="594"/>
      <c r="S266" s="594"/>
      <c r="T266" s="587"/>
      <c r="U266" s="587"/>
      <c r="V266" s="587"/>
      <c r="W266" s="402"/>
      <c r="X266" s="402"/>
      <c r="Y266" s="393" t="s">
        <v>589</v>
      </c>
    </row>
    <row r="267" spans="1:25" ht="21" customHeight="1">
      <c r="A267" s="39"/>
      <c r="B267" s="40"/>
      <c r="C267" s="40"/>
      <c r="D267" s="30" t="s">
        <v>663</v>
      </c>
      <c r="E267" s="31">
        <v>15000</v>
      </c>
      <c r="F267" s="31">
        <f>ROUND(X267/1000,0)</f>
        <v>16268</v>
      </c>
      <c r="G267" s="32">
        <f>F267-E267</f>
        <v>1268</v>
      </c>
      <c r="H267" s="33">
        <f>IF(E267=0,0,G267/E267)</f>
        <v>8.4533333333333335E-2</v>
      </c>
      <c r="I267" s="280" t="s">
        <v>597</v>
      </c>
      <c r="J267" s="301"/>
      <c r="K267" s="285"/>
      <c r="L267" s="285"/>
      <c r="M267" s="285"/>
      <c r="N267" s="285"/>
      <c r="O267" s="285"/>
      <c r="P267" s="285"/>
      <c r="Q267" s="592"/>
      <c r="R267" s="592"/>
      <c r="S267" s="592"/>
      <c r="T267" s="285"/>
      <c r="U267" s="285"/>
      <c r="V267" s="285"/>
      <c r="W267" s="593"/>
      <c r="X267" s="593">
        <v>16267566</v>
      </c>
      <c r="Y267" s="389" t="s">
        <v>56</v>
      </c>
    </row>
    <row r="268" spans="1:25" ht="21" customHeight="1">
      <c r="A268" s="39"/>
      <c r="B268" s="40"/>
      <c r="C268" s="40"/>
      <c r="D268" s="40" t="s">
        <v>664</v>
      </c>
      <c r="E268" s="42"/>
      <c r="F268" s="42"/>
      <c r="G268" s="43"/>
      <c r="H268" s="62"/>
      <c r="I268" s="277"/>
      <c r="J268" s="590"/>
      <c r="K268" s="589"/>
      <c r="L268" s="589"/>
      <c r="M268" s="589"/>
      <c r="N268" s="589"/>
      <c r="O268" s="589"/>
      <c r="P268" s="589"/>
      <c r="Q268" s="561"/>
      <c r="R268" s="561"/>
      <c r="S268" s="561"/>
      <c r="T268" s="589"/>
      <c r="U268" s="589"/>
      <c r="V268" s="589"/>
      <c r="W268" s="586"/>
      <c r="X268" s="586"/>
      <c r="Y268" s="125"/>
    </row>
    <row r="269" spans="1:25" ht="21" customHeight="1">
      <c r="A269" s="39"/>
      <c r="B269" s="40"/>
      <c r="C269" s="40"/>
      <c r="D269" s="40"/>
      <c r="E269" s="42"/>
      <c r="F269" s="42"/>
      <c r="G269" s="43"/>
      <c r="H269" s="62"/>
      <c r="I269" s="59"/>
      <c r="J269" s="288"/>
      <c r="K269" s="287"/>
      <c r="L269" s="287"/>
      <c r="M269" s="287"/>
      <c r="N269" s="287"/>
      <c r="O269" s="287"/>
      <c r="P269" s="287"/>
      <c r="Q269" s="48"/>
      <c r="R269" s="48"/>
      <c r="S269" s="48"/>
      <c r="T269" s="287"/>
      <c r="U269" s="287"/>
      <c r="V269" s="287"/>
      <c r="W269" s="60"/>
      <c r="X269" s="60"/>
      <c r="Y269" s="51"/>
    </row>
    <row r="270" spans="1:25" ht="21" customHeight="1">
      <c r="A270" s="39"/>
      <c r="B270" s="40"/>
      <c r="C270" s="30" t="s">
        <v>174</v>
      </c>
      <c r="D270" s="445" t="s">
        <v>139</v>
      </c>
      <c r="E270" s="211">
        <f>E271</f>
        <v>0</v>
      </c>
      <c r="F270" s="211">
        <f>F271</f>
        <v>0</v>
      </c>
      <c r="G270" s="212">
        <f>F270-E270</f>
        <v>0</v>
      </c>
      <c r="H270" s="213">
        <f>IF(E270=0,0,G270/E270)</f>
        <v>0</v>
      </c>
      <c r="I270" s="196" t="s">
        <v>175</v>
      </c>
      <c r="J270" s="197"/>
      <c r="K270" s="198"/>
      <c r="L270" s="198"/>
      <c r="M270" s="198"/>
      <c r="N270" s="198"/>
      <c r="O270" s="198"/>
      <c r="P270" s="199"/>
      <c r="Q270" s="199"/>
      <c r="R270" s="199"/>
      <c r="S270" s="199"/>
      <c r="T270" s="199"/>
      <c r="U270" s="199"/>
      <c r="V270" s="226" t="s">
        <v>62</v>
      </c>
      <c r="W270" s="227"/>
      <c r="X270" s="227">
        <f>ROUND(SUM(W271:X272),-3)</f>
        <v>0</v>
      </c>
      <c r="Y270" s="259" t="s">
        <v>56</v>
      </c>
    </row>
    <row r="271" spans="1:25" ht="21" customHeight="1">
      <c r="A271" s="39"/>
      <c r="B271" s="40"/>
      <c r="C271" s="40" t="s">
        <v>127</v>
      </c>
      <c r="D271" s="40" t="s">
        <v>340</v>
      </c>
      <c r="E271" s="42">
        <v>0</v>
      </c>
      <c r="F271" s="42">
        <f>ROUND(X271/1000,0)</f>
        <v>0</v>
      </c>
      <c r="G271" s="32">
        <f>F271-E271</f>
        <v>0</v>
      </c>
      <c r="H271" s="33">
        <f>IF(E271=0,0,G271/E271)</f>
        <v>0</v>
      </c>
      <c r="I271" s="59"/>
      <c r="J271" s="288"/>
      <c r="K271" s="287"/>
      <c r="L271" s="287"/>
      <c r="M271" s="287"/>
      <c r="N271" s="443"/>
      <c r="O271" s="66"/>
      <c r="P271" s="61"/>
      <c r="Q271" s="66"/>
      <c r="R271" s="71"/>
      <c r="S271" s="68"/>
      <c r="T271" s="68"/>
      <c r="U271" s="443"/>
      <c r="V271" s="287"/>
      <c r="W271" s="60"/>
      <c r="X271" s="60"/>
      <c r="Y271" s="51"/>
    </row>
    <row r="272" spans="1:25" ht="21" customHeight="1">
      <c r="A272" s="52"/>
      <c r="B272" s="53"/>
      <c r="C272" s="53"/>
      <c r="D272" s="53"/>
      <c r="E272" s="55"/>
      <c r="F272" s="55"/>
      <c r="G272" s="56"/>
      <c r="H272" s="76"/>
      <c r="I272" s="63"/>
      <c r="J272" s="353"/>
      <c r="K272" s="216"/>
      <c r="L272" s="216"/>
      <c r="M272" s="216"/>
      <c r="N272" s="216"/>
      <c r="O272" s="216"/>
      <c r="P272" s="216"/>
      <c r="Q272" s="119"/>
      <c r="R272" s="119"/>
      <c r="S272" s="119"/>
      <c r="T272" s="216"/>
      <c r="U272" s="216"/>
      <c r="V272" s="216"/>
      <c r="W272" s="64"/>
      <c r="X272" s="64"/>
      <c r="Y272" s="65"/>
    </row>
    <row r="273" spans="1:46" s="4" customFormat="1" ht="21" customHeight="1">
      <c r="A273" s="39" t="s">
        <v>60</v>
      </c>
      <c r="B273" s="79" t="s">
        <v>16</v>
      </c>
      <c r="C273" s="819" t="s">
        <v>185</v>
      </c>
      <c r="D273" s="820"/>
      <c r="E273" s="240">
        <f>SUM(E274,E279,E291)</f>
        <v>56398</v>
      </c>
      <c r="F273" s="240">
        <f>SUM(F274,F279,F291)</f>
        <v>53358</v>
      </c>
      <c r="G273" s="241">
        <f>F273-E273</f>
        <v>-3040</v>
      </c>
      <c r="H273" s="242">
        <f>IF(E273=0,0,G273/E273)</f>
        <v>-5.3902620660307106E-2</v>
      </c>
      <c r="I273" s="243" t="s">
        <v>186</v>
      </c>
      <c r="J273" s="244"/>
      <c r="K273" s="245"/>
      <c r="L273" s="245"/>
      <c r="M273" s="244"/>
      <c r="N273" s="244"/>
      <c r="O273" s="244"/>
      <c r="P273" s="244"/>
      <c r="Q273" s="244" t="s">
        <v>61</v>
      </c>
      <c r="R273" s="246"/>
      <c r="S273" s="246"/>
      <c r="T273" s="246"/>
      <c r="U273" s="246"/>
      <c r="V273" s="246"/>
      <c r="W273" s="246"/>
      <c r="X273" s="256">
        <f>SUM(X274,X279,X291)</f>
        <v>53358000</v>
      </c>
      <c r="Y273" s="262" t="s">
        <v>56</v>
      </c>
      <c r="Z273" s="249"/>
      <c r="AA273" s="249"/>
      <c r="AB273" s="250"/>
      <c r="AC273" s="251"/>
      <c r="AD273" s="252"/>
      <c r="AE273" s="253"/>
      <c r="AF273" s="254"/>
      <c r="AG273" s="254"/>
      <c r="AH273" s="253"/>
      <c r="AI273" s="253"/>
      <c r="AJ273" s="253"/>
      <c r="AK273" s="253"/>
      <c r="AL273" s="253"/>
      <c r="AM273" s="252"/>
      <c r="AN273" s="252"/>
      <c r="AO273" s="252"/>
      <c r="AP273" s="252"/>
      <c r="AQ273" s="252"/>
      <c r="AR273" s="252"/>
      <c r="AS273" s="255"/>
      <c r="AT273" s="253"/>
    </row>
    <row r="274" spans="1:46" ht="21" customHeight="1">
      <c r="A274" s="39"/>
      <c r="B274" s="88"/>
      <c r="C274" s="30" t="s">
        <v>176</v>
      </c>
      <c r="D274" s="445" t="s">
        <v>139</v>
      </c>
      <c r="E274" s="211">
        <f>E275</f>
        <v>0</v>
      </c>
      <c r="F274" s="211">
        <f>F275</f>
        <v>2400</v>
      </c>
      <c r="G274" s="212">
        <f>F274-E274</f>
        <v>2400</v>
      </c>
      <c r="H274" s="213">
        <f>IF(E274=0,0,G274/E274)</f>
        <v>0</v>
      </c>
      <c r="I274" s="196" t="s">
        <v>180</v>
      </c>
      <c r="J274" s="197"/>
      <c r="K274" s="198"/>
      <c r="L274" s="198"/>
      <c r="M274" s="198"/>
      <c r="N274" s="198"/>
      <c r="O274" s="198"/>
      <c r="P274" s="199"/>
      <c r="Q274" s="199"/>
      <c r="R274" s="199"/>
      <c r="S274" s="199"/>
      <c r="T274" s="199"/>
      <c r="U274" s="199"/>
      <c r="V274" s="226" t="s">
        <v>62</v>
      </c>
      <c r="W274" s="227"/>
      <c r="X274" s="228">
        <f>SUM(X275:X275)</f>
        <v>2400000</v>
      </c>
      <c r="Y274" s="259" t="s">
        <v>56</v>
      </c>
    </row>
    <row r="275" spans="1:46" s="10" customFormat="1" ht="19.5" customHeight="1">
      <c r="A275" s="54"/>
      <c r="B275" s="90"/>
      <c r="C275" s="40" t="s">
        <v>177</v>
      </c>
      <c r="D275" s="30" t="s">
        <v>339</v>
      </c>
      <c r="E275" s="31">
        <v>0</v>
      </c>
      <c r="F275" s="42">
        <f>ROUND(X275/1000,0)</f>
        <v>2400</v>
      </c>
      <c r="G275" s="32">
        <f>F275-E275</f>
        <v>2400</v>
      </c>
      <c r="H275" s="33">
        <f>IF(E275=0,0,G275/E275)</f>
        <v>0</v>
      </c>
      <c r="I275" s="132" t="s">
        <v>180</v>
      </c>
      <c r="J275" s="151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16" t="s">
        <v>62</v>
      </c>
      <c r="W275" s="816"/>
      <c r="X275" s="134">
        <f>ROUNDUP(SUM(W276:X278),-3)</f>
        <v>2400000</v>
      </c>
      <c r="Y275" s="135" t="s">
        <v>56</v>
      </c>
    </row>
    <row r="276" spans="1:46" s="10" customFormat="1" ht="19.5" customHeight="1">
      <c r="A276" s="54"/>
      <c r="B276" s="90"/>
      <c r="C276" s="40"/>
      <c r="D276" s="40"/>
      <c r="E276" s="42"/>
      <c r="F276" s="42"/>
      <c r="G276" s="43"/>
      <c r="H276" s="25"/>
      <c r="I276" s="277" t="s">
        <v>913</v>
      </c>
      <c r="J276" s="760"/>
      <c r="K276" s="759"/>
      <c r="L276" s="759"/>
      <c r="M276" s="759"/>
      <c r="N276" s="759"/>
      <c r="O276" s="759"/>
      <c r="P276" s="759"/>
      <c r="Q276" s="759"/>
      <c r="R276" s="759"/>
      <c r="S276" s="759"/>
      <c r="T276" s="759"/>
      <c r="U276" s="759"/>
      <c r="V276" s="757"/>
      <c r="W276" s="757"/>
      <c r="X276" s="518">
        <v>2400000</v>
      </c>
      <c r="Y276" s="125" t="s">
        <v>56</v>
      </c>
    </row>
    <row r="277" spans="1:46" s="10" customFormat="1" ht="19.5" customHeight="1">
      <c r="A277" s="54"/>
      <c r="B277" s="90"/>
      <c r="C277" s="40"/>
      <c r="D277" s="40"/>
      <c r="E277" s="42"/>
      <c r="F277" s="42"/>
      <c r="G277" s="43"/>
      <c r="H277" s="25"/>
      <c r="I277" s="277"/>
      <c r="J277" s="724"/>
      <c r="K277" s="723"/>
      <c r="L277" s="723"/>
      <c r="M277" s="723"/>
      <c r="N277" s="723"/>
      <c r="O277" s="723"/>
      <c r="P277" s="723"/>
      <c r="Q277" s="723"/>
      <c r="R277" s="723"/>
      <c r="S277" s="723"/>
      <c r="T277" s="723"/>
      <c r="U277" s="723"/>
      <c r="V277" s="721"/>
      <c r="W277" s="721"/>
      <c r="X277" s="722"/>
      <c r="Y277" s="125" t="s">
        <v>769</v>
      </c>
    </row>
    <row r="278" spans="1:46" s="10" customFormat="1" ht="19.5" customHeight="1">
      <c r="A278" s="54"/>
      <c r="B278" s="82"/>
      <c r="C278" s="40"/>
      <c r="D278" s="40"/>
      <c r="E278" s="42"/>
      <c r="F278" s="42"/>
      <c r="G278" s="43"/>
      <c r="H278" s="25"/>
      <c r="I278" s="277"/>
      <c r="J278" s="724"/>
      <c r="K278" s="723"/>
      <c r="L278" s="723"/>
      <c r="M278" s="723"/>
      <c r="N278" s="721"/>
      <c r="O278" s="381"/>
      <c r="P278" s="384"/>
      <c r="Q278" s="381"/>
      <c r="R278" s="385"/>
      <c r="S278" s="68"/>
      <c r="T278" s="68"/>
      <c r="U278" s="721"/>
      <c r="V278" s="723"/>
      <c r="W278" s="722"/>
      <c r="X278" s="722"/>
      <c r="Y278" s="125"/>
    </row>
    <row r="279" spans="1:46" s="10" customFormat="1" ht="19.5" customHeight="1">
      <c r="A279" s="54"/>
      <c r="B279" s="82"/>
      <c r="C279" s="30" t="s">
        <v>178</v>
      </c>
      <c r="D279" s="445" t="s">
        <v>139</v>
      </c>
      <c r="E279" s="211">
        <f>E280</f>
        <v>320</v>
      </c>
      <c r="F279" s="211">
        <f>F280</f>
        <v>320</v>
      </c>
      <c r="G279" s="212">
        <f>F279-E279</f>
        <v>0</v>
      </c>
      <c r="H279" s="213">
        <f>IF(E279=0,0,G279/E279)</f>
        <v>0</v>
      </c>
      <c r="I279" s="196" t="s">
        <v>181</v>
      </c>
      <c r="J279" s="197"/>
      <c r="K279" s="198"/>
      <c r="L279" s="198"/>
      <c r="M279" s="198"/>
      <c r="N279" s="198"/>
      <c r="O279" s="198"/>
      <c r="P279" s="199"/>
      <c r="Q279" s="199"/>
      <c r="R279" s="199"/>
      <c r="S279" s="199"/>
      <c r="T279" s="199"/>
      <c r="U279" s="199"/>
      <c r="V279" s="226" t="s">
        <v>62</v>
      </c>
      <c r="W279" s="227"/>
      <c r="X279" s="227">
        <f>SUM(X280:X280)</f>
        <v>320000</v>
      </c>
      <c r="Y279" s="259" t="s">
        <v>56</v>
      </c>
    </row>
    <row r="280" spans="1:46" s="10" customFormat="1" ht="19.5" customHeight="1">
      <c r="A280" s="54"/>
      <c r="B280" s="82"/>
      <c r="C280" s="40" t="s">
        <v>179</v>
      </c>
      <c r="D280" s="40" t="s">
        <v>338</v>
      </c>
      <c r="E280" s="42">
        <v>320</v>
      </c>
      <c r="F280" s="42">
        <f>ROUND(X280/1000,0)</f>
        <v>320</v>
      </c>
      <c r="G280" s="32">
        <f>F280-E280</f>
        <v>0</v>
      </c>
      <c r="H280" s="33">
        <f>IF(E280=0,0,G280/E280)</f>
        <v>0</v>
      </c>
      <c r="I280" s="132" t="s">
        <v>337</v>
      </c>
      <c r="J280" s="151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16"/>
      <c r="W280" s="816"/>
      <c r="X280" s="134">
        <f>ROUND(SUM(W281:X289),-3)</f>
        <v>320000</v>
      </c>
      <c r="Y280" s="135" t="s">
        <v>56</v>
      </c>
    </row>
    <row r="281" spans="1:46" s="10" customFormat="1" ht="19.5" customHeight="1">
      <c r="A281" s="54"/>
      <c r="B281" s="82"/>
      <c r="C281" s="40" t="s">
        <v>167</v>
      </c>
      <c r="D281" s="40" t="s">
        <v>336</v>
      </c>
      <c r="E281" s="42"/>
      <c r="F281" s="42"/>
      <c r="G281" s="43"/>
      <c r="H281" s="62"/>
      <c r="I281" s="59" t="s">
        <v>335</v>
      </c>
      <c r="J281" s="288"/>
      <c r="K281" s="287"/>
      <c r="L281" s="287"/>
      <c r="M281" s="287"/>
      <c r="N281" s="287"/>
      <c r="O281" s="287"/>
      <c r="P281" s="287"/>
      <c r="Q281" s="48"/>
      <c r="R281" s="48"/>
      <c r="S281" s="48"/>
      <c r="T281" s="287"/>
      <c r="U281" s="287"/>
      <c r="V281" s="287"/>
      <c r="W281" s="60"/>
      <c r="X281" s="60">
        <v>200000</v>
      </c>
      <c r="Y281" s="51" t="s">
        <v>56</v>
      </c>
    </row>
    <row r="282" spans="1:46" s="10" customFormat="1" ht="19.5" customHeight="1">
      <c r="A282" s="54"/>
      <c r="B282" s="82"/>
      <c r="C282" s="40"/>
      <c r="D282" s="40"/>
      <c r="E282" s="42"/>
      <c r="F282" s="42"/>
      <c r="G282" s="43"/>
      <c r="H282" s="62"/>
      <c r="I282" s="59" t="s">
        <v>334</v>
      </c>
      <c r="J282" s="288"/>
      <c r="K282" s="287"/>
      <c r="L282" s="287"/>
      <c r="M282" s="287"/>
      <c r="N282" s="287"/>
      <c r="O282" s="287"/>
      <c r="P282" s="287"/>
      <c r="Q282" s="48"/>
      <c r="R282" s="48"/>
      <c r="S282" s="48"/>
      <c r="T282" s="287"/>
      <c r="U282" s="287"/>
      <c r="V282" s="287"/>
      <c r="W282" s="60"/>
      <c r="X282" s="60">
        <v>5000</v>
      </c>
      <c r="Y282" s="51" t="s">
        <v>56</v>
      </c>
    </row>
    <row r="283" spans="1:46" s="10" customFormat="1" ht="19.5" customHeight="1">
      <c r="A283" s="54"/>
      <c r="B283" s="82"/>
      <c r="C283" s="40"/>
      <c r="D283" s="40"/>
      <c r="E283" s="42"/>
      <c r="F283" s="42"/>
      <c r="G283" s="43"/>
      <c r="H283" s="62"/>
      <c r="I283" s="59" t="s">
        <v>333</v>
      </c>
      <c r="J283" s="288"/>
      <c r="K283" s="287"/>
      <c r="L283" s="287"/>
      <c r="M283" s="287"/>
      <c r="N283" s="287"/>
      <c r="O283" s="287"/>
      <c r="P283" s="287"/>
      <c r="Q283" s="48"/>
      <c r="R283" s="48"/>
      <c r="S283" s="48"/>
      <c r="T283" s="287"/>
      <c r="U283" s="287"/>
      <c r="V283" s="287"/>
      <c r="W283" s="60"/>
      <c r="X283" s="60">
        <v>5000</v>
      </c>
      <c r="Y283" s="51" t="s">
        <v>56</v>
      </c>
    </row>
    <row r="284" spans="1:46" s="10" customFormat="1" ht="19.5" customHeight="1">
      <c r="A284" s="54"/>
      <c r="B284" s="82"/>
      <c r="C284" s="40"/>
      <c r="D284" s="40"/>
      <c r="E284" s="42"/>
      <c r="F284" s="42"/>
      <c r="G284" s="43"/>
      <c r="H284" s="62"/>
      <c r="I284" s="59" t="s">
        <v>332</v>
      </c>
      <c r="J284" s="288"/>
      <c r="K284" s="287"/>
      <c r="L284" s="287"/>
      <c r="M284" s="287"/>
      <c r="N284" s="287"/>
      <c r="O284" s="287"/>
      <c r="P284" s="287"/>
      <c r="Q284" s="48"/>
      <c r="R284" s="48"/>
      <c r="S284" s="48"/>
      <c r="T284" s="287"/>
      <c r="U284" s="287"/>
      <c r="V284" s="287"/>
      <c r="W284" s="60"/>
      <c r="X284" s="60">
        <v>25000</v>
      </c>
      <c r="Y284" s="51" t="s">
        <v>56</v>
      </c>
    </row>
    <row r="285" spans="1:46" s="10" customFormat="1" ht="19.5" customHeight="1">
      <c r="A285" s="54"/>
      <c r="B285" s="82"/>
      <c r="C285" s="40"/>
      <c r="D285" s="40"/>
      <c r="E285" s="42"/>
      <c r="F285" s="42"/>
      <c r="G285" s="43"/>
      <c r="H285" s="62"/>
      <c r="I285" s="59" t="s">
        <v>900</v>
      </c>
      <c r="J285" s="288"/>
      <c r="K285" s="287"/>
      <c r="L285" s="287"/>
      <c r="M285" s="287"/>
      <c r="N285" s="287"/>
      <c r="O285" s="287"/>
      <c r="P285" s="287"/>
      <c r="Q285" s="48"/>
      <c r="R285" s="48"/>
      <c r="S285" s="48"/>
      <c r="T285" s="287"/>
      <c r="U285" s="287"/>
      <c r="V285" s="287"/>
      <c r="W285" s="60"/>
      <c r="X285" s="60">
        <v>5000</v>
      </c>
      <c r="Y285" s="51" t="s">
        <v>56</v>
      </c>
    </row>
    <row r="286" spans="1:46" s="10" customFormat="1" ht="19.5" customHeight="1">
      <c r="A286" s="54"/>
      <c r="B286" s="82"/>
      <c r="C286" s="40"/>
      <c r="D286" s="40"/>
      <c r="E286" s="42"/>
      <c r="F286" s="42"/>
      <c r="G286" s="43"/>
      <c r="H286" s="62"/>
      <c r="I286" s="59" t="s">
        <v>193</v>
      </c>
      <c r="J286" s="288"/>
      <c r="K286" s="287"/>
      <c r="L286" s="287"/>
      <c r="M286" s="287"/>
      <c r="N286" s="287"/>
      <c r="O286" s="287"/>
      <c r="P286" s="287"/>
      <c r="Q286" s="48"/>
      <c r="R286" s="48"/>
      <c r="S286" s="48"/>
      <c r="T286" s="287"/>
      <c r="U286" s="287"/>
      <c r="V286" s="287"/>
      <c r="W286" s="60"/>
      <c r="X286" s="60">
        <v>25000</v>
      </c>
      <c r="Y286" s="51" t="s">
        <v>56</v>
      </c>
    </row>
    <row r="287" spans="1:46" s="10" customFormat="1" ht="19.5" customHeight="1">
      <c r="A287" s="54"/>
      <c r="B287" s="82"/>
      <c r="C287" s="40"/>
      <c r="D287" s="40"/>
      <c r="E287" s="42"/>
      <c r="F287" s="42"/>
      <c r="G287" s="43"/>
      <c r="H287" s="62"/>
      <c r="I287" s="59" t="s">
        <v>331</v>
      </c>
      <c r="J287" s="288"/>
      <c r="K287" s="287"/>
      <c r="L287" s="287"/>
      <c r="M287" s="287"/>
      <c r="N287" s="287"/>
      <c r="O287" s="287"/>
      <c r="P287" s="287"/>
      <c r="Q287" s="48"/>
      <c r="R287" s="48"/>
      <c r="S287" s="48"/>
      <c r="T287" s="287"/>
      <c r="U287" s="287"/>
      <c r="V287" s="287"/>
      <c r="W287" s="60"/>
      <c r="X287" s="60">
        <v>40000</v>
      </c>
      <c r="Y287" s="51" t="s">
        <v>56</v>
      </c>
    </row>
    <row r="288" spans="1:46" s="10" customFormat="1" ht="19.5" customHeight="1">
      <c r="A288" s="54"/>
      <c r="B288" s="82"/>
      <c r="C288" s="40"/>
      <c r="D288" s="40"/>
      <c r="E288" s="42"/>
      <c r="F288" s="42"/>
      <c r="G288" s="43"/>
      <c r="H288" s="62"/>
      <c r="I288" s="59" t="s">
        <v>195</v>
      </c>
      <c r="J288" s="288"/>
      <c r="K288" s="287"/>
      <c r="L288" s="287"/>
      <c r="M288" s="287"/>
      <c r="N288" s="287"/>
      <c r="O288" s="287"/>
      <c r="P288" s="287"/>
      <c r="Q288" s="48"/>
      <c r="R288" s="48"/>
      <c r="S288" s="48"/>
      <c r="T288" s="287"/>
      <c r="U288" s="287"/>
      <c r="V288" s="287"/>
      <c r="W288" s="60"/>
      <c r="X288" s="60">
        <v>5000</v>
      </c>
      <c r="Y288" s="51" t="s">
        <v>56</v>
      </c>
    </row>
    <row r="289" spans="1:25" s="10" customFormat="1" ht="19.5" customHeight="1">
      <c r="A289" s="54"/>
      <c r="B289" s="82"/>
      <c r="C289" s="40"/>
      <c r="D289" s="40"/>
      <c r="E289" s="42"/>
      <c r="F289" s="42"/>
      <c r="G289" s="43"/>
      <c r="H289" s="62"/>
      <c r="I289" s="59" t="s">
        <v>196</v>
      </c>
      <c r="J289" s="288"/>
      <c r="K289" s="287"/>
      <c r="L289" s="287"/>
      <c r="M289" s="287"/>
      <c r="N289" s="287"/>
      <c r="O289" s="287"/>
      <c r="P289" s="287"/>
      <c r="Q289" s="48"/>
      <c r="R289" s="48"/>
      <c r="S289" s="48"/>
      <c r="T289" s="287"/>
      <c r="U289" s="287"/>
      <c r="V289" s="287"/>
      <c r="W289" s="60"/>
      <c r="X289" s="60">
        <v>10000</v>
      </c>
      <c r="Y289" s="51" t="s">
        <v>56</v>
      </c>
    </row>
    <row r="290" spans="1:25" s="10" customFormat="1" ht="19.5" customHeight="1">
      <c r="A290" s="54"/>
      <c r="B290" s="82"/>
      <c r="C290" s="40"/>
      <c r="D290" s="40"/>
      <c r="E290" s="42"/>
      <c r="F290" s="42"/>
      <c r="G290" s="43"/>
      <c r="H290" s="62"/>
      <c r="I290" s="59"/>
      <c r="J290" s="288"/>
      <c r="K290" s="287"/>
      <c r="L290" s="287"/>
      <c r="M290" s="287"/>
      <c r="N290" s="287"/>
      <c r="O290" s="287"/>
      <c r="P290" s="287"/>
      <c r="Q290" s="48"/>
      <c r="R290" s="48"/>
      <c r="S290" s="48"/>
      <c r="T290" s="287"/>
      <c r="U290" s="287"/>
      <c r="V290" s="287"/>
      <c r="W290" s="60"/>
      <c r="X290" s="60"/>
      <c r="Y290" s="51"/>
    </row>
    <row r="291" spans="1:25" s="10" customFormat="1" ht="19.5" customHeight="1">
      <c r="A291" s="54"/>
      <c r="B291" s="82"/>
      <c r="C291" s="30" t="s">
        <v>168</v>
      </c>
      <c r="D291" s="445" t="s">
        <v>139</v>
      </c>
      <c r="E291" s="211">
        <f>SUM(E292,E298)</f>
        <v>56078</v>
      </c>
      <c r="F291" s="211">
        <f>SUM(F292,F298)</f>
        <v>50638</v>
      </c>
      <c r="G291" s="212">
        <f>F291-E291</f>
        <v>-5440</v>
      </c>
      <c r="H291" s="213">
        <f>IF(E291=0,0,G291/E291)</f>
        <v>-9.7007739220371619E-2</v>
      </c>
      <c r="I291" s="196" t="s">
        <v>184</v>
      </c>
      <c r="J291" s="197"/>
      <c r="K291" s="198"/>
      <c r="L291" s="198"/>
      <c r="M291" s="198"/>
      <c r="N291" s="198"/>
      <c r="O291" s="198"/>
      <c r="P291" s="199"/>
      <c r="Q291" s="199"/>
      <c r="R291" s="199"/>
      <c r="S291" s="199"/>
      <c r="T291" s="199"/>
      <c r="U291" s="199"/>
      <c r="V291" s="226" t="s">
        <v>62</v>
      </c>
      <c r="W291" s="227"/>
      <c r="X291" s="227">
        <f>SUM(X292,X298)</f>
        <v>50638000</v>
      </c>
      <c r="Y291" s="259" t="s">
        <v>56</v>
      </c>
    </row>
    <row r="292" spans="1:25" s="10" customFormat="1" ht="19.5" customHeight="1">
      <c r="A292" s="54"/>
      <c r="B292" s="82"/>
      <c r="C292" s="40" t="s">
        <v>60</v>
      </c>
      <c r="D292" s="40" t="s">
        <v>645</v>
      </c>
      <c r="E292" s="42">
        <v>54000</v>
      </c>
      <c r="F292" s="42">
        <f>ROUND(X292/1000,0)</f>
        <v>48960</v>
      </c>
      <c r="G292" s="32">
        <f>F292-E292</f>
        <v>-5040</v>
      </c>
      <c r="H292" s="33">
        <f>IF(E292=0,0,G292/E292)</f>
        <v>-9.3333333333333338E-2</v>
      </c>
      <c r="I292" s="132" t="s">
        <v>184</v>
      </c>
      <c r="J292" s="151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16"/>
      <c r="W292" s="816"/>
      <c r="X292" s="134">
        <f>ROUNDUP(SUM(W293:X297),-3)</f>
        <v>48960000</v>
      </c>
      <c r="Y292" s="135" t="s">
        <v>56</v>
      </c>
    </row>
    <row r="293" spans="1:25" s="10" customFormat="1" ht="19.5" customHeight="1">
      <c r="A293" s="54"/>
      <c r="B293" s="82"/>
      <c r="C293" s="40"/>
      <c r="D293" s="40"/>
      <c r="E293" s="42"/>
      <c r="F293" s="42"/>
      <c r="G293" s="43"/>
      <c r="H293" s="25"/>
      <c r="I293" s="277" t="s">
        <v>590</v>
      </c>
      <c r="J293" s="559"/>
      <c r="K293" s="559"/>
      <c r="L293" s="559"/>
      <c r="M293" s="559">
        <v>60000</v>
      </c>
      <c r="N293" s="559" t="s">
        <v>589</v>
      </c>
      <c r="O293" s="560" t="s">
        <v>591</v>
      </c>
      <c r="P293" s="559">
        <v>39</v>
      </c>
      <c r="Q293" s="560" t="s">
        <v>592</v>
      </c>
      <c r="R293" s="560" t="s">
        <v>591</v>
      </c>
      <c r="S293" s="559">
        <v>12</v>
      </c>
      <c r="T293" s="559" t="s">
        <v>593</v>
      </c>
      <c r="U293" s="543" t="s">
        <v>594</v>
      </c>
      <c r="V293" s="543"/>
      <c r="W293" s="560"/>
      <c r="X293" s="559">
        <f>ROUND(M293*P293*S293,-3)</f>
        <v>28080000</v>
      </c>
      <c r="Y293" s="125" t="s">
        <v>589</v>
      </c>
    </row>
    <row r="294" spans="1:25" s="10" customFormat="1" ht="19.5" customHeight="1">
      <c r="A294" s="54"/>
      <c r="B294" s="82"/>
      <c r="C294" s="40"/>
      <c r="D294" s="40"/>
      <c r="E294" s="42"/>
      <c r="F294" s="42"/>
      <c r="G294" s="43"/>
      <c r="H294" s="25"/>
      <c r="I294" s="277"/>
      <c r="J294" s="559"/>
      <c r="K294" s="559"/>
      <c r="L294" s="559"/>
      <c r="M294" s="559"/>
      <c r="N294" s="559"/>
      <c r="O294" s="560"/>
      <c r="P294" s="559"/>
      <c r="Q294" s="560"/>
      <c r="R294" s="560"/>
      <c r="S294" s="559"/>
      <c r="T294" s="559"/>
      <c r="U294" s="543"/>
      <c r="V294" s="543"/>
      <c r="W294" s="560"/>
      <c r="X294" s="559"/>
      <c r="Y294" s="125"/>
    </row>
    <row r="295" spans="1:25" s="10" customFormat="1" ht="19.5" customHeight="1">
      <c r="A295" s="54"/>
      <c r="B295" s="82"/>
      <c r="C295" s="40"/>
      <c r="D295" s="40"/>
      <c r="E295" s="42"/>
      <c r="F295" s="42"/>
      <c r="G295" s="43"/>
      <c r="H295" s="25"/>
      <c r="I295" s="277" t="s">
        <v>595</v>
      </c>
      <c r="J295" s="559"/>
      <c r="K295" s="559"/>
      <c r="L295" s="559"/>
      <c r="M295" s="559">
        <v>60000</v>
      </c>
      <c r="N295" s="559" t="s">
        <v>589</v>
      </c>
      <c r="O295" s="560" t="s">
        <v>591</v>
      </c>
      <c r="P295" s="559">
        <v>10</v>
      </c>
      <c r="Q295" s="562" t="s">
        <v>55</v>
      </c>
      <c r="R295" s="560" t="s">
        <v>591</v>
      </c>
      <c r="S295" s="559">
        <v>12</v>
      </c>
      <c r="T295" s="562" t="s">
        <v>598</v>
      </c>
      <c r="U295" s="543" t="s">
        <v>594</v>
      </c>
      <c r="V295" s="543"/>
      <c r="W295" s="560"/>
      <c r="X295" s="562">
        <f>ROUND(M295*P295*S295,-3)</f>
        <v>7200000</v>
      </c>
      <c r="Y295" s="125" t="s">
        <v>589</v>
      </c>
    </row>
    <row r="296" spans="1:25" s="10" customFormat="1" ht="19.5" customHeight="1">
      <c r="A296" s="54"/>
      <c r="B296" s="82"/>
      <c r="C296" s="40"/>
      <c r="D296" s="40"/>
      <c r="E296" s="42"/>
      <c r="F296" s="42"/>
      <c r="G296" s="43"/>
      <c r="H296" s="25"/>
      <c r="I296" s="277"/>
      <c r="J296" s="559"/>
      <c r="K296" s="559"/>
      <c r="L296" s="559"/>
      <c r="M296" s="559">
        <v>60000</v>
      </c>
      <c r="N296" s="559" t="s">
        <v>589</v>
      </c>
      <c r="O296" s="560" t="s">
        <v>591</v>
      </c>
      <c r="P296" s="559">
        <v>21</v>
      </c>
      <c r="Q296" s="560" t="s">
        <v>592</v>
      </c>
      <c r="R296" s="560" t="s">
        <v>591</v>
      </c>
      <c r="S296" s="370">
        <v>8</v>
      </c>
      <c r="T296" s="370" t="s">
        <v>914</v>
      </c>
      <c r="U296" s="543" t="s">
        <v>594</v>
      </c>
      <c r="V296" s="543"/>
      <c r="W296" s="560"/>
      <c r="X296" s="370">
        <f>ROUND(M296*P296*S296,-3)</f>
        <v>10080000</v>
      </c>
      <c r="Y296" s="125" t="s">
        <v>589</v>
      </c>
    </row>
    <row r="297" spans="1:25" s="10" customFormat="1" ht="19.5" customHeight="1">
      <c r="A297" s="54"/>
      <c r="B297" s="82"/>
      <c r="C297" s="40"/>
      <c r="D297" s="53"/>
      <c r="E297" s="55"/>
      <c r="F297" s="55"/>
      <c r="G297" s="43"/>
      <c r="H297" s="25"/>
      <c r="I297" s="277" t="s">
        <v>779</v>
      </c>
      <c r="J297" s="723"/>
      <c r="K297" s="723"/>
      <c r="L297" s="723"/>
      <c r="M297" s="723">
        <v>300000</v>
      </c>
      <c r="N297" s="723" t="s">
        <v>769</v>
      </c>
      <c r="O297" s="724" t="s">
        <v>770</v>
      </c>
      <c r="P297" s="723">
        <v>12</v>
      </c>
      <c r="Q297" s="724" t="s">
        <v>772</v>
      </c>
      <c r="R297" s="724"/>
      <c r="S297" s="723"/>
      <c r="T297" s="723"/>
      <c r="U297" s="721" t="s">
        <v>773</v>
      </c>
      <c r="V297" s="721"/>
      <c r="W297" s="724"/>
      <c r="X297" s="723">
        <f>M297*P297</f>
        <v>3600000</v>
      </c>
      <c r="Y297" s="125" t="s">
        <v>769</v>
      </c>
    </row>
    <row r="298" spans="1:25" s="10" customFormat="1" ht="19.5" customHeight="1">
      <c r="A298" s="54"/>
      <c r="B298" s="82"/>
      <c r="C298" s="40"/>
      <c r="D298" s="575" t="s">
        <v>675</v>
      </c>
      <c r="E298" s="497">
        <v>2078</v>
      </c>
      <c r="F298" s="497">
        <f>ROUND(X298/1000,0)</f>
        <v>1678</v>
      </c>
      <c r="G298" s="603">
        <f>F298-E298</f>
        <v>-400</v>
      </c>
      <c r="H298" s="604">
        <f>IF(E298=0,0,G298/E298)</f>
        <v>-0.19249278152069296</v>
      </c>
      <c r="I298" s="279" t="s">
        <v>676</v>
      </c>
      <c r="J298" s="301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815"/>
      <c r="W298" s="815"/>
      <c r="X298" s="437">
        <f>ROUNDUP(SUM(W299:X308),-3)</f>
        <v>1678000</v>
      </c>
      <c r="Y298" s="438" t="s">
        <v>673</v>
      </c>
    </row>
    <row r="299" spans="1:25" s="10" customFormat="1" ht="19.5" customHeight="1">
      <c r="A299" s="54"/>
      <c r="B299" s="82"/>
      <c r="C299" s="40"/>
      <c r="D299" s="575"/>
      <c r="E299" s="497"/>
      <c r="F299" s="497"/>
      <c r="G299" s="601"/>
      <c r="H299" s="602"/>
      <c r="I299" s="277" t="s">
        <v>780</v>
      </c>
      <c r="J299" s="723"/>
      <c r="K299" s="723"/>
      <c r="L299" s="723"/>
      <c r="M299" s="723">
        <v>100000</v>
      </c>
      <c r="N299" s="723" t="s">
        <v>769</v>
      </c>
      <c r="O299" s="724" t="s">
        <v>770</v>
      </c>
      <c r="P299" s="370">
        <v>10</v>
      </c>
      <c r="Q299" s="724" t="s">
        <v>771</v>
      </c>
      <c r="R299" s="724"/>
      <c r="S299" s="723"/>
      <c r="T299" s="723"/>
      <c r="U299" s="721" t="s">
        <v>773</v>
      </c>
      <c r="V299" s="721"/>
      <c r="W299" s="724"/>
      <c r="X299" s="370">
        <f>ROUND(M299*P299,-3)</f>
        <v>1000000</v>
      </c>
      <c r="Y299" s="125" t="s">
        <v>769</v>
      </c>
    </row>
    <row r="300" spans="1:25" s="10" customFormat="1" ht="19.5" customHeight="1">
      <c r="A300" s="54"/>
      <c r="B300" s="82"/>
      <c r="C300" s="40"/>
      <c r="D300" s="575"/>
      <c r="E300" s="497"/>
      <c r="F300" s="497"/>
      <c r="G300" s="601"/>
      <c r="H300" s="602"/>
      <c r="I300" s="277" t="s">
        <v>781</v>
      </c>
      <c r="J300" s="723"/>
      <c r="K300" s="723"/>
      <c r="L300" s="723"/>
      <c r="M300" s="723"/>
      <c r="N300" s="723"/>
      <c r="O300" s="724"/>
      <c r="P300" s="723"/>
      <c r="Q300" s="724"/>
      <c r="R300" s="724"/>
      <c r="S300" s="723"/>
      <c r="T300" s="723"/>
      <c r="U300" s="721"/>
      <c r="V300" s="721"/>
      <c r="W300" s="724"/>
      <c r="X300" s="723">
        <v>600000</v>
      </c>
      <c r="Y300" s="125" t="s">
        <v>769</v>
      </c>
    </row>
    <row r="301" spans="1:25" s="10" customFormat="1" ht="19.5" customHeight="1" thickBot="1">
      <c r="A301" s="92"/>
      <c r="B301" s="93"/>
      <c r="C301" s="93"/>
      <c r="D301" s="605"/>
      <c r="E301" s="606"/>
      <c r="F301" s="606"/>
      <c r="G301" s="607"/>
      <c r="H301" s="608"/>
      <c r="I301" s="636" t="s">
        <v>697</v>
      </c>
      <c r="J301" s="406"/>
      <c r="K301" s="406"/>
      <c r="L301" s="406"/>
      <c r="M301" s="406"/>
      <c r="N301" s="406"/>
      <c r="O301" s="405"/>
      <c r="P301" s="406"/>
      <c r="Q301" s="405"/>
      <c r="R301" s="405"/>
      <c r="S301" s="406"/>
      <c r="T301" s="406"/>
      <c r="U301" s="637"/>
      <c r="V301" s="637"/>
      <c r="W301" s="405"/>
      <c r="X301" s="406">
        <v>78000</v>
      </c>
      <c r="Y301" s="407" t="s">
        <v>686</v>
      </c>
    </row>
  </sheetData>
  <mergeCells count="46"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  <mergeCell ref="C248:D248"/>
    <mergeCell ref="V253:W253"/>
    <mergeCell ref="C273:D273"/>
    <mergeCell ref="V275:W275"/>
    <mergeCell ref="F2:F3"/>
    <mergeCell ref="C12:D12"/>
    <mergeCell ref="C171:D171"/>
    <mergeCell ref="C192:D192"/>
    <mergeCell ref="V194:W194"/>
    <mergeCell ref="C199:D199"/>
    <mergeCell ref="V146:W146"/>
    <mergeCell ref="V147:W147"/>
    <mergeCell ref="V148:W148"/>
    <mergeCell ref="V128:W128"/>
    <mergeCell ref="V129:W129"/>
    <mergeCell ref="V52:W52"/>
    <mergeCell ref="V53:W53"/>
    <mergeCell ref="V292:W292"/>
    <mergeCell ref="V183:W183"/>
    <mergeCell ref="V116:W116"/>
    <mergeCell ref="V117:W117"/>
    <mergeCell ref="V64:W64"/>
    <mergeCell ref="V65:W65"/>
    <mergeCell ref="V85:W85"/>
    <mergeCell ref="V86:W86"/>
    <mergeCell ref="V87:W87"/>
    <mergeCell ref="V280:W280"/>
    <mergeCell ref="V188:W188"/>
    <mergeCell ref="V242:W242"/>
    <mergeCell ref="V115:W115"/>
    <mergeCell ref="V256:W256"/>
    <mergeCell ref="V298:W298"/>
    <mergeCell ref="V260:W260"/>
    <mergeCell ref="V173:W173"/>
    <mergeCell ref="V201:W201"/>
    <mergeCell ref="V250:W250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4"/>
  <sheetViews>
    <sheetView zoomScale="90" zoomScaleNormal="90" workbookViewId="0">
      <pane xSplit="3" ySplit="5" topLeftCell="D321" activePane="bottomRight" state="frozen"/>
      <selection pane="topRight" activeCell="D1" sqref="D1"/>
      <selection pane="bottomLeft" activeCell="A6" sqref="A6"/>
      <selection pane="bottomRight" activeCell="F330" sqref="F330"/>
    </sheetView>
  </sheetViews>
  <sheetFormatPr defaultColWidth="13.77734375" defaultRowHeight="21" customHeight="1"/>
  <cols>
    <col min="1" max="1" width="5.88671875" style="17" bestFit="1" customWidth="1"/>
    <col min="2" max="2" width="7.109375" style="17" hidden="1" customWidth="1"/>
    <col min="3" max="3" width="8.5546875" style="17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10" width="7.777343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6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3.88671875" style="6" bestFit="1" customWidth="1"/>
    <col min="33" max="16384" width="13.77734375" style="4"/>
  </cols>
  <sheetData>
    <row r="1" spans="1:32" s="10" customFormat="1" ht="21" customHeight="1" thickBot="1">
      <c r="A1" s="823" t="s">
        <v>973</v>
      </c>
      <c r="B1" s="823"/>
      <c r="C1" s="823"/>
      <c r="D1" s="823"/>
      <c r="E1" s="95"/>
      <c r="F1" s="95"/>
      <c r="G1" s="95"/>
      <c r="H1" s="95"/>
      <c r="I1" s="95"/>
      <c r="J1" s="95"/>
      <c r="K1" s="95"/>
      <c r="L1" s="95"/>
      <c r="M1" s="95"/>
      <c r="N1" s="158"/>
      <c r="O1" s="57"/>
      <c r="P1" s="57"/>
      <c r="Q1" s="57"/>
      <c r="R1" s="57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6"/>
    </row>
    <row r="2" spans="1:32" s="3" customFormat="1" ht="27" customHeight="1">
      <c r="A2" s="824" t="s">
        <v>22</v>
      </c>
      <c r="B2" s="825"/>
      <c r="C2" s="825"/>
      <c r="D2" s="821" t="s">
        <v>921</v>
      </c>
      <c r="E2" s="844" t="s">
        <v>922</v>
      </c>
      <c r="F2" s="845"/>
      <c r="G2" s="845"/>
      <c r="H2" s="845"/>
      <c r="I2" s="845"/>
      <c r="J2" s="845"/>
      <c r="K2" s="845"/>
      <c r="L2" s="846"/>
      <c r="M2" s="829" t="s">
        <v>23</v>
      </c>
      <c r="N2" s="829"/>
      <c r="O2" s="837" t="s">
        <v>54</v>
      </c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9"/>
      <c r="AF2" s="780"/>
    </row>
    <row r="3" spans="1:32" s="3" customFormat="1" ht="27" customHeight="1" thickBot="1">
      <c r="A3" s="19" t="s">
        <v>1</v>
      </c>
      <c r="B3" s="20" t="s">
        <v>2</v>
      </c>
      <c r="C3" s="20" t="s">
        <v>3</v>
      </c>
      <c r="D3" s="822"/>
      <c r="E3" s="138" t="s">
        <v>121</v>
      </c>
      <c r="F3" s="169" t="s">
        <v>151</v>
      </c>
      <c r="G3" s="169" t="s">
        <v>152</v>
      </c>
      <c r="H3" s="138" t="s">
        <v>119</v>
      </c>
      <c r="I3" s="138" t="s">
        <v>59</v>
      </c>
      <c r="J3" s="138" t="s">
        <v>117</v>
      </c>
      <c r="K3" s="138" t="s">
        <v>120</v>
      </c>
      <c r="L3" s="138" t="s">
        <v>60</v>
      </c>
      <c r="M3" s="137" t="s">
        <v>122</v>
      </c>
      <c r="N3" s="96" t="s">
        <v>4</v>
      </c>
      <c r="O3" s="840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2"/>
      <c r="AF3" s="780"/>
    </row>
    <row r="4" spans="1:32" s="10" customFormat="1" ht="21" customHeight="1">
      <c r="A4" s="857" t="s">
        <v>31</v>
      </c>
      <c r="B4" s="858"/>
      <c r="C4" s="858"/>
      <c r="D4" s="305">
        <f t="shared" ref="D4:L4" si="0">SUM(D5,D169,D205,D355,D368,D371)</f>
        <v>2531631</v>
      </c>
      <c r="E4" s="305">
        <f t="shared" si="0"/>
        <v>2588369</v>
      </c>
      <c r="F4" s="305">
        <f t="shared" si="0"/>
        <v>1882148</v>
      </c>
      <c r="G4" s="305">
        <f t="shared" si="0"/>
        <v>155188</v>
      </c>
      <c r="H4" s="305">
        <f t="shared" si="0"/>
        <v>21351</v>
      </c>
      <c r="I4" s="305">
        <f t="shared" si="0"/>
        <v>268832</v>
      </c>
      <c r="J4" s="305">
        <f t="shared" si="0"/>
        <v>124026</v>
      </c>
      <c r="K4" s="305">
        <f t="shared" si="0"/>
        <v>78482</v>
      </c>
      <c r="L4" s="305">
        <f t="shared" si="0"/>
        <v>58342</v>
      </c>
      <c r="M4" s="306">
        <f>E4-D4</f>
        <v>56738</v>
      </c>
      <c r="N4" s="307">
        <f>IF(D4=0,0,M4/D4)</f>
        <v>2.2411638978982323E-2</v>
      </c>
      <c r="O4" s="308" t="s">
        <v>213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SUM(AD5,AD169,AD205,AD355,AD368,AD371)</f>
        <v>2588369000</v>
      </c>
      <c r="AE4" s="311" t="s">
        <v>25</v>
      </c>
      <c r="AF4" s="6">
        <f>SUM(AF9:AF366)</f>
        <v>2531631000</v>
      </c>
    </row>
    <row r="5" spans="1:32" s="10" customFormat="1" ht="21" customHeight="1">
      <c r="A5" s="100" t="s">
        <v>6</v>
      </c>
      <c r="B5" s="855" t="s">
        <v>7</v>
      </c>
      <c r="C5" s="856"/>
      <c r="D5" s="312">
        <f t="shared" ref="D5:L5" si="1">SUM(D6,D83,D92)</f>
        <v>2036430</v>
      </c>
      <c r="E5" s="312">
        <f t="shared" si="1"/>
        <v>1973321</v>
      </c>
      <c r="F5" s="312">
        <f t="shared" si="1"/>
        <v>1780538</v>
      </c>
      <c r="G5" s="312">
        <f t="shared" si="1"/>
        <v>140358</v>
      </c>
      <c r="H5" s="312">
        <f t="shared" si="1"/>
        <v>0</v>
      </c>
      <c r="I5" s="312">
        <f t="shared" si="1"/>
        <v>22302</v>
      </c>
      <c r="J5" s="312">
        <f t="shared" si="1"/>
        <v>0</v>
      </c>
      <c r="K5" s="312">
        <f t="shared" si="1"/>
        <v>26979</v>
      </c>
      <c r="L5" s="312">
        <f t="shared" si="1"/>
        <v>3144</v>
      </c>
      <c r="M5" s="313">
        <f>E5-D5</f>
        <v>-63109</v>
      </c>
      <c r="N5" s="314">
        <f>IF(D5=0,0,M5/D5)</f>
        <v>-3.0990016843201091E-2</v>
      </c>
      <c r="O5" s="315" t="s">
        <v>214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SUM(AD6,AD83,AD92)</f>
        <v>1973321000</v>
      </c>
      <c r="AE5" s="317" t="s">
        <v>25</v>
      </c>
      <c r="AF5" s="6"/>
    </row>
    <row r="6" spans="1:32" s="10" customFormat="1" ht="21" customHeight="1">
      <c r="A6" s="39"/>
      <c r="B6" s="30" t="s">
        <v>8</v>
      </c>
      <c r="C6" s="318" t="s">
        <v>5</v>
      </c>
      <c r="D6" s="422">
        <f t="shared" ref="D6:L6" si="2">SUM(D7,D13,D18,D32,D40,D64)</f>
        <v>1933136</v>
      </c>
      <c r="E6" s="319">
        <f t="shared" si="2"/>
        <v>1875289</v>
      </c>
      <c r="F6" s="319">
        <f t="shared" si="2"/>
        <v>1721776</v>
      </c>
      <c r="G6" s="319">
        <f t="shared" si="2"/>
        <v>136758</v>
      </c>
      <c r="H6" s="319">
        <f t="shared" si="2"/>
        <v>0</v>
      </c>
      <c r="I6" s="319">
        <f t="shared" si="2"/>
        <v>4818</v>
      </c>
      <c r="J6" s="319">
        <f t="shared" si="2"/>
        <v>0</v>
      </c>
      <c r="K6" s="319">
        <f t="shared" si="2"/>
        <v>10003</v>
      </c>
      <c r="L6" s="319">
        <f t="shared" si="2"/>
        <v>1934</v>
      </c>
      <c r="M6" s="320">
        <f>E6-D6</f>
        <v>-57847</v>
      </c>
      <c r="N6" s="321">
        <f>IF(D6=0,0,M6/D6)</f>
        <v>-2.9923916372153848E-2</v>
      </c>
      <c r="O6" s="322" t="s">
        <v>215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SUM(AD7,AD13,AD18,AD32,AD40,AD64)</f>
        <v>1875289000</v>
      </c>
      <c r="AE6" s="324" t="s">
        <v>25</v>
      </c>
      <c r="AF6" s="6"/>
    </row>
    <row r="7" spans="1:32" s="10" customFormat="1" ht="21" customHeight="1">
      <c r="A7" s="39"/>
      <c r="B7" s="40"/>
      <c r="C7" s="30" t="s">
        <v>32</v>
      </c>
      <c r="D7" s="147">
        <v>1198108</v>
      </c>
      <c r="E7" s="102">
        <f>ROUND(AD7/1000,0)</f>
        <v>1162670</v>
      </c>
      <c r="F7" s="102">
        <f>SUMIF($AB$8:$AB$12,"보조",$AD$8:$AD$12)/1000</f>
        <v>1092026</v>
      </c>
      <c r="G7" s="102">
        <f>SUMIF($AB$8:$AB$12,"7종",$AD$8:$AD$12)/1000</f>
        <v>70644</v>
      </c>
      <c r="H7" s="102">
        <f>SUMIF($AB$8:$AB$12,"4종",$AD$8:$AD$12)/1000</f>
        <v>0</v>
      </c>
      <c r="I7" s="102">
        <f>SUMIF($AB$8:$AB$12,"후원",$AD$8:$AD$12)/1000</f>
        <v>0</v>
      </c>
      <c r="J7" s="102">
        <f>SUMIF($AB$8:$AB$12,"입소",$AD$8:$AD$12)/1000</f>
        <v>0</v>
      </c>
      <c r="K7" s="102">
        <f>SUMIF($AB$8:$AB$12,"법인",$AD$8:$AD$12)/1000</f>
        <v>0</v>
      </c>
      <c r="L7" s="102">
        <f>SUMIF($AB$8:$AB$12,"잡수",$AD$8:$AD$12)/1000</f>
        <v>0</v>
      </c>
      <c r="M7" s="101">
        <f>E7-D7</f>
        <v>-35438</v>
      </c>
      <c r="N7" s="275">
        <f>IF(D7=0,0,M7/D7)</f>
        <v>-2.9578301789154233E-2</v>
      </c>
      <c r="O7" s="104" t="s">
        <v>66</v>
      </c>
      <c r="P7" s="104"/>
      <c r="Q7" s="144"/>
      <c r="R7" s="144"/>
      <c r="S7" s="144"/>
      <c r="T7" s="143"/>
      <c r="U7" s="143"/>
      <c r="V7" s="143"/>
      <c r="W7" s="91" t="s">
        <v>123</v>
      </c>
      <c r="X7" s="91"/>
      <c r="Y7" s="91"/>
      <c r="Z7" s="91"/>
      <c r="AA7" s="91"/>
      <c r="AB7" s="91"/>
      <c r="AC7" s="106"/>
      <c r="AD7" s="106">
        <f>SUM(기본급,기본급7종)</f>
        <v>1162670000</v>
      </c>
      <c r="AE7" s="107" t="s">
        <v>56</v>
      </c>
      <c r="AF7" s="6"/>
    </row>
    <row r="8" spans="1:32" s="10" customFormat="1" ht="21" customHeight="1">
      <c r="A8" s="39"/>
      <c r="B8" s="40"/>
      <c r="C8" s="40"/>
      <c r="D8" s="145"/>
      <c r="E8" s="97"/>
      <c r="F8" s="97"/>
      <c r="G8" s="97"/>
      <c r="H8" s="97"/>
      <c r="I8" s="97"/>
      <c r="J8" s="97"/>
      <c r="K8" s="97"/>
      <c r="L8" s="97"/>
      <c r="M8" s="97"/>
      <c r="N8" s="62"/>
      <c r="O8" s="144"/>
      <c r="P8" s="26"/>
      <c r="Q8" s="26"/>
      <c r="R8" s="26"/>
      <c r="S8" s="26"/>
      <c r="T8" s="27"/>
      <c r="U8" s="27"/>
      <c r="V8" s="27"/>
      <c r="W8" s="27"/>
      <c r="X8" s="27"/>
      <c r="Y8" s="27"/>
      <c r="Z8" s="27"/>
      <c r="AA8" s="27"/>
      <c r="AB8" s="27"/>
      <c r="AC8" s="46"/>
      <c r="AD8" s="46"/>
      <c r="AE8" s="28"/>
      <c r="AF8" s="6"/>
    </row>
    <row r="9" spans="1:32" s="10" customFormat="1" ht="21" customHeight="1">
      <c r="A9" s="39"/>
      <c r="B9" s="40"/>
      <c r="C9" s="40"/>
      <c r="D9" s="145"/>
      <c r="E9" s="97"/>
      <c r="F9" s="97"/>
      <c r="G9" s="97"/>
      <c r="H9" s="97"/>
      <c r="I9" s="97"/>
      <c r="J9" s="97"/>
      <c r="K9" s="97"/>
      <c r="L9" s="97"/>
      <c r="M9" s="97"/>
      <c r="N9" s="62"/>
      <c r="O9" s="367" t="s">
        <v>982</v>
      </c>
      <c r="P9" s="367"/>
      <c r="Q9" s="367"/>
      <c r="R9" s="367"/>
      <c r="S9" s="271"/>
      <c r="T9" s="269"/>
      <c r="U9" s="269"/>
      <c r="V9" s="269"/>
      <c r="W9" s="350" t="s">
        <v>222</v>
      </c>
      <c r="X9" s="350"/>
      <c r="Y9" s="350"/>
      <c r="Z9" s="350"/>
      <c r="AA9" s="350"/>
      <c r="AB9" s="350" t="s">
        <v>532</v>
      </c>
      <c r="AC9" s="351"/>
      <c r="AD9" s="351">
        <v>1092026000</v>
      </c>
      <c r="AE9" s="352" t="s">
        <v>216</v>
      </c>
      <c r="AF9" s="6">
        <v>1127048000</v>
      </c>
    </row>
    <row r="10" spans="1:32" s="10" customFormat="1" ht="21" customHeight="1">
      <c r="A10" s="39"/>
      <c r="B10" s="40"/>
      <c r="C10" s="40"/>
      <c r="D10" s="145"/>
      <c r="E10" s="97"/>
      <c r="F10" s="97"/>
      <c r="G10" s="97"/>
      <c r="H10" s="97"/>
      <c r="I10" s="97"/>
      <c r="J10" s="97"/>
      <c r="K10" s="97"/>
      <c r="L10" s="97"/>
      <c r="M10" s="97"/>
      <c r="N10" s="62"/>
      <c r="O10" s="371"/>
      <c r="P10" s="371"/>
      <c r="Q10" s="371"/>
      <c r="R10" s="371"/>
      <c r="S10" s="269"/>
      <c r="T10" s="331"/>
      <c r="U10" s="269"/>
      <c r="V10" s="269"/>
      <c r="W10" s="331"/>
      <c r="X10" s="269"/>
      <c r="Y10" s="269"/>
      <c r="Z10" s="269"/>
      <c r="AA10" s="269"/>
      <c r="AB10" s="269"/>
      <c r="AC10" s="269"/>
      <c r="AD10" s="269"/>
      <c r="AE10" s="295"/>
      <c r="AF10" s="6"/>
    </row>
    <row r="11" spans="1:32" s="10" customFormat="1" ht="21" customHeight="1">
      <c r="A11" s="39"/>
      <c r="B11" s="40"/>
      <c r="C11" s="40"/>
      <c r="D11" s="145"/>
      <c r="E11" s="97"/>
      <c r="F11" s="97"/>
      <c r="G11" s="97"/>
      <c r="H11" s="97"/>
      <c r="I11" s="97"/>
      <c r="J11" s="97"/>
      <c r="K11" s="97"/>
      <c r="L11" s="97"/>
      <c r="M11" s="97"/>
      <c r="N11" s="62"/>
      <c r="O11" s="367" t="s">
        <v>223</v>
      </c>
      <c r="P11" s="367"/>
      <c r="Q11" s="367"/>
      <c r="R11" s="367"/>
      <c r="S11" s="271"/>
      <c r="T11" s="269"/>
      <c r="U11" s="269"/>
      <c r="V11" s="269"/>
      <c r="W11" s="350" t="s">
        <v>222</v>
      </c>
      <c r="X11" s="350"/>
      <c r="Y11" s="350"/>
      <c r="Z11" s="350"/>
      <c r="AA11" s="350"/>
      <c r="AB11" s="350" t="s">
        <v>533</v>
      </c>
      <c r="AC11" s="351"/>
      <c r="AD11" s="351">
        <v>70644000</v>
      </c>
      <c r="AE11" s="352" t="s">
        <v>216</v>
      </c>
      <c r="AF11" s="6">
        <v>71060000</v>
      </c>
    </row>
    <row r="12" spans="1:32" s="10" customFormat="1" ht="21" customHeight="1">
      <c r="A12" s="39"/>
      <c r="B12" s="40"/>
      <c r="C12" s="40"/>
      <c r="D12" s="145"/>
      <c r="E12" s="97"/>
      <c r="F12" s="97"/>
      <c r="G12" s="97"/>
      <c r="H12" s="97"/>
      <c r="I12" s="97"/>
      <c r="J12" s="97"/>
      <c r="K12" s="97"/>
      <c r="L12" s="97"/>
      <c r="M12" s="97"/>
      <c r="N12" s="62"/>
      <c r="O12" s="44"/>
      <c r="P12" s="44"/>
      <c r="Q12" s="44"/>
      <c r="R12" s="44"/>
      <c r="S12" s="44"/>
      <c r="T12" s="45"/>
      <c r="U12" s="45"/>
      <c r="V12" s="139"/>
      <c r="W12" s="139"/>
      <c r="X12" s="139"/>
      <c r="Y12" s="139"/>
      <c r="Z12" s="139"/>
      <c r="AA12" s="139"/>
      <c r="AB12" s="139"/>
      <c r="AC12" s="64"/>
      <c r="AD12" s="64"/>
      <c r="AE12" s="65"/>
      <c r="AF12" s="6"/>
    </row>
    <row r="13" spans="1:32" s="10" customFormat="1" ht="21" customHeight="1">
      <c r="A13" s="39"/>
      <c r="B13" s="40"/>
      <c r="C13" s="30" t="s">
        <v>65</v>
      </c>
      <c r="D13" s="147">
        <v>0</v>
      </c>
      <c r="E13" s="102">
        <f>ROUND(AD13/1000,0)</f>
        <v>0</v>
      </c>
      <c r="F13" s="102">
        <f>SUMIF($AB$14:$AB$17,"보조",$AD$14:$AD$17)/1000</f>
        <v>0</v>
      </c>
      <c r="G13" s="102">
        <f>SUMIF($AB$14:$AB$17,"7종",$AD$14:$AD$17)/1000</f>
        <v>0</v>
      </c>
      <c r="H13" s="102">
        <f>SUMIF($AB$14:$AB$17,"4종",$AD$14:$AD$17)/1000</f>
        <v>0</v>
      </c>
      <c r="I13" s="102">
        <f>SUMIF($AB$14:$AB$17,"후원",$AD$14:$AD$17)/1000</f>
        <v>0</v>
      </c>
      <c r="J13" s="102">
        <f>SUMIF($AB$14:$AB$17,"입소",$AD$14:$AD$17)/1000</f>
        <v>0</v>
      </c>
      <c r="K13" s="102">
        <f>SUMIF($AB$14:$AB$17,"법인",$AD$14:$AD$17)/1000</f>
        <v>0</v>
      </c>
      <c r="L13" s="102">
        <f>SUMIF($AB$14:$AB$17,"잡수",$AD$14:$AD$17)/1000</f>
        <v>0</v>
      </c>
      <c r="M13" s="111">
        <f>E13-D13</f>
        <v>0</v>
      </c>
      <c r="N13" s="109">
        <f>IF(D13=0,0,M13/D13)</f>
        <v>0</v>
      </c>
      <c r="O13" s="89" t="s">
        <v>68</v>
      </c>
      <c r="P13" s="162"/>
      <c r="Q13" s="85"/>
      <c r="R13" s="85"/>
      <c r="S13" s="85"/>
      <c r="T13" s="81"/>
      <c r="U13" s="81"/>
      <c r="V13" s="143"/>
      <c r="W13" s="91" t="s">
        <v>123</v>
      </c>
      <c r="X13" s="91"/>
      <c r="Y13" s="91"/>
      <c r="Z13" s="91"/>
      <c r="AA13" s="91"/>
      <c r="AB13" s="91"/>
      <c r="AC13" s="106"/>
      <c r="AD13" s="106">
        <f>SUM(AD15:AD16)</f>
        <v>0</v>
      </c>
      <c r="AE13" s="107" t="s">
        <v>56</v>
      </c>
      <c r="AF13" s="6"/>
    </row>
    <row r="14" spans="1:32" s="10" customFormat="1" ht="21" customHeight="1">
      <c r="A14" s="39"/>
      <c r="B14" s="40"/>
      <c r="C14" s="40"/>
      <c r="D14" s="145"/>
      <c r="E14" s="97"/>
      <c r="F14" s="97"/>
      <c r="G14" s="97"/>
      <c r="H14" s="97"/>
      <c r="I14" s="97"/>
      <c r="J14" s="97"/>
      <c r="K14" s="97"/>
      <c r="L14" s="97"/>
      <c r="M14" s="97"/>
      <c r="N14" s="62"/>
      <c r="O14" s="144"/>
      <c r="P14" s="26"/>
      <c r="Q14" s="26"/>
      <c r="R14" s="26"/>
      <c r="S14" s="26"/>
      <c r="T14" s="27"/>
      <c r="U14" s="27"/>
      <c r="V14" s="27"/>
      <c r="W14" s="27"/>
      <c r="X14" s="27"/>
      <c r="Y14" s="27"/>
      <c r="Z14" s="27"/>
      <c r="AA14" s="27"/>
      <c r="AB14" s="27"/>
      <c r="AC14" s="46"/>
      <c r="AD14" s="46"/>
      <c r="AE14" s="28"/>
      <c r="AF14" s="6"/>
    </row>
    <row r="15" spans="1:32" s="10" customFormat="1" ht="21" customHeight="1">
      <c r="A15" s="39"/>
      <c r="B15" s="40"/>
      <c r="C15" s="40"/>
      <c r="D15" s="145"/>
      <c r="E15" s="97"/>
      <c r="F15" s="97"/>
      <c r="G15" s="97"/>
      <c r="H15" s="97"/>
      <c r="I15" s="97"/>
      <c r="J15" s="97"/>
      <c r="K15" s="97"/>
      <c r="L15" s="97"/>
      <c r="M15" s="97"/>
      <c r="N15" s="62"/>
      <c r="O15" s="277" t="s">
        <v>202</v>
      </c>
      <c r="P15" s="288"/>
      <c r="Q15" s="44"/>
      <c r="R15" s="44"/>
      <c r="S15" s="113">
        <v>45000</v>
      </c>
      <c r="T15" s="113" t="s">
        <v>56</v>
      </c>
      <c r="U15" s="114" t="s">
        <v>57</v>
      </c>
      <c r="V15" s="113">
        <v>0</v>
      </c>
      <c r="W15" s="113" t="s">
        <v>55</v>
      </c>
      <c r="X15" s="114" t="s">
        <v>57</v>
      </c>
      <c r="Y15" s="290">
        <v>0</v>
      </c>
      <c r="Z15" s="83" t="s">
        <v>88</v>
      </c>
      <c r="AA15" s="83" t="s">
        <v>53</v>
      </c>
      <c r="AB15" s="287" t="s">
        <v>533</v>
      </c>
      <c r="AC15" s="60"/>
      <c r="AD15" s="123">
        <f>S15*V15*Y15</f>
        <v>0</v>
      </c>
      <c r="AE15" s="51" t="s">
        <v>67</v>
      </c>
      <c r="AF15" s="6"/>
    </row>
    <row r="16" spans="1:32" s="10" customFormat="1" ht="21" customHeight="1">
      <c r="A16" s="39"/>
      <c r="B16" s="40"/>
      <c r="C16" s="40"/>
      <c r="D16" s="145"/>
      <c r="E16" s="97"/>
      <c r="F16" s="97"/>
      <c r="G16" s="97"/>
      <c r="H16" s="97"/>
      <c r="I16" s="97"/>
      <c r="J16" s="97"/>
      <c r="K16" s="97"/>
      <c r="L16" s="97"/>
      <c r="M16" s="97"/>
      <c r="N16" s="62"/>
      <c r="O16" s="625" t="s">
        <v>714</v>
      </c>
      <c r="P16" s="625"/>
      <c r="Q16" s="625"/>
      <c r="R16" s="625"/>
      <c r="S16" s="624">
        <v>0</v>
      </c>
      <c r="T16" s="624" t="s">
        <v>686</v>
      </c>
      <c r="U16" s="625" t="s">
        <v>688</v>
      </c>
      <c r="V16" s="624">
        <v>1</v>
      </c>
      <c r="W16" s="624" t="s">
        <v>689</v>
      </c>
      <c r="X16" s="625" t="s">
        <v>688</v>
      </c>
      <c r="Y16" s="290">
        <v>8</v>
      </c>
      <c r="Z16" s="626" t="s">
        <v>715</v>
      </c>
      <c r="AA16" s="626" t="s">
        <v>690</v>
      </c>
      <c r="AB16" s="624" t="s">
        <v>699</v>
      </c>
      <c r="AC16" s="627"/>
      <c r="AD16" s="624">
        <f>S16*V16*Y16</f>
        <v>0</v>
      </c>
      <c r="AE16" s="125" t="s">
        <v>686</v>
      </c>
      <c r="AF16" s="6"/>
    </row>
    <row r="17" spans="1:32" s="10" customFormat="1" ht="21" customHeight="1">
      <c r="A17" s="39"/>
      <c r="B17" s="40"/>
      <c r="C17" s="40"/>
      <c r="D17" s="145"/>
      <c r="E17" s="97"/>
      <c r="F17" s="97"/>
      <c r="G17" s="97"/>
      <c r="H17" s="97"/>
      <c r="I17" s="97"/>
      <c r="J17" s="97"/>
      <c r="K17" s="97"/>
      <c r="L17" s="97"/>
      <c r="M17" s="97"/>
      <c r="N17" s="62"/>
      <c r="O17" s="44"/>
      <c r="P17" s="44"/>
      <c r="Q17" s="44"/>
      <c r="R17" s="44"/>
      <c r="S17" s="45"/>
      <c r="T17" s="45"/>
      <c r="U17" s="44"/>
      <c r="V17" s="45"/>
      <c r="W17" s="45"/>
      <c r="X17" s="44"/>
      <c r="Y17" s="84"/>
      <c r="Z17" s="45"/>
      <c r="AA17" s="45"/>
      <c r="AB17" s="45"/>
      <c r="AC17" s="60"/>
      <c r="AD17" s="45"/>
      <c r="AE17" s="51"/>
      <c r="AF17" s="6"/>
    </row>
    <row r="18" spans="1:32" s="10" customFormat="1" ht="21" customHeight="1">
      <c r="A18" s="39"/>
      <c r="B18" s="40"/>
      <c r="C18" s="30" t="s">
        <v>33</v>
      </c>
      <c r="D18" s="147">
        <v>415549</v>
      </c>
      <c r="E18" s="102">
        <f>ROUND(AD18/1000,0)</f>
        <v>406888</v>
      </c>
      <c r="F18" s="102">
        <f>SUMIF($AB$19:$AB$31,"보조",$AD$19:$AD$31)/1000</f>
        <v>364229</v>
      </c>
      <c r="G18" s="102">
        <f>SUMIF($AB$19:$AB$31,"7종",$AD$19:$AD$31)/1000</f>
        <v>42659</v>
      </c>
      <c r="H18" s="102">
        <f>SUMIF($AB$19:$AB$31,"4종",$AD$19:$AD$31)/1000</f>
        <v>0</v>
      </c>
      <c r="I18" s="102">
        <f>SUMIF($AB$19:$AB$31,"후원",$AD$19:$AD$31)/1000</f>
        <v>0</v>
      </c>
      <c r="J18" s="102">
        <f>SUMIF($AB$19:$AB$31,"입소",$AD$19:$AD$31)/1000</f>
        <v>0</v>
      </c>
      <c r="K18" s="102">
        <f>SUMIF($AB$19:$AB$31,"법인",$AD$19:$AD$31)/1000</f>
        <v>0</v>
      </c>
      <c r="L18" s="102">
        <f>SUMIF($AB$19:$AB$31,"잡수",$AD$19:$AD$31)/1000</f>
        <v>0</v>
      </c>
      <c r="M18" s="101">
        <f>E18-D18</f>
        <v>-8661</v>
      </c>
      <c r="N18" s="109">
        <f>IF(D18=0,0,M18/D18)</f>
        <v>-2.0842307405384203E-2</v>
      </c>
      <c r="O18" s="89" t="s">
        <v>34</v>
      </c>
      <c r="P18" s="162"/>
      <c r="Q18" s="85"/>
      <c r="R18" s="85"/>
      <c r="S18" s="85"/>
      <c r="T18" s="81"/>
      <c r="U18" s="81"/>
      <c r="V18" s="81"/>
      <c r="W18" s="163" t="s">
        <v>123</v>
      </c>
      <c r="X18" s="163"/>
      <c r="Y18" s="163"/>
      <c r="Z18" s="163"/>
      <c r="AA18" s="163"/>
      <c r="AB18" s="163"/>
      <c r="AC18" s="165"/>
      <c r="AD18" s="165">
        <f>SUM(명절휴가비,가족수당,연장근로수당)</f>
        <v>406888000</v>
      </c>
      <c r="AE18" s="164" t="s">
        <v>56</v>
      </c>
      <c r="AF18" s="6"/>
    </row>
    <row r="19" spans="1:32" s="10" customFormat="1" ht="21" customHeight="1">
      <c r="A19" s="39"/>
      <c r="B19" s="40"/>
      <c r="C19" s="40"/>
      <c r="D19" s="145"/>
      <c r="E19" s="97"/>
      <c r="F19" s="97"/>
      <c r="G19" s="97"/>
      <c r="H19" s="97"/>
      <c r="I19" s="97"/>
      <c r="J19" s="97"/>
      <c r="K19" s="97"/>
      <c r="L19" s="97"/>
      <c r="M19" s="97"/>
      <c r="N19" s="62"/>
      <c r="O19" s="367" t="s">
        <v>224</v>
      </c>
      <c r="P19" s="271"/>
      <c r="Q19" s="271"/>
      <c r="R19" s="271"/>
      <c r="S19" s="271"/>
      <c r="T19" s="269"/>
      <c r="U19" s="269"/>
      <c r="V19" s="269"/>
      <c r="W19" s="350" t="s">
        <v>222</v>
      </c>
      <c r="X19" s="350"/>
      <c r="Y19" s="350"/>
      <c r="Z19" s="350"/>
      <c r="AA19" s="350"/>
      <c r="AB19" s="350"/>
      <c r="AC19" s="351" t="s">
        <v>225</v>
      </c>
      <c r="AD19" s="351">
        <f>ROUND(SUM(AD20:AD21),-3)</f>
        <v>115788000</v>
      </c>
      <c r="AE19" s="352" t="s">
        <v>216</v>
      </c>
      <c r="AF19" s="781"/>
    </row>
    <row r="20" spans="1:32" s="10" customFormat="1" ht="21" customHeight="1">
      <c r="A20" s="39"/>
      <c r="B20" s="40"/>
      <c r="C20" s="40"/>
      <c r="D20" s="145"/>
      <c r="E20" s="97"/>
      <c r="F20" s="97"/>
      <c r="G20" s="97"/>
      <c r="H20" s="97"/>
      <c r="I20" s="97"/>
      <c r="J20" s="97"/>
      <c r="K20" s="97"/>
      <c r="L20" s="97"/>
      <c r="M20" s="97"/>
      <c r="N20" s="62"/>
      <c r="O20" s="271" t="s">
        <v>983</v>
      </c>
      <c r="P20" s="271"/>
      <c r="Q20" s="271"/>
      <c r="R20" s="271"/>
      <c r="S20" s="271"/>
      <c r="T20" s="269"/>
      <c r="U20" s="269"/>
      <c r="V20" s="269"/>
      <c r="W20" s="269"/>
      <c r="X20" s="269"/>
      <c r="Y20" s="269"/>
      <c r="Z20" s="269"/>
      <c r="AA20" s="269"/>
      <c r="AB20" s="269" t="s">
        <v>532</v>
      </c>
      <c r="AC20" s="272"/>
      <c r="AD20" s="272">
        <v>108793000</v>
      </c>
      <c r="AE20" s="295" t="s">
        <v>216</v>
      </c>
      <c r="AF20" s="781">
        <v>110350000</v>
      </c>
    </row>
    <row r="21" spans="1:32" s="10" customFormat="1" ht="21" customHeight="1">
      <c r="A21" s="39"/>
      <c r="B21" s="40"/>
      <c r="C21" s="40"/>
      <c r="D21" s="145"/>
      <c r="E21" s="97"/>
      <c r="F21" s="97"/>
      <c r="G21" s="97"/>
      <c r="H21" s="97"/>
      <c r="I21" s="97"/>
      <c r="J21" s="97"/>
      <c r="K21" s="97"/>
      <c r="L21" s="97"/>
      <c r="M21" s="97"/>
      <c r="N21" s="62"/>
      <c r="O21" s="271" t="s">
        <v>226</v>
      </c>
      <c r="P21" s="271"/>
      <c r="Q21" s="271"/>
      <c r="R21" s="271"/>
      <c r="S21" s="271"/>
      <c r="T21" s="269"/>
      <c r="U21" s="269"/>
      <c r="V21" s="269"/>
      <c r="W21" s="269"/>
      <c r="X21" s="269"/>
      <c r="Y21" s="269"/>
      <c r="Z21" s="269"/>
      <c r="AA21" s="269"/>
      <c r="AB21" s="269" t="s">
        <v>533</v>
      </c>
      <c r="AC21" s="272"/>
      <c r="AD21" s="272">
        <v>6995000</v>
      </c>
      <c r="AE21" s="295" t="s">
        <v>216</v>
      </c>
      <c r="AF21" s="781">
        <v>7064000</v>
      </c>
    </row>
    <row r="22" spans="1:32" s="10" customFormat="1" ht="21" customHeight="1">
      <c r="A22" s="39"/>
      <c r="B22" s="40"/>
      <c r="C22" s="40"/>
      <c r="D22" s="145"/>
      <c r="E22" s="97"/>
      <c r="F22" s="97"/>
      <c r="G22" s="97"/>
      <c r="H22" s="97"/>
      <c r="I22" s="97"/>
      <c r="J22" s="97"/>
      <c r="K22" s="97"/>
      <c r="L22" s="97"/>
      <c r="M22" s="97"/>
      <c r="N22" s="62"/>
      <c r="O22" s="271"/>
      <c r="P22" s="271"/>
      <c r="Q22" s="271"/>
      <c r="R22" s="271"/>
      <c r="S22" s="271"/>
      <c r="T22" s="269"/>
      <c r="U22" s="269"/>
      <c r="V22" s="269"/>
      <c r="W22" s="269"/>
      <c r="X22" s="269"/>
      <c r="Y22" s="269"/>
      <c r="Z22" s="269"/>
      <c r="AA22" s="269"/>
      <c r="AB22" s="269"/>
      <c r="AC22" s="272"/>
      <c r="AD22" s="272"/>
      <c r="AE22" s="295"/>
      <c r="AF22" s="781"/>
    </row>
    <row r="23" spans="1:32" s="10" customFormat="1" ht="21" customHeight="1">
      <c r="A23" s="39"/>
      <c r="B23" s="40"/>
      <c r="C23" s="40"/>
      <c r="D23" s="145"/>
      <c r="E23" s="97"/>
      <c r="F23" s="97"/>
      <c r="G23" s="97"/>
      <c r="H23" s="97"/>
      <c r="I23" s="97"/>
      <c r="J23" s="97"/>
      <c r="K23" s="97"/>
      <c r="L23" s="97"/>
      <c r="M23" s="97"/>
      <c r="N23" s="62"/>
      <c r="O23" s="367" t="s">
        <v>227</v>
      </c>
      <c r="P23" s="271"/>
      <c r="Q23" s="271"/>
      <c r="R23" s="271"/>
      <c r="S23" s="271"/>
      <c r="T23" s="269"/>
      <c r="U23" s="269"/>
      <c r="V23" s="269"/>
      <c r="W23" s="350" t="s">
        <v>222</v>
      </c>
      <c r="X23" s="350"/>
      <c r="Y23" s="350"/>
      <c r="Z23" s="350"/>
      <c r="AA23" s="350"/>
      <c r="AB23" s="350"/>
      <c r="AC23" s="351" t="s">
        <v>225</v>
      </c>
      <c r="AD23" s="351">
        <f>SUM(AD24:AD25)</f>
        <v>16260000</v>
      </c>
      <c r="AE23" s="352" t="s">
        <v>216</v>
      </c>
      <c r="AF23" s="781"/>
    </row>
    <row r="24" spans="1:32" s="10" customFormat="1" ht="21" customHeight="1">
      <c r="A24" s="39"/>
      <c r="B24" s="40"/>
      <c r="C24" s="40"/>
      <c r="D24" s="145"/>
      <c r="E24" s="97"/>
      <c r="F24" s="97"/>
      <c r="G24" s="97"/>
      <c r="H24" s="97"/>
      <c r="I24" s="97"/>
      <c r="J24" s="97"/>
      <c r="K24" s="97"/>
      <c r="L24" s="97"/>
      <c r="M24" s="97"/>
      <c r="N24" s="62"/>
      <c r="O24" s="271" t="s">
        <v>983</v>
      </c>
      <c r="P24" s="271"/>
      <c r="Q24" s="271"/>
      <c r="R24" s="271"/>
      <c r="S24" s="271"/>
      <c r="T24" s="269"/>
      <c r="U24" s="269"/>
      <c r="V24" s="269"/>
      <c r="W24" s="269"/>
      <c r="X24" s="269"/>
      <c r="Y24" s="269"/>
      <c r="Z24" s="269"/>
      <c r="AA24" s="269"/>
      <c r="AB24" s="269" t="s">
        <v>532</v>
      </c>
      <c r="AC24" s="272"/>
      <c r="AD24" s="272">
        <v>15080000</v>
      </c>
      <c r="AE24" s="295" t="s">
        <v>216</v>
      </c>
      <c r="AF24" s="781">
        <v>13440000</v>
      </c>
    </row>
    <row r="25" spans="1:32" s="10" customFormat="1" ht="21" customHeight="1">
      <c r="A25" s="39"/>
      <c r="B25" s="40"/>
      <c r="C25" s="40"/>
      <c r="D25" s="145"/>
      <c r="E25" s="97"/>
      <c r="F25" s="97"/>
      <c r="G25" s="97"/>
      <c r="H25" s="97"/>
      <c r="I25" s="97"/>
      <c r="J25" s="97"/>
      <c r="K25" s="97"/>
      <c r="L25" s="97"/>
      <c r="M25" s="97"/>
      <c r="N25" s="62"/>
      <c r="O25" s="271" t="s">
        <v>226</v>
      </c>
      <c r="P25" s="271"/>
      <c r="Q25" s="271"/>
      <c r="R25" s="271"/>
      <c r="S25" s="271"/>
      <c r="T25" s="269"/>
      <c r="U25" s="269"/>
      <c r="V25" s="269"/>
      <c r="W25" s="269"/>
      <c r="X25" s="269"/>
      <c r="Y25" s="269"/>
      <c r="Z25" s="269"/>
      <c r="AA25" s="269"/>
      <c r="AB25" s="269" t="s">
        <v>533</v>
      </c>
      <c r="AC25" s="272"/>
      <c r="AD25" s="272">
        <v>1180000</v>
      </c>
      <c r="AE25" s="295" t="s">
        <v>216</v>
      </c>
      <c r="AF25" s="781">
        <v>960000</v>
      </c>
    </row>
    <row r="26" spans="1:32" s="10" customFormat="1" ht="21" customHeight="1">
      <c r="A26" s="39"/>
      <c r="B26" s="40"/>
      <c r="C26" s="40"/>
      <c r="D26" s="145"/>
      <c r="E26" s="97"/>
      <c r="F26" s="97"/>
      <c r="G26" s="97"/>
      <c r="H26" s="97"/>
      <c r="I26" s="97"/>
      <c r="J26" s="97"/>
      <c r="K26" s="97"/>
      <c r="L26" s="97"/>
      <c r="M26" s="97"/>
      <c r="N26" s="62"/>
      <c r="O26" s="271"/>
      <c r="P26" s="271"/>
      <c r="Q26" s="271"/>
      <c r="R26" s="271"/>
      <c r="S26" s="271"/>
      <c r="T26" s="269"/>
      <c r="U26" s="269"/>
      <c r="V26" s="269"/>
      <c r="W26" s="269"/>
      <c r="X26" s="269"/>
      <c r="Y26" s="269"/>
      <c r="Z26" s="269"/>
      <c r="AA26" s="269"/>
      <c r="AB26" s="269"/>
      <c r="AC26" s="272"/>
      <c r="AD26" s="272"/>
      <c r="AE26" s="295"/>
      <c r="AF26" s="781"/>
    </row>
    <row r="27" spans="1:32" s="10" customFormat="1" ht="21" customHeight="1">
      <c r="A27" s="39"/>
      <c r="B27" s="40"/>
      <c r="C27" s="40"/>
      <c r="D27" s="145"/>
      <c r="E27" s="97"/>
      <c r="F27" s="97"/>
      <c r="G27" s="97"/>
      <c r="H27" s="97"/>
      <c r="I27" s="97"/>
      <c r="J27" s="97"/>
      <c r="K27" s="97"/>
      <c r="L27" s="97"/>
      <c r="M27" s="97"/>
      <c r="N27" s="62"/>
      <c r="O27" s="367" t="s">
        <v>228</v>
      </c>
      <c r="P27" s="271"/>
      <c r="Q27" s="271"/>
      <c r="R27" s="271"/>
      <c r="S27" s="271"/>
      <c r="T27" s="269"/>
      <c r="U27" s="269"/>
      <c r="V27" s="269"/>
      <c r="W27" s="350" t="s">
        <v>222</v>
      </c>
      <c r="X27" s="350"/>
      <c r="Y27" s="350"/>
      <c r="Z27" s="350"/>
      <c r="AA27" s="350"/>
      <c r="AB27" s="350"/>
      <c r="AC27" s="351" t="s">
        <v>225</v>
      </c>
      <c r="AD27" s="351">
        <f>ROUND(SUM(AD28:AD30),-3)</f>
        <v>274840000</v>
      </c>
      <c r="AE27" s="352" t="s">
        <v>216</v>
      </c>
      <c r="AF27" s="781"/>
    </row>
    <row r="28" spans="1:32" s="10" customFormat="1" ht="21" customHeight="1">
      <c r="A28" s="39"/>
      <c r="B28" s="40"/>
      <c r="C28" s="40"/>
      <c r="D28" s="145"/>
      <c r="E28" s="97"/>
      <c r="F28" s="97"/>
      <c r="G28" s="97"/>
      <c r="H28" s="97"/>
      <c r="I28" s="97"/>
      <c r="J28" s="97"/>
      <c r="K28" s="97"/>
      <c r="L28" s="97"/>
      <c r="M28" s="97"/>
      <c r="N28" s="62"/>
      <c r="O28" s="271" t="s">
        <v>983</v>
      </c>
      <c r="P28" s="271"/>
      <c r="Q28" s="271"/>
      <c r="R28" s="271"/>
      <c r="S28" s="271"/>
      <c r="T28" s="269"/>
      <c r="U28" s="269"/>
      <c r="V28" s="269"/>
      <c r="W28" s="269"/>
      <c r="X28" s="269"/>
      <c r="Y28" s="269"/>
      <c r="Z28" s="269"/>
      <c r="AA28" s="269"/>
      <c r="AB28" s="269" t="s">
        <v>532</v>
      </c>
      <c r="AC28" s="272"/>
      <c r="AD28" s="272">
        <v>240356000</v>
      </c>
      <c r="AE28" s="295" t="s">
        <v>216</v>
      </c>
      <c r="AF28" s="781">
        <v>248060000</v>
      </c>
    </row>
    <row r="29" spans="1:32" s="10" customFormat="1" ht="21" customHeight="1">
      <c r="A29" s="39"/>
      <c r="B29" s="40"/>
      <c r="C29" s="40"/>
      <c r="D29" s="145"/>
      <c r="E29" s="97"/>
      <c r="F29" s="97"/>
      <c r="G29" s="97"/>
      <c r="H29" s="97"/>
      <c r="I29" s="97"/>
      <c r="J29" s="97"/>
      <c r="K29" s="97"/>
      <c r="L29" s="97"/>
      <c r="M29" s="97"/>
      <c r="N29" s="62"/>
      <c r="O29" s="271" t="s">
        <v>226</v>
      </c>
      <c r="P29" s="271"/>
      <c r="Q29" s="271"/>
      <c r="R29" s="271"/>
      <c r="S29" s="271"/>
      <c r="T29" s="269"/>
      <c r="U29" s="269"/>
      <c r="V29" s="269"/>
      <c r="W29" s="269"/>
      <c r="X29" s="269"/>
      <c r="Y29" s="269"/>
      <c r="Z29" s="269"/>
      <c r="AA29" s="269"/>
      <c r="AB29" s="269" t="s">
        <v>533</v>
      </c>
      <c r="AC29" s="272"/>
      <c r="AD29" s="272">
        <v>16894000</v>
      </c>
      <c r="AE29" s="295" t="s">
        <v>216</v>
      </c>
      <c r="AF29" s="781">
        <v>17007000</v>
      </c>
    </row>
    <row r="30" spans="1:32" s="10" customFormat="1" ht="21" customHeight="1">
      <c r="A30" s="39"/>
      <c r="B30" s="40"/>
      <c r="C30" s="40"/>
      <c r="D30" s="145"/>
      <c r="E30" s="97"/>
      <c r="F30" s="97"/>
      <c r="G30" s="97"/>
      <c r="H30" s="97"/>
      <c r="I30" s="97"/>
      <c r="J30" s="97"/>
      <c r="K30" s="97"/>
      <c r="L30" s="97"/>
      <c r="M30" s="97"/>
      <c r="N30" s="62"/>
      <c r="O30" s="271" t="s">
        <v>599</v>
      </c>
      <c r="P30" s="271"/>
      <c r="Q30" s="271"/>
      <c r="R30" s="271"/>
      <c r="S30" s="271"/>
      <c r="T30" s="269"/>
      <c r="U30" s="269"/>
      <c r="V30" s="269"/>
      <c r="W30" s="269"/>
      <c r="X30" s="269"/>
      <c r="Y30" s="269"/>
      <c r="Z30" s="269"/>
      <c r="AA30" s="269"/>
      <c r="AB30" s="269" t="s">
        <v>600</v>
      </c>
      <c r="AC30" s="272"/>
      <c r="AD30" s="272">
        <v>17590000</v>
      </c>
      <c r="AE30" s="295" t="s">
        <v>601</v>
      </c>
      <c r="AF30" s="781">
        <v>18668000</v>
      </c>
    </row>
    <row r="31" spans="1:32" s="10" customFormat="1" ht="21" customHeight="1">
      <c r="A31" s="39"/>
      <c r="B31" s="40"/>
      <c r="C31" s="40"/>
      <c r="D31" s="145"/>
      <c r="E31" s="97"/>
      <c r="F31" s="97"/>
      <c r="G31" s="97"/>
      <c r="H31" s="97"/>
      <c r="I31" s="97"/>
      <c r="J31" s="97"/>
      <c r="K31" s="97"/>
      <c r="L31" s="97"/>
      <c r="M31" s="97"/>
      <c r="N31" s="62"/>
      <c r="O31" s="271"/>
      <c r="P31" s="271"/>
      <c r="Q31" s="271"/>
      <c r="R31" s="271"/>
      <c r="S31" s="269"/>
      <c r="T31" s="331"/>
      <c r="U31" s="372"/>
      <c r="V31" s="331"/>
      <c r="W31" s="373"/>
      <c r="X31" s="373"/>
      <c r="Y31" s="269"/>
      <c r="Z31" s="269"/>
      <c r="AA31" s="269"/>
      <c r="AB31" s="269"/>
      <c r="AC31" s="269"/>
      <c r="AD31" s="269"/>
      <c r="AE31" s="295"/>
      <c r="AF31" s="781"/>
    </row>
    <row r="32" spans="1:32" s="10" customFormat="1" ht="21" customHeight="1">
      <c r="A32" s="39"/>
      <c r="B32" s="40"/>
      <c r="C32" s="30" t="s">
        <v>9</v>
      </c>
      <c r="D32" s="147">
        <v>134473</v>
      </c>
      <c r="E32" s="102">
        <f>ROUND(AD32/1000,0)</f>
        <v>130794</v>
      </c>
      <c r="F32" s="102">
        <f>SUMIF($AB$33:$AB$39,"보조",$AD$33:$AD$39)/1000</f>
        <v>121354</v>
      </c>
      <c r="G32" s="102">
        <f>SUMIF($AB$33:$AB$39,"7종",$AD$33:$AD$39)/1000</f>
        <v>7977</v>
      </c>
      <c r="H32" s="102">
        <f>SUMIF($AB$33:$AB$39,"4종",$AD$33:$AD$39)/1000</f>
        <v>0</v>
      </c>
      <c r="I32" s="102">
        <f>SUMIF($AB$33:$AB$39,"후원",$AD$33:$AD$39)/1000</f>
        <v>0</v>
      </c>
      <c r="J32" s="102">
        <f>SUMIF($AB$33:$AB$39,"입소",$AD$33:$AD$39)/1000</f>
        <v>0</v>
      </c>
      <c r="K32" s="102">
        <f>SUMIF($AB$33:$AB$39,"법인",$AD$33:$AD$39)/1000</f>
        <v>1463</v>
      </c>
      <c r="L32" s="102">
        <f>SUMIF($AB$33:$AB$39,"잡수",$AD$33:$AD$39)/1000</f>
        <v>0</v>
      </c>
      <c r="M32" s="101">
        <f>E32-D32</f>
        <v>-3679</v>
      </c>
      <c r="N32" s="109">
        <f>IF(D32=0,0,M32/D32)</f>
        <v>-2.73586519226908E-2</v>
      </c>
      <c r="O32" s="89" t="s">
        <v>35</v>
      </c>
      <c r="P32" s="162"/>
      <c r="Q32" s="141"/>
      <c r="R32" s="85"/>
      <c r="S32" s="85"/>
      <c r="T32" s="81"/>
      <c r="U32" s="81"/>
      <c r="V32" s="81"/>
      <c r="W32" s="266" t="s">
        <v>187</v>
      </c>
      <c r="X32" s="266"/>
      <c r="Y32" s="266"/>
      <c r="Z32" s="266"/>
      <c r="AA32" s="266"/>
      <c r="AB32" s="266"/>
      <c r="AC32" s="165" t="s">
        <v>188</v>
      </c>
      <c r="AD32" s="165">
        <f>SUM(AD33,AD35,AD37)</f>
        <v>130794000</v>
      </c>
      <c r="AE32" s="164" t="s">
        <v>189</v>
      </c>
      <c r="AF32" s="6"/>
    </row>
    <row r="33" spans="1:32" s="10" customFormat="1" ht="21" customHeight="1">
      <c r="A33" s="39"/>
      <c r="B33" s="40"/>
      <c r="C33" s="40"/>
      <c r="D33" s="148"/>
      <c r="E33" s="97"/>
      <c r="F33" s="97"/>
      <c r="G33" s="97"/>
      <c r="H33" s="97"/>
      <c r="I33" s="97"/>
      <c r="J33" s="97"/>
      <c r="K33" s="97"/>
      <c r="L33" s="97"/>
      <c r="M33" s="103"/>
      <c r="N33" s="62"/>
      <c r="O33" s="367" t="s">
        <v>984</v>
      </c>
      <c r="P33" s="271"/>
      <c r="Q33" s="271"/>
      <c r="R33" s="271"/>
      <c r="S33" s="271"/>
      <c r="T33" s="269"/>
      <c r="U33" s="269"/>
      <c r="V33" s="269"/>
      <c r="W33" s="350" t="s">
        <v>222</v>
      </c>
      <c r="X33" s="350"/>
      <c r="Y33" s="350"/>
      <c r="Z33" s="350"/>
      <c r="AA33" s="350"/>
      <c r="AB33" s="350"/>
      <c r="AC33" s="351"/>
      <c r="AD33" s="351">
        <f>ROUNDUP(AD34,-3)</f>
        <v>121354000</v>
      </c>
      <c r="AE33" s="352" t="s">
        <v>216</v>
      </c>
      <c r="AF33" s="6"/>
    </row>
    <row r="34" spans="1:32" s="10" customFormat="1" ht="21" customHeight="1">
      <c r="A34" s="39"/>
      <c r="B34" s="40"/>
      <c r="C34" s="40"/>
      <c r="D34" s="148"/>
      <c r="E34" s="97"/>
      <c r="F34" s="97"/>
      <c r="G34" s="97"/>
      <c r="H34" s="97"/>
      <c r="I34" s="97"/>
      <c r="J34" s="97"/>
      <c r="K34" s="97"/>
      <c r="L34" s="97"/>
      <c r="M34" s="103"/>
      <c r="N34" s="62"/>
      <c r="O34" s="271"/>
      <c r="P34" s="271"/>
      <c r="Q34" s="271"/>
      <c r="R34" s="271"/>
      <c r="S34" s="269">
        <f>SUM(AD9,AD20,AD24,AD28)</f>
        <v>1456255000</v>
      </c>
      <c r="T34" s="328" t="s">
        <v>216</v>
      </c>
      <c r="U34" s="328" t="s">
        <v>229</v>
      </c>
      <c r="V34" s="374">
        <v>12</v>
      </c>
      <c r="W34" s="325" t="s">
        <v>217</v>
      </c>
      <c r="X34" s="269"/>
      <c r="Y34" s="269"/>
      <c r="Z34" s="269"/>
      <c r="AA34" s="269" t="s">
        <v>220</v>
      </c>
      <c r="AB34" s="269" t="s">
        <v>532</v>
      </c>
      <c r="AC34" s="272"/>
      <c r="AD34" s="272">
        <f>ROUNDDOWN(S34/V34,-3)</f>
        <v>121354000</v>
      </c>
      <c r="AE34" s="295" t="s">
        <v>216</v>
      </c>
      <c r="AF34" s="6">
        <v>124909000</v>
      </c>
    </row>
    <row r="35" spans="1:32" s="10" customFormat="1" ht="21" customHeight="1">
      <c r="A35" s="39"/>
      <c r="B35" s="40"/>
      <c r="C35" s="40"/>
      <c r="D35" s="148"/>
      <c r="E35" s="97"/>
      <c r="F35" s="97"/>
      <c r="G35" s="97"/>
      <c r="H35" s="97"/>
      <c r="I35" s="97"/>
      <c r="J35" s="97"/>
      <c r="K35" s="97"/>
      <c r="L35" s="97"/>
      <c r="M35" s="103"/>
      <c r="N35" s="62"/>
      <c r="O35" s="367" t="s">
        <v>230</v>
      </c>
      <c r="P35" s="271"/>
      <c r="Q35" s="271"/>
      <c r="R35" s="271"/>
      <c r="S35" s="271"/>
      <c r="T35" s="269"/>
      <c r="U35" s="269"/>
      <c r="V35" s="269"/>
      <c r="W35" s="350" t="s">
        <v>222</v>
      </c>
      <c r="X35" s="350"/>
      <c r="Y35" s="350"/>
      <c r="Z35" s="350"/>
      <c r="AA35" s="350"/>
      <c r="AB35" s="350"/>
      <c r="AC35" s="351" t="s">
        <v>225</v>
      </c>
      <c r="AD35" s="351">
        <f>ROUND(AD36,-3)</f>
        <v>7977000</v>
      </c>
      <c r="AE35" s="352" t="s">
        <v>216</v>
      </c>
      <c r="AF35" s="6"/>
    </row>
    <row r="36" spans="1:32" s="10" customFormat="1" ht="21" customHeight="1">
      <c r="A36" s="39"/>
      <c r="B36" s="40"/>
      <c r="C36" s="40"/>
      <c r="D36" s="148"/>
      <c r="E36" s="97"/>
      <c r="F36" s="97"/>
      <c r="G36" s="97"/>
      <c r="H36" s="97"/>
      <c r="I36" s="97"/>
      <c r="J36" s="97"/>
      <c r="K36" s="97"/>
      <c r="L36" s="97"/>
      <c r="M36" s="103"/>
      <c r="N36" s="62"/>
      <c r="O36" s="271"/>
      <c r="P36" s="271"/>
      <c r="Q36" s="271"/>
      <c r="R36" s="271"/>
      <c r="S36" s="269">
        <f>SUM(AD11,AD21,AD25,AD29)</f>
        <v>95713000</v>
      </c>
      <c r="T36" s="328" t="s">
        <v>216</v>
      </c>
      <c r="U36" s="328" t="s">
        <v>229</v>
      </c>
      <c r="V36" s="374">
        <v>12</v>
      </c>
      <c r="W36" s="325" t="s">
        <v>217</v>
      </c>
      <c r="X36" s="269"/>
      <c r="Y36" s="269"/>
      <c r="Z36" s="269"/>
      <c r="AA36" s="269" t="s">
        <v>220</v>
      </c>
      <c r="AB36" s="269" t="s">
        <v>533</v>
      </c>
      <c r="AC36" s="272"/>
      <c r="AD36" s="272">
        <f>ROUNDUP(S36/V36,-3)</f>
        <v>7977000</v>
      </c>
      <c r="AE36" s="295" t="s">
        <v>216</v>
      </c>
      <c r="AF36" s="6">
        <v>8008000</v>
      </c>
    </row>
    <row r="37" spans="1:32" s="10" customFormat="1" ht="21" customHeight="1">
      <c r="A37" s="39"/>
      <c r="B37" s="40"/>
      <c r="C37" s="40"/>
      <c r="D37" s="148"/>
      <c r="E37" s="97"/>
      <c r="F37" s="97"/>
      <c r="G37" s="97"/>
      <c r="H37" s="97"/>
      <c r="I37" s="97"/>
      <c r="J37" s="97"/>
      <c r="K37" s="97"/>
      <c r="L37" s="97"/>
      <c r="M37" s="103"/>
      <c r="N37" s="62"/>
      <c r="O37" s="367" t="s">
        <v>231</v>
      </c>
      <c r="P37" s="271"/>
      <c r="Q37" s="271"/>
      <c r="R37" s="271"/>
      <c r="S37" s="271"/>
      <c r="T37" s="269"/>
      <c r="U37" s="269"/>
      <c r="V37" s="269"/>
      <c r="W37" s="350" t="s">
        <v>222</v>
      </c>
      <c r="X37" s="350"/>
      <c r="Y37" s="350"/>
      <c r="Z37" s="350"/>
      <c r="AA37" s="350"/>
      <c r="AB37" s="350"/>
      <c r="AC37" s="351" t="s">
        <v>225</v>
      </c>
      <c r="AD37" s="351">
        <f>SUM(AD38:AD39)</f>
        <v>1463000</v>
      </c>
      <c r="AE37" s="352" t="s">
        <v>216</v>
      </c>
      <c r="AF37" s="6"/>
    </row>
    <row r="38" spans="1:32" s="10" customFormat="1" ht="21" customHeight="1">
      <c r="A38" s="39"/>
      <c r="B38" s="40"/>
      <c r="C38" s="40"/>
      <c r="D38" s="148"/>
      <c r="E38" s="97"/>
      <c r="F38" s="97"/>
      <c r="G38" s="97"/>
      <c r="H38" s="97"/>
      <c r="I38" s="97"/>
      <c r="J38" s="97"/>
      <c r="K38" s="97"/>
      <c r="L38" s="97"/>
      <c r="M38" s="103"/>
      <c r="N38" s="62"/>
      <c r="O38" s="762" t="s">
        <v>925</v>
      </c>
      <c r="P38" s="564"/>
      <c r="Q38" s="564"/>
      <c r="R38" s="564"/>
      <c r="S38" s="563">
        <f>AD30</f>
        <v>17590000</v>
      </c>
      <c r="T38" s="543" t="s">
        <v>602</v>
      </c>
      <c r="U38" s="543" t="s">
        <v>617</v>
      </c>
      <c r="V38" s="568">
        <v>12</v>
      </c>
      <c r="W38" s="381" t="s">
        <v>611</v>
      </c>
      <c r="X38" s="563"/>
      <c r="Y38" s="563"/>
      <c r="Z38" s="563"/>
      <c r="AA38" s="563" t="s">
        <v>606</v>
      </c>
      <c r="AB38" s="619" t="s">
        <v>685</v>
      </c>
      <c r="AC38" s="124"/>
      <c r="AD38" s="776">
        <v>778000</v>
      </c>
      <c r="AE38" s="125" t="s">
        <v>602</v>
      </c>
      <c r="AF38" s="6">
        <v>1556000</v>
      </c>
    </row>
    <row r="39" spans="1:32" s="10" customFormat="1" ht="21" customHeight="1">
      <c r="A39" s="39"/>
      <c r="B39" s="40"/>
      <c r="C39" s="40"/>
      <c r="D39" s="149"/>
      <c r="E39" s="97"/>
      <c r="F39" s="97"/>
      <c r="G39" s="97"/>
      <c r="H39" s="97"/>
      <c r="I39" s="97"/>
      <c r="J39" s="97"/>
      <c r="K39" s="97"/>
      <c r="L39" s="97"/>
      <c r="M39" s="103"/>
      <c r="N39" s="62"/>
      <c r="O39" s="170" t="s">
        <v>926</v>
      </c>
      <c r="P39" s="26"/>
      <c r="Q39" s="26"/>
      <c r="R39" s="26"/>
      <c r="S39" s="26"/>
      <c r="T39" s="27"/>
      <c r="U39" s="27"/>
      <c r="V39" s="27"/>
      <c r="W39" s="27"/>
      <c r="X39" s="27"/>
      <c r="Y39" s="27"/>
      <c r="Z39" s="27"/>
      <c r="AA39" s="27"/>
      <c r="AB39" s="143" t="s">
        <v>923</v>
      </c>
      <c r="AC39" s="46"/>
      <c r="AD39" s="46">
        <v>685000</v>
      </c>
      <c r="AE39" s="28" t="s">
        <v>924</v>
      </c>
      <c r="AF39" s="6"/>
    </row>
    <row r="40" spans="1:32" s="10" customFormat="1" ht="21" customHeight="1">
      <c r="A40" s="39"/>
      <c r="B40" s="40"/>
      <c r="C40" s="110" t="s">
        <v>69</v>
      </c>
      <c r="D40" s="147">
        <v>155480</v>
      </c>
      <c r="E40" s="102">
        <f>ROUND(AD40/1000,0)</f>
        <v>153655</v>
      </c>
      <c r="F40" s="102">
        <f>SUMIF($AB$41:$AB$63,"보조",$AD$41:$AD$63)/1000</f>
        <v>144167</v>
      </c>
      <c r="G40" s="102">
        <f>SUMIF($AB$41:$AB$63,"7종",$AD$41:$AD$63)/1000</f>
        <v>9478</v>
      </c>
      <c r="H40" s="102">
        <f>SUMIF($AB$41:$AB$63,"4종",$AD$41:$AD$63)/1000</f>
        <v>0</v>
      </c>
      <c r="I40" s="102">
        <f>SUMIF($AB$41:$AB$63,"후원",$AD$41:$AD$63)/1000</f>
        <v>0</v>
      </c>
      <c r="J40" s="102">
        <f>SUMIF($AB$41:$AB$63,"입소",$AD$41:$AD$63)/1000</f>
        <v>0</v>
      </c>
      <c r="K40" s="102">
        <f>SUMIF($AB$41:$AB$63,"법인",$AD$41:$AD$63)/1000</f>
        <v>10</v>
      </c>
      <c r="L40" s="102">
        <f>SUMIF($AB$41:$AB$63,"잡수",$AD$41:$AD$63)/1000</f>
        <v>0</v>
      </c>
      <c r="M40" s="111">
        <f>E40-D40</f>
        <v>-1825</v>
      </c>
      <c r="N40" s="109">
        <f>IF(D40=0,0,M40/D40)</f>
        <v>-1.1737844095703628E-2</v>
      </c>
      <c r="O40" s="89" t="s">
        <v>36</v>
      </c>
      <c r="P40" s="162"/>
      <c r="Q40" s="85"/>
      <c r="R40" s="85"/>
      <c r="S40" s="85"/>
      <c r="T40" s="81"/>
      <c r="U40" s="81"/>
      <c r="V40" s="81"/>
      <c r="W40" s="163" t="s">
        <v>123</v>
      </c>
      <c r="X40" s="163"/>
      <c r="Y40" s="163"/>
      <c r="Z40" s="163"/>
      <c r="AA40" s="163"/>
      <c r="AB40" s="163"/>
      <c r="AC40" s="165"/>
      <c r="AD40" s="165">
        <f>SUM(AD42,AD46,AD50,AD54,AD58,AD62)</f>
        <v>153655000</v>
      </c>
      <c r="AE40" s="164" t="s">
        <v>25</v>
      </c>
      <c r="AF40" s="6"/>
    </row>
    <row r="41" spans="1:32" s="10" customFormat="1" ht="21" customHeight="1">
      <c r="A41" s="39"/>
      <c r="B41" s="40"/>
      <c r="C41" s="40" t="s">
        <v>124</v>
      </c>
      <c r="D41" s="145"/>
      <c r="E41" s="97"/>
      <c r="F41" s="97"/>
      <c r="G41" s="97"/>
      <c r="H41" s="97"/>
      <c r="I41" s="97"/>
      <c r="J41" s="97"/>
      <c r="K41" s="97"/>
      <c r="L41" s="97"/>
      <c r="M41" s="97"/>
      <c r="N41" s="62"/>
      <c r="O41" s="144"/>
      <c r="P41" s="26"/>
      <c r="Q41" s="26"/>
      <c r="R41" s="26"/>
      <c r="S41" s="26"/>
      <c r="T41" s="27"/>
      <c r="U41" s="27"/>
      <c r="V41" s="27"/>
      <c r="W41" s="27"/>
      <c r="X41" s="27"/>
      <c r="Y41" s="27"/>
      <c r="Z41" s="27"/>
      <c r="AA41" s="27"/>
      <c r="AB41" s="27"/>
      <c r="AC41" s="46"/>
      <c r="AD41" s="46"/>
      <c r="AE41" s="28"/>
      <c r="AF41" s="6"/>
    </row>
    <row r="42" spans="1:32" s="10" customFormat="1" ht="21" customHeight="1">
      <c r="A42" s="39"/>
      <c r="B42" s="40"/>
      <c r="C42" s="40"/>
      <c r="D42" s="145"/>
      <c r="E42" s="97"/>
      <c r="F42" s="97"/>
      <c r="G42" s="97"/>
      <c r="H42" s="97"/>
      <c r="I42" s="97"/>
      <c r="J42" s="97"/>
      <c r="K42" s="97"/>
      <c r="L42" s="97"/>
      <c r="M42" s="97"/>
      <c r="N42" s="62"/>
      <c r="O42" s="367" t="s">
        <v>235</v>
      </c>
      <c r="P42" s="271"/>
      <c r="Q42" s="271"/>
      <c r="R42" s="271"/>
      <c r="S42" s="271"/>
      <c r="T42" s="269"/>
      <c r="U42" s="269"/>
      <c r="V42" s="269"/>
      <c r="W42" s="350" t="s">
        <v>222</v>
      </c>
      <c r="X42" s="350"/>
      <c r="Y42" s="350"/>
      <c r="Z42" s="350"/>
      <c r="AA42" s="350"/>
      <c r="AB42" s="350"/>
      <c r="AC42" s="351"/>
      <c r="AD42" s="351">
        <f>ROUND(SUM(AD43:AD44),-3)</f>
        <v>69840000</v>
      </c>
      <c r="AE42" s="352" t="s">
        <v>216</v>
      </c>
      <c r="AF42" s="6"/>
    </row>
    <row r="43" spans="1:32" s="10" customFormat="1" ht="21" customHeight="1">
      <c r="A43" s="39"/>
      <c r="B43" s="40"/>
      <c r="C43" s="40"/>
      <c r="D43" s="145"/>
      <c r="E43" s="97"/>
      <c r="F43" s="97"/>
      <c r="G43" s="97"/>
      <c r="H43" s="97"/>
      <c r="I43" s="97"/>
      <c r="J43" s="97"/>
      <c r="K43" s="97"/>
      <c r="L43" s="97"/>
      <c r="M43" s="97"/>
      <c r="N43" s="62"/>
      <c r="O43" s="271" t="s">
        <v>983</v>
      </c>
      <c r="P43" s="271"/>
      <c r="Q43" s="271"/>
      <c r="R43" s="271"/>
      <c r="S43" s="269">
        <f>S34</f>
        <v>1456255000</v>
      </c>
      <c r="T43" s="328" t="s">
        <v>216</v>
      </c>
      <c r="U43" s="325" t="s">
        <v>219</v>
      </c>
      <c r="V43" s="375">
        <v>0.09</v>
      </c>
      <c r="W43" s="328" t="s">
        <v>229</v>
      </c>
      <c r="X43" s="376">
        <v>2</v>
      </c>
      <c r="Y43" s="330"/>
      <c r="Z43" s="330"/>
      <c r="AA43" s="328" t="s">
        <v>220</v>
      </c>
      <c r="AB43" s="269" t="s">
        <v>532</v>
      </c>
      <c r="AC43" s="272"/>
      <c r="AD43" s="272">
        <f>ROUNDUP(S43*V43/X43,-3)</f>
        <v>65532000</v>
      </c>
      <c r="AE43" s="295" t="s">
        <v>216</v>
      </c>
      <c r="AF43" s="6">
        <v>67451000</v>
      </c>
    </row>
    <row r="44" spans="1:32" s="10" customFormat="1" ht="21" customHeight="1">
      <c r="A44" s="39"/>
      <c r="B44" s="40"/>
      <c r="C44" s="40"/>
      <c r="D44" s="145"/>
      <c r="E44" s="97"/>
      <c r="F44" s="97"/>
      <c r="G44" s="97"/>
      <c r="H44" s="97"/>
      <c r="I44" s="97"/>
      <c r="J44" s="97"/>
      <c r="K44" s="97"/>
      <c r="L44" s="97"/>
      <c r="M44" s="97"/>
      <c r="N44" s="62"/>
      <c r="O44" s="271" t="s">
        <v>236</v>
      </c>
      <c r="P44" s="271"/>
      <c r="Q44" s="271"/>
      <c r="R44" s="271"/>
      <c r="S44" s="269">
        <f>S36</f>
        <v>95713000</v>
      </c>
      <c r="T44" s="328" t="s">
        <v>216</v>
      </c>
      <c r="U44" s="325" t="s">
        <v>219</v>
      </c>
      <c r="V44" s="375">
        <v>0.09</v>
      </c>
      <c r="W44" s="328" t="s">
        <v>229</v>
      </c>
      <c r="X44" s="376">
        <v>2</v>
      </c>
      <c r="Y44" s="330"/>
      <c r="Z44" s="330"/>
      <c r="AA44" s="328" t="s">
        <v>220</v>
      </c>
      <c r="AB44" s="269" t="s">
        <v>533</v>
      </c>
      <c r="AC44" s="272"/>
      <c r="AD44" s="272">
        <f>ROUNDUP(S44*V44/X44,-3)</f>
        <v>4308000</v>
      </c>
      <c r="AE44" s="295" t="s">
        <v>216</v>
      </c>
      <c r="AF44" s="6">
        <v>4325000</v>
      </c>
    </row>
    <row r="45" spans="1:32" s="10" customFormat="1" ht="21" customHeight="1">
      <c r="A45" s="39"/>
      <c r="B45" s="40"/>
      <c r="C45" s="40"/>
      <c r="D45" s="145"/>
      <c r="E45" s="97"/>
      <c r="F45" s="97"/>
      <c r="G45" s="97"/>
      <c r="H45" s="97"/>
      <c r="I45" s="97"/>
      <c r="J45" s="97"/>
      <c r="K45" s="97"/>
      <c r="L45" s="97"/>
      <c r="M45" s="97"/>
      <c r="N45" s="62"/>
      <c r="O45" s="271"/>
      <c r="P45" s="271"/>
      <c r="Q45" s="271"/>
      <c r="R45" s="271"/>
      <c r="S45" s="271"/>
      <c r="T45" s="269"/>
      <c r="U45" s="269"/>
      <c r="V45" s="269"/>
      <c r="W45" s="269"/>
      <c r="X45" s="269"/>
      <c r="Y45" s="269"/>
      <c r="Z45" s="269"/>
      <c r="AA45" s="269"/>
      <c r="AB45" s="269"/>
      <c r="AC45" s="272"/>
      <c r="AD45" s="272"/>
      <c r="AE45" s="295"/>
      <c r="AF45" s="6"/>
    </row>
    <row r="46" spans="1:32" s="10" customFormat="1" ht="21" customHeight="1">
      <c r="A46" s="39"/>
      <c r="B46" s="40"/>
      <c r="C46" s="40"/>
      <c r="D46" s="145"/>
      <c r="E46" s="97"/>
      <c r="F46" s="97"/>
      <c r="G46" s="97"/>
      <c r="H46" s="97"/>
      <c r="I46" s="97"/>
      <c r="J46" s="97"/>
      <c r="K46" s="97"/>
      <c r="L46" s="97"/>
      <c r="M46" s="97"/>
      <c r="N46" s="62"/>
      <c r="O46" s="367" t="s">
        <v>238</v>
      </c>
      <c r="P46" s="271"/>
      <c r="Q46" s="271"/>
      <c r="R46" s="271"/>
      <c r="S46" s="271"/>
      <c r="T46" s="269"/>
      <c r="U46" s="269"/>
      <c r="V46" s="269"/>
      <c r="W46" s="350" t="s">
        <v>221</v>
      </c>
      <c r="X46" s="350"/>
      <c r="Y46" s="350"/>
      <c r="Z46" s="350"/>
      <c r="AA46" s="350"/>
      <c r="AB46" s="350"/>
      <c r="AC46" s="351" t="s">
        <v>234</v>
      </c>
      <c r="AD46" s="351">
        <f>ROUND(SUM(AD47:AD48),-3)</f>
        <v>51758000</v>
      </c>
      <c r="AE46" s="352" t="s">
        <v>218</v>
      </c>
      <c r="AF46" s="6"/>
    </row>
    <row r="47" spans="1:32" s="10" customFormat="1" ht="21" customHeight="1">
      <c r="A47" s="39"/>
      <c r="B47" s="40"/>
      <c r="C47" s="40"/>
      <c r="D47" s="145"/>
      <c r="E47" s="97"/>
      <c r="F47" s="97"/>
      <c r="G47" s="97"/>
      <c r="H47" s="97"/>
      <c r="I47" s="97"/>
      <c r="J47" s="97"/>
      <c r="K47" s="97"/>
      <c r="L47" s="97"/>
      <c r="M47" s="97"/>
      <c r="N47" s="62"/>
      <c r="O47" s="271" t="s">
        <v>983</v>
      </c>
      <c r="P47" s="271"/>
      <c r="Q47" s="271"/>
      <c r="R47" s="271"/>
      <c r="S47" s="269">
        <f>S43</f>
        <v>1456255000</v>
      </c>
      <c r="T47" s="328" t="s">
        <v>218</v>
      </c>
      <c r="U47" s="325" t="s">
        <v>237</v>
      </c>
      <c r="V47" s="377">
        <v>6.6699999999999995E-2</v>
      </c>
      <c r="W47" s="328" t="s">
        <v>232</v>
      </c>
      <c r="X47" s="378">
        <v>2</v>
      </c>
      <c r="Y47" s="330"/>
      <c r="Z47" s="330"/>
      <c r="AA47" s="328" t="s">
        <v>233</v>
      </c>
      <c r="AB47" s="269" t="s">
        <v>532</v>
      </c>
      <c r="AC47" s="272"/>
      <c r="AD47" s="272">
        <f>ROUND(S47*V47/X47,-3)</f>
        <v>48566000</v>
      </c>
      <c r="AE47" s="295" t="s">
        <v>218</v>
      </c>
      <c r="AF47" s="6">
        <v>48414000</v>
      </c>
    </row>
    <row r="48" spans="1:32" s="10" customFormat="1" ht="21" customHeight="1">
      <c r="A48" s="39"/>
      <c r="B48" s="40"/>
      <c r="C48" s="40"/>
      <c r="D48" s="145"/>
      <c r="E48" s="97"/>
      <c r="F48" s="97"/>
      <c r="G48" s="97"/>
      <c r="H48" s="97"/>
      <c r="I48" s="97"/>
      <c r="J48" s="97"/>
      <c r="K48" s="97"/>
      <c r="L48" s="97"/>
      <c r="M48" s="97"/>
      <c r="N48" s="62"/>
      <c r="O48" s="271" t="s">
        <v>239</v>
      </c>
      <c r="P48" s="271"/>
      <c r="Q48" s="271"/>
      <c r="R48" s="271"/>
      <c r="S48" s="269">
        <f>S44</f>
        <v>95713000</v>
      </c>
      <c r="T48" s="269" t="s">
        <v>25</v>
      </c>
      <c r="U48" s="328" t="s">
        <v>26</v>
      </c>
      <c r="V48" s="377">
        <v>6.6699999999999995E-2</v>
      </c>
      <c r="W48" s="269" t="s">
        <v>131</v>
      </c>
      <c r="X48" s="328">
        <v>2</v>
      </c>
      <c r="Y48" s="269"/>
      <c r="Z48" s="269"/>
      <c r="AA48" s="269" t="s">
        <v>27</v>
      </c>
      <c r="AB48" s="269" t="s">
        <v>533</v>
      </c>
      <c r="AC48" s="272"/>
      <c r="AD48" s="272">
        <f>ROUNDDOWN(S48*V48/X48,-3)</f>
        <v>3192000</v>
      </c>
      <c r="AE48" s="295" t="s">
        <v>218</v>
      </c>
      <c r="AF48" s="6">
        <v>3104000</v>
      </c>
    </row>
    <row r="49" spans="1:32" s="10" customFormat="1" ht="21" customHeight="1">
      <c r="A49" s="39"/>
      <c r="B49" s="40"/>
      <c r="C49" s="40"/>
      <c r="D49" s="145"/>
      <c r="E49" s="97"/>
      <c r="F49" s="97"/>
      <c r="G49" s="97"/>
      <c r="H49" s="97"/>
      <c r="I49" s="97"/>
      <c r="J49" s="97"/>
      <c r="K49" s="97"/>
      <c r="L49" s="97"/>
      <c r="M49" s="97"/>
      <c r="N49" s="62"/>
      <c r="O49" s="271"/>
      <c r="P49" s="271"/>
      <c r="Q49" s="271"/>
      <c r="R49" s="271"/>
      <c r="S49" s="271"/>
      <c r="T49" s="269"/>
      <c r="U49" s="269"/>
      <c r="V49" s="269"/>
      <c r="W49" s="269"/>
      <c r="X49" s="269"/>
      <c r="Y49" s="269"/>
      <c r="Z49" s="269"/>
      <c r="AA49" s="269"/>
      <c r="AB49" s="269"/>
      <c r="AC49" s="272"/>
      <c r="AD49" s="272"/>
      <c r="AE49" s="295"/>
      <c r="AF49" s="6"/>
    </row>
    <row r="50" spans="1:32" s="10" customFormat="1" ht="21" customHeight="1">
      <c r="A50" s="39"/>
      <c r="B50" s="40"/>
      <c r="C50" s="40"/>
      <c r="D50" s="145"/>
      <c r="E50" s="97"/>
      <c r="F50" s="97"/>
      <c r="G50" s="97"/>
      <c r="H50" s="97"/>
      <c r="I50" s="97"/>
      <c r="J50" s="97"/>
      <c r="K50" s="97"/>
      <c r="L50" s="97"/>
      <c r="M50" s="97"/>
      <c r="N50" s="62"/>
      <c r="O50" s="367" t="s">
        <v>240</v>
      </c>
      <c r="P50" s="271"/>
      <c r="Q50" s="271"/>
      <c r="R50" s="271"/>
      <c r="S50" s="271"/>
      <c r="T50" s="269"/>
      <c r="U50" s="269"/>
      <c r="V50" s="269"/>
      <c r="W50" s="350" t="s">
        <v>221</v>
      </c>
      <c r="X50" s="350"/>
      <c r="Y50" s="350"/>
      <c r="Z50" s="350"/>
      <c r="AA50" s="350"/>
      <c r="AB50" s="350"/>
      <c r="AC50" s="351" t="s">
        <v>234</v>
      </c>
      <c r="AD50" s="351">
        <f>ROUND(SUM(AD51:AD52),-3)</f>
        <v>5306000</v>
      </c>
      <c r="AE50" s="352" t="s">
        <v>218</v>
      </c>
      <c r="AF50" s="6"/>
    </row>
    <row r="51" spans="1:32" s="10" customFormat="1" ht="21" customHeight="1">
      <c r="A51" s="39"/>
      <c r="B51" s="40"/>
      <c r="C51" s="40"/>
      <c r="D51" s="145"/>
      <c r="E51" s="97"/>
      <c r="F51" s="97"/>
      <c r="G51" s="97"/>
      <c r="H51" s="97"/>
      <c r="I51" s="97"/>
      <c r="J51" s="97"/>
      <c r="K51" s="97"/>
      <c r="L51" s="97"/>
      <c r="M51" s="97"/>
      <c r="N51" s="62"/>
      <c r="O51" s="271" t="s">
        <v>983</v>
      </c>
      <c r="P51" s="271"/>
      <c r="Q51" s="271"/>
      <c r="R51" s="271"/>
      <c r="S51" s="379">
        <f>AD47</f>
        <v>48566000</v>
      </c>
      <c r="T51" s="328" t="s">
        <v>218</v>
      </c>
      <c r="U51" s="325" t="s">
        <v>237</v>
      </c>
      <c r="V51" s="377">
        <v>0.10249999999999999</v>
      </c>
      <c r="W51" s="325"/>
      <c r="X51" s="329"/>
      <c r="Y51" s="330"/>
      <c r="Z51" s="330"/>
      <c r="AA51" s="328" t="s">
        <v>233</v>
      </c>
      <c r="AB51" s="269" t="s">
        <v>532</v>
      </c>
      <c r="AC51" s="272"/>
      <c r="AD51" s="272">
        <f>ROUND(S51*V51,-3)</f>
        <v>4978000</v>
      </c>
      <c r="AE51" s="295" t="s">
        <v>218</v>
      </c>
      <c r="AF51" s="6">
        <v>4120000</v>
      </c>
    </row>
    <row r="52" spans="1:32" s="10" customFormat="1" ht="21" customHeight="1">
      <c r="A52" s="39"/>
      <c r="B52" s="40"/>
      <c r="C52" s="40"/>
      <c r="D52" s="145"/>
      <c r="E52" s="97"/>
      <c r="F52" s="97"/>
      <c r="G52" s="97"/>
      <c r="H52" s="97"/>
      <c r="I52" s="97"/>
      <c r="J52" s="97"/>
      <c r="K52" s="97"/>
      <c r="L52" s="97"/>
      <c r="M52" s="97"/>
      <c r="N52" s="62"/>
      <c r="O52" s="271" t="s">
        <v>239</v>
      </c>
      <c r="P52" s="271"/>
      <c r="Q52" s="271"/>
      <c r="R52" s="271"/>
      <c r="S52" s="379">
        <f>AD48</f>
        <v>3192000</v>
      </c>
      <c r="T52" s="328" t="s">
        <v>218</v>
      </c>
      <c r="U52" s="325" t="s">
        <v>237</v>
      </c>
      <c r="V52" s="377">
        <v>0.10249999999999999</v>
      </c>
      <c r="W52" s="325"/>
      <c r="X52" s="329"/>
      <c r="Y52" s="330"/>
      <c r="Z52" s="330"/>
      <c r="AA52" s="328" t="s">
        <v>233</v>
      </c>
      <c r="AB52" s="269" t="s">
        <v>533</v>
      </c>
      <c r="AC52" s="272"/>
      <c r="AD52" s="272">
        <f>ROUNDUP(S52*V52,-3)</f>
        <v>328000</v>
      </c>
      <c r="AE52" s="295" t="s">
        <v>218</v>
      </c>
      <c r="AF52" s="6">
        <v>265000</v>
      </c>
    </row>
    <row r="53" spans="1:32" s="10" customFormat="1" ht="21" customHeight="1">
      <c r="A53" s="39"/>
      <c r="B53" s="40"/>
      <c r="C53" s="40"/>
      <c r="D53" s="145"/>
      <c r="E53" s="97"/>
      <c r="F53" s="97"/>
      <c r="G53" s="97"/>
      <c r="H53" s="97"/>
      <c r="I53" s="97"/>
      <c r="J53" s="97"/>
      <c r="K53" s="97"/>
      <c r="L53" s="97"/>
      <c r="M53" s="97"/>
      <c r="N53" s="62"/>
      <c r="O53" s="271"/>
      <c r="P53" s="271"/>
      <c r="Q53" s="271"/>
      <c r="R53" s="271"/>
      <c r="S53" s="271"/>
      <c r="T53" s="269"/>
      <c r="U53" s="269"/>
      <c r="V53" s="269"/>
      <c r="W53" s="269"/>
      <c r="X53" s="269"/>
      <c r="Y53" s="269"/>
      <c r="Z53" s="269"/>
      <c r="AA53" s="269"/>
      <c r="AB53" s="269"/>
      <c r="AC53" s="272"/>
      <c r="AD53" s="272"/>
      <c r="AE53" s="295"/>
      <c r="AF53" s="6"/>
    </row>
    <row r="54" spans="1:32" s="10" customFormat="1" ht="21" customHeight="1">
      <c r="A54" s="39"/>
      <c r="B54" s="40"/>
      <c r="C54" s="40"/>
      <c r="D54" s="145"/>
      <c r="E54" s="97"/>
      <c r="F54" s="97"/>
      <c r="G54" s="97"/>
      <c r="H54" s="97"/>
      <c r="I54" s="97"/>
      <c r="J54" s="97"/>
      <c r="K54" s="97"/>
      <c r="L54" s="97"/>
      <c r="M54" s="97"/>
      <c r="N54" s="62"/>
      <c r="O54" s="367" t="s">
        <v>241</v>
      </c>
      <c r="P54" s="271"/>
      <c r="Q54" s="271"/>
      <c r="R54" s="271"/>
      <c r="S54" s="271"/>
      <c r="T54" s="269"/>
      <c r="U54" s="269"/>
      <c r="V54" s="269"/>
      <c r="W54" s="350" t="s">
        <v>221</v>
      </c>
      <c r="X54" s="350"/>
      <c r="Y54" s="350"/>
      <c r="Z54" s="350"/>
      <c r="AA54" s="350"/>
      <c r="AB54" s="350"/>
      <c r="AC54" s="351" t="s">
        <v>234</v>
      </c>
      <c r="AD54" s="351">
        <f>ROUND(SUM(AD55:AD57),-3)</f>
        <v>16296000</v>
      </c>
      <c r="AE54" s="352" t="s">
        <v>218</v>
      </c>
      <c r="AF54" s="6"/>
    </row>
    <row r="55" spans="1:32" s="10" customFormat="1" ht="21" customHeight="1">
      <c r="A55" s="39"/>
      <c r="B55" s="40"/>
      <c r="C55" s="40"/>
      <c r="D55" s="145"/>
      <c r="E55" s="97"/>
      <c r="F55" s="97"/>
      <c r="G55" s="97"/>
      <c r="H55" s="97"/>
      <c r="I55" s="97"/>
      <c r="J55" s="97"/>
      <c r="K55" s="97"/>
      <c r="L55" s="97"/>
      <c r="M55" s="97"/>
      <c r="N55" s="62"/>
      <c r="O55" s="271" t="s">
        <v>289</v>
      </c>
      <c r="P55" s="271"/>
      <c r="Q55" s="271"/>
      <c r="R55" s="271"/>
      <c r="S55" s="269">
        <f>S47</f>
        <v>1456255000</v>
      </c>
      <c r="T55" s="328" t="s">
        <v>218</v>
      </c>
      <c r="U55" s="325" t="s">
        <v>237</v>
      </c>
      <c r="V55" s="377">
        <v>1.0500000000000001E-2</v>
      </c>
      <c r="W55" s="325"/>
      <c r="X55" s="329"/>
      <c r="Y55" s="330"/>
      <c r="Z55" s="330"/>
      <c r="AA55" s="328" t="s">
        <v>233</v>
      </c>
      <c r="AB55" s="269" t="s">
        <v>532</v>
      </c>
      <c r="AC55" s="272"/>
      <c r="AD55" s="272">
        <f>ROUNDUP(S55*V55,-3)</f>
        <v>15291000</v>
      </c>
      <c r="AE55" s="295" t="s">
        <v>218</v>
      </c>
      <c r="AF55" s="6">
        <v>15739000</v>
      </c>
    </row>
    <row r="56" spans="1:32" s="10" customFormat="1" ht="21" customHeight="1">
      <c r="A56" s="39"/>
      <c r="B56" s="40"/>
      <c r="C56" s="40"/>
      <c r="D56" s="145"/>
      <c r="E56" s="97"/>
      <c r="F56" s="97"/>
      <c r="G56" s="97"/>
      <c r="H56" s="97"/>
      <c r="I56" s="97"/>
      <c r="J56" s="97"/>
      <c r="K56" s="97"/>
      <c r="L56" s="97"/>
      <c r="M56" s="97"/>
      <c r="N56" s="62"/>
      <c r="O56" s="271" t="s">
        <v>239</v>
      </c>
      <c r="P56" s="271"/>
      <c r="Q56" s="271"/>
      <c r="R56" s="271"/>
      <c r="S56" s="269">
        <f>S48</f>
        <v>95713000</v>
      </c>
      <c r="T56" s="328" t="s">
        <v>218</v>
      </c>
      <c r="U56" s="325" t="s">
        <v>237</v>
      </c>
      <c r="V56" s="377">
        <v>1.0500000000000001E-2</v>
      </c>
      <c r="W56" s="325"/>
      <c r="X56" s="329"/>
      <c r="Y56" s="330"/>
      <c r="Z56" s="330"/>
      <c r="AA56" s="328" t="s">
        <v>233</v>
      </c>
      <c r="AB56" s="269" t="s">
        <v>533</v>
      </c>
      <c r="AC56" s="272"/>
      <c r="AD56" s="272">
        <f>ROUNDUP(S56*V56,-3)</f>
        <v>1005000</v>
      </c>
      <c r="AE56" s="295" t="s">
        <v>218</v>
      </c>
      <c r="AF56" s="6">
        <v>1009000</v>
      </c>
    </row>
    <row r="57" spans="1:32" s="10" customFormat="1" ht="21" customHeight="1">
      <c r="A57" s="39"/>
      <c r="B57" s="40"/>
      <c r="C57" s="40"/>
      <c r="D57" s="145"/>
      <c r="E57" s="97"/>
      <c r="F57" s="97"/>
      <c r="G57" s="97"/>
      <c r="H57" s="97"/>
      <c r="I57" s="97"/>
      <c r="J57" s="97"/>
      <c r="K57" s="97"/>
      <c r="L57" s="97"/>
      <c r="M57" s="97"/>
      <c r="N57" s="62"/>
      <c r="O57" s="423"/>
      <c r="P57" s="423"/>
      <c r="Q57" s="423"/>
      <c r="R57" s="423"/>
      <c r="S57" s="423"/>
      <c r="T57" s="370"/>
      <c r="U57" s="370"/>
      <c r="V57" s="370"/>
      <c r="W57" s="370"/>
      <c r="X57" s="370"/>
      <c r="Y57" s="370"/>
      <c r="Z57" s="370"/>
      <c r="AA57" s="370"/>
      <c r="AB57" s="370"/>
      <c r="AC57" s="518"/>
      <c r="AD57" s="518"/>
      <c r="AE57" s="581"/>
      <c r="AF57" s="6"/>
    </row>
    <row r="58" spans="1:32" s="10" customFormat="1" ht="21" customHeight="1">
      <c r="A58" s="39"/>
      <c r="B58" s="40"/>
      <c r="C58" s="40"/>
      <c r="D58" s="145"/>
      <c r="E58" s="97"/>
      <c r="F58" s="97"/>
      <c r="G58" s="97"/>
      <c r="H58" s="97"/>
      <c r="I58" s="97"/>
      <c r="J58" s="97"/>
      <c r="K58" s="97"/>
      <c r="L58" s="97"/>
      <c r="M58" s="97"/>
      <c r="N58" s="62"/>
      <c r="O58" s="367" t="s">
        <v>242</v>
      </c>
      <c r="P58" s="271"/>
      <c r="Q58" s="271"/>
      <c r="R58" s="271"/>
      <c r="S58" s="271"/>
      <c r="T58" s="269"/>
      <c r="U58" s="269"/>
      <c r="V58" s="269"/>
      <c r="W58" s="350" t="s">
        <v>221</v>
      </c>
      <c r="X58" s="350"/>
      <c r="Y58" s="350"/>
      <c r="Z58" s="350"/>
      <c r="AA58" s="350"/>
      <c r="AB58" s="350"/>
      <c r="AC58" s="351" t="s">
        <v>234</v>
      </c>
      <c r="AD58" s="351">
        <f>ROUND(SUM(AD59:AD60),-3)</f>
        <v>10445000</v>
      </c>
      <c r="AE58" s="352" t="s">
        <v>218</v>
      </c>
      <c r="AF58" s="6"/>
    </row>
    <row r="59" spans="1:32" s="10" customFormat="1" ht="21" customHeight="1">
      <c r="A59" s="39"/>
      <c r="B59" s="40"/>
      <c r="C59" s="40"/>
      <c r="D59" s="145"/>
      <c r="E59" s="97"/>
      <c r="F59" s="97"/>
      <c r="G59" s="97"/>
      <c r="H59" s="97"/>
      <c r="I59" s="97"/>
      <c r="J59" s="97"/>
      <c r="K59" s="97"/>
      <c r="L59" s="97"/>
      <c r="M59" s="97"/>
      <c r="N59" s="62"/>
      <c r="O59" s="271" t="s">
        <v>983</v>
      </c>
      <c r="P59" s="271"/>
      <c r="Q59" s="271"/>
      <c r="R59" s="271"/>
      <c r="S59" s="269">
        <f>S55</f>
        <v>1456255000</v>
      </c>
      <c r="T59" s="328" t="s">
        <v>218</v>
      </c>
      <c r="U59" s="325" t="s">
        <v>237</v>
      </c>
      <c r="V59" s="380">
        <v>6.7299999999999999E-3</v>
      </c>
      <c r="W59" s="325"/>
      <c r="X59" s="329"/>
      <c r="Y59" s="330"/>
      <c r="Z59" s="330"/>
      <c r="AA59" s="328" t="s">
        <v>233</v>
      </c>
      <c r="AB59" s="269" t="s">
        <v>532</v>
      </c>
      <c r="AC59" s="272"/>
      <c r="AD59" s="272">
        <f>ROUNDDOWN(S59*V59,-3)</f>
        <v>9800000</v>
      </c>
      <c r="AE59" s="295" t="s">
        <v>218</v>
      </c>
      <c r="AF59" s="6">
        <v>10387000</v>
      </c>
    </row>
    <row r="60" spans="1:32" s="10" customFormat="1" ht="21" customHeight="1">
      <c r="A60" s="39"/>
      <c r="B60" s="40"/>
      <c r="C60" s="40"/>
      <c r="D60" s="145"/>
      <c r="E60" s="97"/>
      <c r="F60" s="97"/>
      <c r="G60" s="97"/>
      <c r="H60" s="97"/>
      <c r="I60" s="97"/>
      <c r="J60" s="97"/>
      <c r="K60" s="97"/>
      <c r="L60" s="97"/>
      <c r="M60" s="97"/>
      <c r="N60" s="62"/>
      <c r="O60" s="271" t="s">
        <v>239</v>
      </c>
      <c r="P60" s="271"/>
      <c r="Q60" s="271"/>
      <c r="R60" s="271"/>
      <c r="S60" s="269">
        <f>S56</f>
        <v>95713000</v>
      </c>
      <c r="T60" s="328" t="s">
        <v>218</v>
      </c>
      <c r="U60" s="325" t="s">
        <v>237</v>
      </c>
      <c r="V60" s="380">
        <v>6.7299999999999999E-3</v>
      </c>
      <c r="W60" s="325"/>
      <c r="X60" s="329"/>
      <c r="Y60" s="330"/>
      <c r="Z60" s="330"/>
      <c r="AA60" s="328" t="s">
        <v>233</v>
      </c>
      <c r="AB60" s="269" t="s">
        <v>533</v>
      </c>
      <c r="AC60" s="272"/>
      <c r="AD60" s="272">
        <f>ROUNDUP(S60*V60,-3)</f>
        <v>645000</v>
      </c>
      <c r="AE60" s="295" t="s">
        <v>218</v>
      </c>
      <c r="AF60" s="6">
        <v>666000</v>
      </c>
    </row>
    <row r="61" spans="1:32" s="10" customFormat="1" ht="21" customHeight="1">
      <c r="A61" s="39"/>
      <c r="B61" s="40"/>
      <c r="C61" s="40"/>
      <c r="D61" s="145"/>
      <c r="E61" s="97"/>
      <c r="F61" s="97"/>
      <c r="G61" s="97"/>
      <c r="H61" s="97"/>
      <c r="I61" s="97"/>
      <c r="J61" s="97"/>
      <c r="K61" s="97"/>
      <c r="L61" s="97"/>
      <c r="M61" s="97"/>
      <c r="N61" s="62"/>
      <c r="O61" s="271"/>
      <c r="P61" s="271"/>
      <c r="Q61" s="271"/>
      <c r="R61" s="271"/>
      <c r="S61" s="269"/>
      <c r="T61" s="328"/>
      <c r="U61" s="761"/>
      <c r="V61" s="380"/>
      <c r="W61" s="761"/>
      <c r="X61" s="329"/>
      <c r="Y61" s="330"/>
      <c r="Z61" s="330"/>
      <c r="AA61" s="328"/>
      <c r="AB61" s="269"/>
      <c r="AC61" s="272"/>
      <c r="AD61" s="272"/>
      <c r="AE61" s="295"/>
      <c r="AF61" s="6"/>
    </row>
    <row r="62" spans="1:32" s="10" customFormat="1" ht="21" customHeight="1">
      <c r="A62" s="39"/>
      <c r="B62" s="40"/>
      <c r="C62" s="40"/>
      <c r="D62" s="145"/>
      <c r="E62" s="97"/>
      <c r="F62" s="97"/>
      <c r="G62" s="97"/>
      <c r="H62" s="97"/>
      <c r="I62" s="97"/>
      <c r="J62" s="97"/>
      <c r="K62" s="97"/>
      <c r="L62" s="97"/>
      <c r="M62" s="97"/>
      <c r="N62" s="62"/>
      <c r="O62" s="271" t="s">
        <v>985</v>
      </c>
      <c r="P62" s="271"/>
      <c r="Q62" s="271"/>
      <c r="R62" s="271"/>
      <c r="S62" s="269"/>
      <c r="T62" s="328"/>
      <c r="U62" s="761"/>
      <c r="V62" s="380"/>
      <c r="W62" s="761"/>
      <c r="X62" s="329"/>
      <c r="Y62" s="330"/>
      <c r="Z62" s="330"/>
      <c r="AA62" s="328"/>
      <c r="AB62" s="269" t="s">
        <v>923</v>
      </c>
      <c r="AC62" s="272"/>
      <c r="AD62" s="272">
        <v>10000</v>
      </c>
      <c r="AE62" s="295" t="s">
        <v>924</v>
      </c>
      <c r="AF62" s="6">
        <v>0</v>
      </c>
    </row>
    <row r="63" spans="1:32" s="10" customFormat="1" ht="21" customHeight="1">
      <c r="A63" s="39"/>
      <c r="B63" s="40"/>
      <c r="C63" s="40"/>
      <c r="D63" s="145"/>
      <c r="E63" s="97"/>
      <c r="F63" s="97"/>
      <c r="G63" s="97"/>
      <c r="H63" s="97"/>
      <c r="I63" s="97"/>
      <c r="J63" s="97"/>
      <c r="K63" s="97"/>
      <c r="L63" s="97"/>
      <c r="M63" s="97"/>
      <c r="N63" s="62"/>
      <c r="O63" s="271"/>
      <c r="P63" s="271"/>
      <c r="Q63" s="271"/>
      <c r="R63" s="271"/>
      <c r="S63" s="271"/>
      <c r="T63" s="269"/>
      <c r="U63" s="269"/>
      <c r="V63" s="269"/>
      <c r="W63" s="269"/>
      <c r="X63" s="269"/>
      <c r="Y63" s="269"/>
      <c r="Z63" s="269"/>
      <c r="AA63" s="269"/>
      <c r="AB63" s="269"/>
      <c r="AC63" s="272"/>
      <c r="AD63" s="272"/>
      <c r="AE63" s="295"/>
      <c r="AF63" s="6"/>
    </row>
    <row r="64" spans="1:32" s="10" customFormat="1" ht="21" customHeight="1">
      <c r="A64" s="39"/>
      <c r="B64" s="40"/>
      <c r="C64" s="30" t="s">
        <v>70</v>
      </c>
      <c r="D64" s="147">
        <v>29526</v>
      </c>
      <c r="E64" s="102">
        <f>ROUND(AD64/1000,0)</f>
        <v>21282</v>
      </c>
      <c r="F64" s="102">
        <f>SUMIF($AB$65:$AB$82,"보조",$AD$65:$AD$82)/1000</f>
        <v>0</v>
      </c>
      <c r="G64" s="102">
        <f>SUMIF($AB$65:$AB$82,"7종",$AD$65:$AD$82)/1000</f>
        <v>6000</v>
      </c>
      <c r="H64" s="102">
        <f>SUMIF($AB$65:$AB$82,"4종",$AD$65:$AD$82)/1000</f>
        <v>0</v>
      </c>
      <c r="I64" s="102">
        <f>SUMIF($AB$65:$AB$82,"후원",$AD$65:$AD$82)/1000</f>
        <v>4818</v>
      </c>
      <c r="J64" s="102">
        <f>SUMIF($AB$65:$AB$82,"입소",$AD$65:$AD$82)/1000</f>
        <v>0</v>
      </c>
      <c r="K64" s="102">
        <f>SUMIF($AB$65:$AB$82,"법인",$AD$65:$AD$82)/1000</f>
        <v>8530</v>
      </c>
      <c r="L64" s="102">
        <f>SUMIF($AB$65:$AB$82,"잡수",$AD$65:$AD$82)/1000</f>
        <v>1934</v>
      </c>
      <c r="M64" s="101">
        <f>E64-D64</f>
        <v>-8244</v>
      </c>
      <c r="N64" s="109">
        <f>IF(D64=0,0,M64/D64)</f>
        <v>-0.27921154236943713</v>
      </c>
      <c r="O64" s="89" t="s">
        <v>71</v>
      </c>
      <c r="P64" s="162"/>
      <c r="Q64" s="85"/>
      <c r="R64" s="85"/>
      <c r="S64" s="85"/>
      <c r="T64" s="81"/>
      <c r="U64" s="81"/>
      <c r="V64" s="81"/>
      <c r="W64" s="163" t="s">
        <v>123</v>
      </c>
      <c r="X64" s="163"/>
      <c r="Y64" s="163"/>
      <c r="Z64" s="163"/>
      <c r="AA64" s="163"/>
      <c r="AB64" s="163"/>
      <c r="AC64" s="165"/>
      <c r="AD64" s="165">
        <f>SUM(AD65:AD82)</f>
        <v>21282000</v>
      </c>
      <c r="AE64" s="164" t="s">
        <v>25</v>
      </c>
      <c r="AF64" s="782"/>
    </row>
    <row r="65" spans="1:32" s="10" customFormat="1" ht="21" customHeight="1">
      <c r="A65" s="39"/>
      <c r="B65" s="40"/>
      <c r="C65" s="40" t="s">
        <v>126</v>
      </c>
      <c r="D65" s="145"/>
      <c r="E65" s="97"/>
      <c r="F65" s="97"/>
      <c r="G65" s="97"/>
      <c r="H65" s="97"/>
      <c r="I65" s="97"/>
      <c r="J65" s="97"/>
      <c r="K65" s="97"/>
      <c r="L65" s="97"/>
      <c r="M65" s="97"/>
      <c r="N65" s="62"/>
      <c r="O65" s="369" t="s">
        <v>243</v>
      </c>
      <c r="P65" s="369"/>
      <c r="Q65" s="368"/>
      <c r="R65" s="368"/>
      <c r="S65" s="368">
        <v>20000</v>
      </c>
      <c r="T65" s="368" t="s">
        <v>244</v>
      </c>
      <c r="U65" s="381" t="s">
        <v>245</v>
      </c>
      <c r="V65" s="368">
        <v>39</v>
      </c>
      <c r="W65" s="368" t="s">
        <v>246</v>
      </c>
      <c r="X65" s="368"/>
      <c r="Y65" s="368"/>
      <c r="Z65" s="368"/>
      <c r="AA65" s="368" t="s">
        <v>247</v>
      </c>
      <c r="AB65" s="368" t="s">
        <v>248</v>
      </c>
      <c r="AC65" s="124"/>
      <c r="AD65" s="776">
        <f>S65*V65</f>
        <v>780000</v>
      </c>
      <c r="AE65" s="125" t="s">
        <v>56</v>
      </c>
      <c r="AF65" s="783">
        <v>780000</v>
      </c>
    </row>
    <row r="66" spans="1:32" s="10" customFormat="1" ht="21" customHeight="1">
      <c r="A66" s="39"/>
      <c r="B66" s="40"/>
      <c r="C66" s="40"/>
      <c r="D66" s="145"/>
      <c r="E66" s="97"/>
      <c r="F66" s="97"/>
      <c r="G66" s="97"/>
      <c r="H66" s="97"/>
      <c r="I66" s="97"/>
      <c r="J66" s="97"/>
      <c r="K66" s="97"/>
      <c r="L66" s="97"/>
      <c r="M66" s="97"/>
      <c r="N66" s="62"/>
      <c r="O66" s="729" t="s">
        <v>787</v>
      </c>
      <c r="P66" s="729"/>
      <c r="Q66" s="728"/>
      <c r="R66" s="728"/>
      <c r="S66" s="728">
        <v>30000</v>
      </c>
      <c r="T66" s="728" t="s">
        <v>788</v>
      </c>
      <c r="U66" s="381" t="s">
        <v>789</v>
      </c>
      <c r="V66" s="728">
        <v>39</v>
      </c>
      <c r="W66" s="728" t="s">
        <v>790</v>
      </c>
      <c r="X66" s="381" t="s">
        <v>789</v>
      </c>
      <c r="Y66" s="728">
        <v>1</v>
      </c>
      <c r="Z66" s="728" t="s">
        <v>791</v>
      </c>
      <c r="AA66" s="728" t="s">
        <v>792</v>
      </c>
      <c r="AB66" s="728" t="s">
        <v>793</v>
      </c>
      <c r="AC66" s="727"/>
      <c r="AD66" s="777">
        <f>S66*V66*Y66</f>
        <v>1170000</v>
      </c>
      <c r="AE66" s="125" t="s">
        <v>788</v>
      </c>
      <c r="AF66" s="783">
        <v>2340000</v>
      </c>
    </row>
    <row r="67" spans="1:32" s="10" customFormat="1" ht="21" customHeight="1">
      <c r="A67" s="39"/>
      <c r="B67" s="40"/>
      <c r="C67" s="40"/>
      <c r="D67" s="145"/>
      <c r="E67" s="97"/>
      <c r="F67" s="97"/>
      <c r="G67" s="97"/>
      <c r="H67" s="97"/>
      <c r="I67" s="97"/>
      <c r="J67" s="97"/>
      <c r="K67" s="97"/>
      <c r="L67" s="97"/>
      <c r="M67" s="97"/>
      <c r="N67" s="62"/>
      <c r="O67" s="729" t="s">
        <v>831</v>
      </c>
      <c r="P67" s="729"/>
      <c r="Q67" s="728"/>
      <c r="R67" s="728"/>
      <c r="S67" s="728">
        <v>0</v>
      </c>
      <c r="T67" s="728" t="s">
        <v>788</v>
      </c>
      <c r="U67" s="381" t="s">
        <v>789</v>
      </c>
      <c r="V67" s="728">
        <v>39</v>
      </c>
      <c r="W67" s="728" t="s">
        <v>790</v>
      </c>
      <c r="X67" s="728"/>
      <c r="Y67" s="728"/>
      <c r="Z67" s="728"/>
      <c r="AA67" s="728" t="s">
        <v>792</v>
      </c>
      <c r="AB67" s="728" t="s">
        <v>805</v>
      </c>
      <c r="AC67" s="727"/>
      <c r="AD67" s="776">
        <v>727000</v>
      </c>
      <c r="AE67" s="125" t="s">
        <v>788</v>
      </c>
      <c r="AF67" s="783">
        <v>727000</v>
      </c>
    </row>
    <row r="68" spans="1:32" s="10" customFormat="1" ht="21" customHeight="1">
      <c r="A68" s="39"/>
      <c r="B68" s="40"/>
      <c r="C68" s="40"/>
      <c r="D68" s="145"/>
      <c r="E68" s="97"/>
      <c r="F68" s="97"/>
      <c r="G68" s="97"/>
      <c r="H68" s="97"/>
      <c r="I68" s="97"/>
      <c r="J68" s="97"/>
      <c r="K68" s="97"/>
      <c r="L68" s="97"/>
      <c r="M68" s="97"/>
      <c r="N68" s="62"/>
      <c r="O68" s="754"/>
      <c r="P68" s="754"/>
      <c r="Q68" s="753"/>
      <c r="R68" s="753"/>
      <c r="S68" s="753"/>
      <c r="T68" s="753"/>
      <c r="U68" s="381"/>
      <c r="V68" s="753"/>
      <c r="W68" s="753"/>
      <c r="X68" s="753"/>
      <c r="Y68" s="753"/>
      <c r="Z68" s="753"/>
      <c r="AA68" s="753"/>
      <c r="AB68" s="753" t="s">
        <v>150</v>
      </c>
      <c r="AC68" s="752"/>
      <c r="AD68" s="776">
        <v>2393000</v>
      </c>
      <c r="AE68" s="125" t="s">
        <v>56</v>
      </c>
      <c r="AF68" s="783">
        <v>2393000</v>
      </c>
    </row>
    <row r="69" spans="1:32" s="10" customFormat="1" ht="21" customHeight="1">
      <c r="A69" s="39"/>
      <c r="B69" s="40"/>
      <c r="C69" s="40"/>
      <c r="D69" s="145"/>
      <c r="E69" s="97"/>
      <c r="F69" s="97"/>
      <c r="G69" s="97"/>
      <c r="H69" s="97"/>
      <c r="I69" s="97"/>
      <c r="J69" s="97"/>
      <c r="K69" s="97"/>
      <c r="L69" s="97"/>
      <c r="M69" s="97"/>
      <c r="N69" s="62"/>
      <c r="O69" s="729" t="s">
        <v>795</v>
      </c>
      <c r="P69" s="729"/>
      <c r="Q69" s="729"/>
      <c r="R69" s="729"/>
      <c r="S69" s="728">
        <v>20000</v>
      </c>
      <c r="T69" s="728" t="s">
        <v>788</v>
      </c>
      <c r="U69" s="381" t="s">
        <v>789</v>
      </c>
      <c r="V69" s="728">
        <v>39</v>
      </c>
      <c r="W69" s="728" t="s">
        <v>790</v>
      </c>
      <c r="X69" s="381" t="s">
        <v>789</v>
      </c>
      <c r="Y69" s="728">
        <v>2</v>
      </c>
      <c r="Z69" s="728" t="s">
        <v>791</v>
      </c>
      <c r="AA69" s="728" t="s">
        <v>792</v>
      </c>
      <c r="AB69" s="728" t="s">
        <v>169</v>
      </c>
      <c r="AC69" s="382"/>
      <c r="AD69" s="777">
        <f>S69*V69*Y69</f>
        <v>1560000</v>
      </c>
      <c r="AE69" s="383" t="s">
        <v>25</v>
      </c>
      <c r="AF69" s="783">
        <v>3120000</v>
      </c>
    </row>
    <row r="70" spans="1:32" s="10" customFormat="1" ht="21" customHeight="1">
      <c r="A70" s="39"/>
      <c r="B70" s="40"/>
      <c r="C70" s="40"/>
      <c r="D70" s="145"/>
      <c r="E70" s="97"/>
      <c r="F70" s="97"/>
      <c r="G70" s="97"/>
      <c r="H70" s="97"/>
      <c r="I70" s="97"/>
      <c r="J70" s="97"/>
      <c r="K70" s="97"/>
      <c r="L70" s="97"/>
      <c r="M70" s="97"/>
      <c r="N70" s="62"/>
      <c r="O70" s="773"/>
      <c r="P70" s="773"/>
      <c r="Q70" s="773"/>
      <c r="R70" s="773"/>
      <c r="S70" s="772"/>
      <c r="T70" s="772"/>
      <c r="U70" s="381"/>
      <c r="V70" s="772" t="s">
        <v>968</v>
      </c>
      <c r="W70" s="772"/>
      <c r="X70" s="381"/>
      <c r="Y70" s="772"/>
      <c r="Z70" s="772"/>
      <c r="AA70" s="772"/>
      <c r="AB70" s="772" t="s">
        <v>966</v>
      </c>
      <c r="AC70" s="382"/>
      <c r="AD70" s="777">
        <v>850000</v>
      </c>
      <c r="AE70" s="383" t="s">
        <v>967</v>
      </c>
      <c r="AF70" s="783">
        <v>0</v>
      </c>
    </row>
    <row r="71" spans="1:32" s="10" customFormat="1" ht="21" customHeight="1">
      <c r="A71" s="39"/>
      <c r="B71" s="40"/>
      <c r="C71" s="40"/>
      <c r="D71" s="145"/>
      <c r="E71" s="97"/>
      <c r="F71" s="97"/>
      <c r="G71" s="97"/>
      <c r="H71" s="97"/>
      <c r="I71" s="97"/>
      <c r="J71" s="97"/>
      <c r="K71" s="97"/>
      <c r="L71" s="97"/>
      <c r="M71" s="97"/>
      <c r="N71" s="62"/>
      <c r="O71" s="729" t="s">
        <v>797</v>
      </c>
      <c r="P71" s="729"/>
      <c r="Q71" s="729"/>
      <c r="R71" s="729"/>
      <c r="S71" s="728"/>
      <c r="T71" s="728"/>
      <c r="U71" s="381"/>
      <c r="V71" s="728"/>
      <c r="W71" s="728"/>
      <c r="X71" s="381"/>
      <c r="Y71" s="728"/>
      <c r="Z71" s="728"/>
      <c r="AA71" s="728"/>
      <c r="AB71" s="728" t="s">
        <v>796</v>
      </c>
      <c r="AC71" s="382"/>
      <c r="AD71" s="777">
        <v>0</v>
      </c>
      <c r="AE71" s="383" t="s">
        <v>788</v>
      </c>
      <c r="AF71" s="783">
        <v>0</v>
      </c>
    </row>
    <row r="72" spans="1:32" s="10" customFormat="1" ht="21" customHeight="1">
      <c r="A72" s="39"/>
      <c r="B72" s="40"/>
      <c r="C72" s="40"/>
      <c r="D72" s="145"/>
      <c r="E72" s="97"/>
      <c r="F72" s="97"/>
      <c r="G72" s="97"/>
      <c r="H72" s="97"/>
      <c r="I72" s="97"/>
      <c r="J72" s="97"/>
      <c r="K72" s="97"/>
      <c r="L72" s="97"/>
      <c r="M72" s="97"/>
      <c r="N72" s="62"/>
      <c r="O72" s="729" t="s">
        <v>832</v>
      </c>
      <c r="P72" s="729"/>
      <c r="Q72" s="729"/>
      <c r="R72" s="729"/>
      <c r="S72" s="728">
        <v>590000</v>
      </c>
      <c r="T72" s="728" t="s">
        <v>788</v>
      </c>
      <c r="U72" s="381" t="s">
        <v>789</v>
      </c>
      <c r="V72" s="728">
        <v>3</v>
      </c>
      <c r="W72" s="728" t="s">
        <v>790</v>
      </c>
      <c r="X72" s="381"/>
      <c r="Y72" s="728"/>
      <c r="Z72" s="728"/>
      <c r="AA72" s="728" t="s">
        <v>792</v>
      </c>
      <c r="AB72" s="728" t="s">
        <v>793</v>
      </c>
      <c r="AC72" s="727"/>
      <c r="AD72" s="777">
        <f>S72*V72</f>
        <v>1770000</v>
      </c>
      <c r="AE72" s="125" t="s">
        <v>788</v>
      </c>
      <c r="AF72" s="783">
        <v>1770000</v>
      </c>
    </row>
    <row r="73" spans="1:32" s="10" customFormat="1" ht="21" customHeight="1">
      <c r="A73" s="39"/>
      <c r="B73" s="40"/>
      <c r="C73" s="40"/>
      <c r="D73" s="145"/>
      <c r="E73" s="97"/>
      <c r="F73" s="97"/>
      <c r="G73" s="97"/>
      <c r="H73" s="97"/>
      <c r="I73" s="97"/>
      <c r="J73" s="97"/>
      <c r="K73" s="97"/>
      <c r="L73" s="97"/>
      <c r="M73" s="97"/>
      <c r="N73" s="62"/>
      <c r="O73" s="729" t="s">
        <v>798</v>
      </c>
      <c r="P73" s="729"/>
      <c r="Q73" s="728"/>
      <c r="R73" s="728"/>
      <c r="S73" s="728"/>
      <c r="T73" s="382" t="s">
        <v>788</v>
      </c>
      <c r="U73" s="381" t="s">
        <v>789</v>
      </c>
      <c r="V73" s="382">
        <v>39</v>
      </c>
      <c r="W73" s="728" t="s">
        <v>790</v>
      </c>
      <c r="X73" s="381"/>
      <c r="Y73" s="382"/>
      <c r="Z73" s="382"/>
      <c r="AA73" s="387" t="s">
        <v>792</v>
      </c>
      <c r="AB73" s="382" t="s">
        <v>793</v>
      </c>
      <c r="AC73" s="382"/>
      <c r="AD73" s="777">
        <v>0</v>
      </c>
      <c r="AE73" s="383" t="s">
        <v>788</v>
      </c>
      <c r="AF73" s="783">
        <v>1661000</v>
      </c>
    </row>
    <row r="74" spans="1:32" s="10" customFormat="1" ht="21" customHeight="1">
      <c r="A74" s="39"/>
      <c r="B74" s="40"/>
      <c r="C74" s="40"/>
      <c r="D74" s="145"/>
      <c r="E74" s="97"/>
      <c r="F74" s="97"/>
      <c r="G74" s="97"/>
      <c r="H74" s="97"/>
      <c r="I74" s="97"/>
      <c r="J74" s="97"/>
      <c r="K74" s="97"/>
      <c r="L74" s="97"/>
      <c r="M74" s="97"/>
      <c r="N74" s="62"/>
      <c r="O74" s="729" t="s">
        <v>799</v>
      </c>
      <c r="P74" s="729"/>
      <c r="Q74" s="729"/>
      <c r="R74" s="729"/>
      <c r="S74" s="728"/>
      <c r="T74" s="382"/>
      <c r="U74" s="382"/>
      <c r="V74" s="382"/>
      <c r="W74" s="728"/>
      <c r="X74" s="728"/>
      <c r="Y74" s="382"/>
      <c r="Z74" s="382"/>
      <c r="AA74" s="382"/>
      <c r="AB74" s="382" t="s">
        <v>793</v>
      </c>
      <c r="AC74" s="382"/>
      <c r="AD74" s="777">
        <v>860000</v>
      </c>
      <c r="AE74" s="383" t="s">
        <v>788</v>
      </c>
      <c r="AF74" s="783">
        <v>860000</v>
      </c>
    </row>
    <row r="75" spans="1:32" s="10" customFormat="1" ht="21" customHeight="1">
      <c r="A75" s="39"/>
      <c r="B75" s="40"/>
      <c r="C75" s="40"/>
      <c r="D75" s="145"/>
      <c r="E75" s="97"/>
      <c r="F75" s="97"/>
      <c r="G75" s="97"/>
      <c r="H75" s="97"/>
      <c r="I75" s="97"/>
      <c r="J75" s="97"/>
      <c r="K75" s="97"/>
      <c r="L75" s="97"/>
      <c r="M75" s="97"/>
      <c r="N75" s="62"/>
      <c r="O75" s="729" t="s">
        <v>800</v>
      </c>
      <c r="P75" s="729"/>
      <c r="Q75" s="729"/>
      <c r="R75" s="729"/>
      <c r="S75" s="728">
        <v>300000</v>
      </c>
      <c r="T75" s="726" t="s">
        <v>788</v>
      </c>
      <c r="U75" s="381" t="s">
        <v>789</v>
      </c>
      <c r="V75" s="384">
        <v>20</v>
      </c>
      <c r="W75" s="381" t="s">
        <v>790</v>
      </c>
      <c r="X75" s="385"/>
      <c r="Y75" s="68"/>
      <c r="Z75" s="68"/>
      <c r="AA75" s="726" t="s">
        <v>792</v>
      </c>
      <c r="AB75" s="728" t="s">
        <v>801</v>
      </c>
      <c r="AC75" s="727"/>
      <c r="AD75" s="776">
        <f>ROUNDUP(S75*V75,-3)</f>
        <v>6000000</v>
      </c>
      <c r="AE75" s="125" t="s">
        <v>788</v>
      </c>
      <c r="AF75" s="783">
        <v>6000000</v>
      </c>
    </row>
    <row r="76" spans="1:32" s="10" customFormat="1" ht="21" customHeight="1">
      <c r="A76" s="39"/>
      <c r="B76" s="40"/>
      <c r="C76" s="40"/>
      <c r="D76" s="145"/>
      <c r="E76" s="97"/>
      <c r="F76" s="97"/>
      <c r="G76" s="97"/>
      <c r="H76" s="97"/>
      <c r="I76" s="97"/>
      <c r="J76" s="97"/>
      <c r="K76" s="97"/>
      <c r="L76" s="97"/>
      <c r="M76" s="97"/>
      <c r="N76" s="62"/>
      <c r="O76" s="729" t="s">
        <v>833</v>
      </c>
      <c r="P76" s="729"/>
      <c r="Q76" s="729"/>
      <c r="R76" s="729"/>
      <c r="S76" s="728"/>
      <c r="T76" s="726"/>
      <c r="U76" s="381"/>
      <c r="V76" s="384"/>
      <c r="W76" s="381"/>
      <c r="X76" s="385"/>
      <c r="Y76" s="68"/>
      <c r="Z76" s="68"/>
      <c r="AA76" s="726"/>
      <c r="AB76" s="728" t="s">
        <v>169</v>
      </c>
      <c r="AC76" s="727"/>
      <c r="AD76" s="776">
        <v>690000</v>
      </c>
      <c r="AE76" s="125" t="s">
        <v>788</v>
      </c>
      <c r="AF76" s="783">
        <v>690000</v>
      </c>
    </row>
    <row r="77" spans="1:32" s="10" customFormat="1" ht="21" customHeight="1">
      <c r="A77" s="39"/>
      <c r="B77" s="40"/>
      <c r="C77" s="40"/>
      <c r="D77" s="145"/>
      <c r="E77" s="97"/>
      <c r="F77" s="97"/>
      <c r="G77" s="97"/>
      <c r="H77" s="97"/>
      <c r="I77" s="97"/>
      <c r="J77" s="97"/>
      <c r="K77" s="97"/>
      <c r="L77" s="97"/>
      <c r="M77" s="97"/>
      <c r="N77" s="62"/>
      <c r="O77" s="729" t="s">
        <v>802</v>
      </c>
      <c r="P77" s="729"/>
      <c r="Q77" s="729"/>
      <c r="R77" s="729"/>
      <c r="S77" s="728">
        <v>40000</v>
      </c>
      <c r="T77" s="726" t="s">
        <v>788</v>
      </c>
      <c r="U77" s="381" t="s">
        <v>789</v>
      </c>
      <c r="V77" s="384">
        <v>39</v>
      </c>
      <c r="W77" s="381" t="s">
        <v>790</v>
      </c>
      <c r="X77" s="385"/>
      <c r="Y77" s="68"/>
      <c r="Z77" s="68"/>
      <c r="AA77" s="726" t="s">
        <v>792</v>
      </c>
      <c r="AB77" s="382" t="s">
        <v>794</v>
      </c>
      <c r="AC77" s="382"/>
      <c r="AD77" s="776">
        <f>ROUNDUP(S77*V77,-3)</f>
        <v>1560000</v>
      </c>
      <c r="AE77" s="383" t="s">
        <v>788</v>
      </c>
      <c r="AF77" s="783">
        <v>1560000</v>
      </c>
    </row>
    <row r="78" spans="1:32" s="10" customFormat="1" ht="21" customHeight="1">
      <c r="A78" s="39"/>
      <c r="B78" s="40"/>
      <c r="C78" s="40"/>
      <c r="D78" s="145"/>
      <c r="E78" s="97"/>
      <c r="F78" s="97"/>
      <c r="G78" s="97"/>
      <c r="H78" s="97"/>
      <c r="I78" s="97"/>
      <c r="J78" s="97"/>
      <c r="K78" s="97"/>
      <c r="L78" s="97"/>
      <c r="M78" s="97"/>
      <c r="N78" s="62"/>
      <c r="O78" s="729" t="s">
        <v>803</v>
      </c>
      <c r="P78" s="729"/>
      <c r="Q78" s="729"/>
      <c r="R78" s="729"/>
      <c r="S78" s="728">
        <v>100000</v>
      </c>
      <c r="T78" s="726" t="s">
        <v>788</v>
      </c>
      <c r="U78" s="381" t="s">
        <v>789</v>
      </c>
      <c r="V78" s="384">
        <v>39</v>
      </c>
      <c r="W78" s="381" t="s">
        <v>790</v>
      </c>
      <c r="X78" s="385"/>
      <c r="Y78" s="68"/>
      <c r="Z78" s="68"/>
      <c r="AA78" s="726" t="s">
        <v>792</v>
      </c>
      <c r="AB78" s="382" t="s">
        <v>793</v>
      </c>
      <c r="AC78" s="382"/>
      <c r="AD78" s="776">
        <v>0</v>
      </c>
      <c r="AE78" s="383" t="s">
        <v>788</v>
      </c>
      <c r="AF78" s="783">
        <v>3900000</v>
      </c>
    </row>
    <row r="79" spans="1:32" s="10" customFormat="1" ht="21" customHeight="1">
      <c r="A79" s="39"/>
      <c r="B79" s="40"/>
      <c r="C79" s="40"/>
      <c r="D79" s="145"/>
      <c r="E79" s="97"/>
      <c r="F79" s="97"/>
      <c r="G79" s="97"/>
      <c r="H79" s="97"/>
      <c r="I79" s="97"/>
      <c r="J79" s="97"/>
      <c r="K79" s="97"/>
      <c r="L79" s="97"/>
      <c r="M79" s="97"/>
      <c r="N79" s="62"/>
      <c r="O79" s="729" t="s">
        <v>834</v>
      </c>
      <c r="P79" s="729"/>
      <c r="Q79" s="729"/>
      <c r="R79" s="729"/>
      <c r="S79" s="728"/>
      <c r="T79" s="726"/>
      <c r="U79" s="381"/>
      <c r="V79" s="384"/>
      <c r="W79" s="381"/>
      <c r="X79" s="385"/>
      <c r="Y79" s="68"/>
      <c r="Z79" s="68"/>
      <c r="AA79" s="726"/>
      <c r="AB79" s="382" t="s">
        <v>793</v>
      </c>
      <c r="AC79" s="382"/>
      <c r="AD79" s="776">
        <v>973000</v>
      </c>
      <c r="AE79" s="383" t="s">
        <v>788</v>
      </c>
      <c r="AF79" s="783">
        <v>500000</v>
      </c>
    </row>
    <row r="80" spans="1:32" s="10" customFormat="1" ht="21" customHeight="1">
      <c r="A80" s="39"/>
      <c r="B80" s="40"/>
      <c r="C80" s="40"/>
      <c r="D80" s="145"/>
      <c r="E80" s="97"/>
      <c r="F80" s="97"/>
      <c r="G80" s="97"/>
      <c r="H80" s="97"/>
      <c r="I80" s="97"/>
      <c r="J80" s="97"/>
      <c r="K80" s="97"/>
      <c r="L80" s="97"/>
      <c r="M80" s="97"/>
      <c r="N80" s="62"/>
      <c r="O80" s="767" t="s">
        <v>939</v>
      </c>
      <c r="P80" s="741"/>
      <c r="Q80" s="741"/>
      <c r="R80" s="741"/>
      <c r="S80" s="740"/>
      <c r="T80" s="738"/>
      <c r="U80" s="381"/>
      <c r="V80" s="384"/>
      <c r="W80" s="381"/>
      <c r="X80" s="385"/>
      <c r="Y80" s="68"/>
      <c r="Z80" s="68"/>
      <c r="AA80" s="738"/>
      <c r="AB80" s="382" t="s">
        <v>882</v>
      </c>
      <c r="AC80" s="382"/>
      <c r="AD80" s="776">
        <v>1724000</v>
      </c>
      <c r="AE80" s="383" t="s">
        <v>879</v>
      </c>
      <c r="AF80" s="783">
        <v>3000000</v>
      </c>
    </row>
    <row r="81" spans="1:34" s="10" customFormat="1" ht="21" customHeight="1">
      <c r="A81" s="39"/>
      <c r="B81" s="40"/>
      <c r="C81" s="40"/>
      <c r="D81" s="145"/>
      <c r="E81" s="97"/>
      <c r="F81" s="97"/>
      <c r="G81" s="97"/>
      <c r="H81" s="97"/>
      <c r="I81" s="97"/>
      <c r="J81" s="97"/>
      <c r="K81" s="97"/>
      <c r="L81" s="97"/>
      <c r="M81" s="97"/>
      <c r="N81" s="62"/>
      <c r="O81" s="729" t="s">
        <v>804</v>
      </c>
      <c r="P81" s="729"/>
      <c r="Q81" s="728"/>
      <c r="R81" s="728"/>
      <c r="S81" s="728"/>
      <c r="T81" s="728"/>
      <c r="U81" s="728"/>
      <c r="V81" s="728"/>
      <c r="W81" s="728"/>
      <c r="X81" s="728"/>
      <c r="Y81" s="728"/>
      <c r="Z81" s="728"/>
      <c r="AA81" s="728"/>
      <c r="AB81" s="382" t="s">
        <v>796</v>
      </c>
      <c r="AC81" s="727"/>
      <c r="AD81" s="776">
        <v>210000</v>
      </c>
      <c r="AE81" s="125" t="s">
        <v>788</v>
      </c>
      <c r="AF81" s="783">
        <v>210000</v>
      </c>
    </row>
    <row r="82" spans="1:34" s="10" customFormat="1" ht="21" customHeight="1">
      <c r="A82" s="39"/>
      <c r="B82" s="53"/>
      <c r="C82" s="53"/>
      <c r="D82" s="146"/>
      <c r="E82" s="99"/>
      <c r="F82" s="99"/>
      <c r="G82" s="99"/>
      <c r="H82" s="99"/>
      <c r="I82" s="99"/>
      <c r="J82" s="99"/>
      <c r="K82" s="99"/>
      <c r="L82" s="99"/>
      <c r="M82" s="99"/>
      <c r="N82" s="76"/>
      <c r="O82" s="577" t="s">
        <v>253</v>
      </c>
      <c r="P82" s="577"/>
      <c r="Q82" s="576"/>
      <c r="R82" s="576"/>
      <c r="S82" s="576"/>
      <c r="T82" s="576"/>
      <c r="U82" s="576"/>
      <c r="V82" s="576"/>
      <c r="W82" s="368"/>
      <c r="X82" s="368"/>
      <c r="Y82" s="368"/>
      <c r="Z82" s="368"/>
      <c r="AA82" s="368"/>
      <c r="AB82" s="382" t="s">
        <v>150</v>
      </c>
      <c r="AC82" s="124"/>
      <c r="AD82" s="776">
        <v>15000</v>
      </c>
      <c r="AE82" s="125" t="s">
        <v>56</v>
      </c>
      <c r="AF82" s="783">
        <v>15000</v>
      </c>
    </row>
    <row r="83" spans="1:34" s="10" customFormat="1" ht="21" customHeight="1">
      <c r="A83" s="39"/>
      <c r="B83" s="30" t="s">
        <v>125</v>
      </c>
      <c r="C83" s="30" t="s">
        <v>5</v>
      </c>
      <c r="D83" s="101">
        <f t="shared" ref="D83:L83" si="3">SUM(D84,D86,D88)</f>
        <v>2080</v>
      </c>
      <c r="E83" s="101">
        <f t="shared" si="3"/>
        <v>2080</v>
      </c>
      <c r="F83" s="101">
        <f t="shared" si="3"/>
        <v>0</v>
      </c>
      <c r="G83" s="101">
        <f t="shared" si="3"/>
        <v>0</v>
      </c>
      <c r="H83" s="101">
        <f t="shared" si="3"/>
        <v>0</v>
      </c>
      <c r="I83" s="101">
        <f t="shared" si="3"/>
        <v>0</v>
      </c>
      <c r="J83" s="101">
        <f t="shared" si="3"/>
        <v>0</v>
      </c>
      <c r="K83" s="101">
        <f t="shared" si="3"/>
        <v>2080</v>
      </c>
      <c r="L83" s="101">
        <f t="shared" si="3"/>
        <v>0</v>
      </c>
      <c r="M83" s="101">
        <f>E83-D83</f>
        <v>0</v>
      </c>
      <c r="N83" s="109">
        <f>IF(D83=0,0,M83/D83)</f>
        <v>0</v>
      </c>
      <c r="O83" s="172" t="s">
        <v>133</v>
      </c>
      <c r="P83" s="172"/>
      <c r="Q83" s="172"/>
      <c r="R83" s="172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86"/>
      <c r="AD83" s="86">
        <f>SUM(AD84,AD86,AD88)</f>
        <v>2080000</v>
      </c>
      <c r="AE83" s="87" t="s">
        <v>25</v>
      </c>
      <c r="AF83" s="6"/>
    </row>
    <row r="84" spans="1:34" s="10" customFormat="1" ht="21" customHeight="1">
      <c r="A84" s="39"/>
      <c r="B84" s="40" t="s">
        <v>132</v>
      </c>
      <c r="C84" s="30" t="s">
        <v>10</v>
      </c>
      <c r="D84" s="147">
        <v>1000</v>
      </c>
      <c r="E84" s="101">
        <f>AD84/1000</f>
        <v>1000</v>
      </c>
      <c r="F84" s="102">
        <f>SUMIF($AB$85:$AB$85,"보조",$AD$85:$AD$85)/1000</f>
        <v>0</v>
      </c>
      <c r="G84" s="102">
        <f>SUMIF($AB$85:$AB$85,"7종",$AD$85:$AD$85)/1000</f>
        <v>0</v>
      </c>
      <c r="H84" s="102">
        <f>SUMIF($AB$85:$AB$85,"4종",$AD$85:$AD$85)/1000</f>
        <v>0</v>
      </c>
      <c r="I84" s="102">
        <f>SUMIF($AB$85:$AB$85,"후원",$AD$85:$AD$85)/1000</f>
        <v>0</v>
      </c>
      <c r="J84" s="102">
        <f>SUMIF($AB$85:$AB$85,"입소",$AD$85:$AD$85)/1000</f>
        <v>0</v>
      </c>
      <c r="K84" s="102">
        <f>SUMIF($AB$85:$AB$85,"법인",$AD$85:$AD$85)/1000</f>
        <v>1000</v>
      </c>
      <c r="L84" s="102">
        <f>SUMIF($AB$85:$AB$85,"잡수",$AD$85:$AD$85)/1000</f>
        <v>0</v>
      </c>
      <c r="M84" s="101">
        <f>E84-D84</f>
        <v>0</v>
      </c>
      <c r="N84" s="109">
        <f>IF(D84=0,0,M84/D84)</f>
        <v>0</v>
      </c>
      <c r="O84" s="89" t="s">
        <v>37</v>
      </c>
      <c r="P84" s="136"/>
      <c r="Q84" s="151"/>
      <c r="R84" s="151"/>
      <c r="S84" s="151"/>
      <c r="T84" s="80"/>
      <c r="U84" s="80"/>
      <c r="V84" s="80"/>
      <c r="W84" s="80"/>
      <c r="X84" s="80"/>
      <c r="Y84" s="163" t="s">
        <v>135</v>
      </c>
      <c r="Z84" s="163"/>
      <c r="AA84" s="163"/>
      <c r="AB84" s="163"/>
      <c r="AC84" s="165"/>
      <c r="AD84" s="165">
        <f>AD85</f>
        <v>1000000</v>
      </c>
      <c r="AE84" s="164" t="s">
        <v>25</v>
      </c>
      <c r="AF84" s="6"/>
    </row>
    <row r="85" spans="1:34" s="10" customFormat="1" ht="21" customHeight="1">
      <c r="A85" s="39"/>
      <c r="B85" s="40"/>
      <c r="C85" s="40"/>
      <c r="D85" s="145"/>
      <c r="E85" s="97"/>
      <c r="F85" s="97"/>
      <c r="G85" s="97"/>
      <c r="H85" s="97"/>
      <c r="I85" s="97"/>
      <c r="J85" s="97"/>
      <c r="K85" s="97"/>
      <c r="L85" s="97"/>
      <c r="M85" s="97"/>
      <c r="N85" s="62"/>
      <c r="O85" s="729" t="s">
        <v>806</v>
      </c>
      <c r="P85" s="729"/>
      <c r="Q85" s="729"/>
      <c r="R85" s="729"/>
      <c r="S85" s="728"/>
      <c r="T85" s="289"/>
      <c r="U85" s="289"/>
      <c r="V85" s="728"/>
      <c r="W85" s="729"/>
      <c r="X85" s="728"/>
      <c r="Y85" s="728"/>
      <c r="Z85" s="728"/>
      <c r="AA85" s="728"/>
      <c r="AB85" s="728" t="s">
        <v>793</v>
      </c>
      <c r="AC85" s="728"/>
      <c r="AD85" s="777">
        <v>1000000</v>
      </c>
      <c r="AE85" s="125" t="s">
        <v>788</v>
      </c>
      <c r="AF85" s="6">
        <v>1000000</v>
      </c>
    </row>
    <row r="86" spans="1:34" s="10" customFormat="1" ht="21" customHeight="1">
      <c r="A86" s="39"/>
      <c r="B86" s="40"/>
      <c r="C86" s="40" t="s">
        <v>11</v>
      </c>
      <c r="D86" s="145">
        <v>0</v>
      </c>
      <c r="E86" s="97">
        <f>AD86/1000</f>
        <v>0</v>
      </c>
      <c r="F86" s="102">
        <f>SUMIF($AB$87:$AB$87,"보조",$AD$87:$AD$87)/1000</f>
        <v>0</v>
      </c>
      <c r="G86" s="102">
        <f>SUMIF($AB$87:$AB$87,"7종",$AD$87:$AD$87)/1000</f>
        <v>0</v>
      </c>
      <c r="H86" s="102">
        <f>SUMIF($AB$87:$AB$87,"4종",$AD$87:$AD$87)/1000</f>
        <v>0</v>
      </c>
      <c r="I86" s="102">
        <f>SUMIF($AB$87:$AB$87,"후원",$AD$87:$AD$87)/1000</f>
        <v>0</v>
      </c>
      <c r="J86" s="102">
        <f>SUMIF($AB$87:$AB$87,"입소",$AD$87:$AD$87)/1000</f>
        <v>0</v>
      </c>
      <c r="K86" s="102">
        <f>SUMIF($AB$87:$AB$87,"법인",$AD$87:$AD$87)/1000</f>
        <v>0</v>
      </c>
      <c r="L86" s="102">
        <f>SUMIF($AB$87:$AB$87,"잡수",$AD$87:$AD$87)/1000</f>
        <v>0</v>
      </c>
      <c r="M86" s="97">
        <f>E86-D86</f>
        <v>0</v>
      </c>
      <c r="N86" s="62">
        <f>IF(D86=0,0,M86/D86)</f>
        <v>0</v>
      </c>
      <c r="O86" s="89" t="s">
        <v>134</v>
      </c>
      <c r="P86" s="162"/>
      <c r="Q86" s="26"/>
      <c r="R86" s="26"/>
      <c r="S86" s="26"/>
      <c r="T86" s="27"/>
      <c r="U86" s="27"/>
      <c r="V86" s="27"/>
      <c r="W86" s="27"/>
      <c r="X86" s="27"/>
      <c r="Y86" s="163" t="s">
        <v>135</v>
      </c>
      <c r="Z86" s="163"/>
      <c r="AA86" s="163"/>
      <c r="AB86" s="163"/>
      <c r="AC86" s="165"/>
      <c r="AD86" s="165">
        <v>0</v>
      </c>
      <c r="AE86" s="164" t="s">
        <v>25</v>
      </c>
      <c r="AF86" s="6"/>
    </row>
    <row r="87" spans="1:34" s="10" customFormat="1" ht="21" customHeight="1">
      <c r="A87" s="39"/>
      <c r="B87" s="40"/>
      <c r="C87" s="53"/>
      <c r="D87" s="146"/>
      <c r="E87" s="99"/>
      <c r="F87" s="99"/>
      <c r="G87" s="99"/>
      <c r="H87" s="99"/>
      <c r="I87" s="99"/>
      <c r="J87" s="99"/>
      <c r="K87" s="99"/>
      <c r="L87" s="99"/>
      <c r="M87" s="99"/>
      <c r="N87" s="76"/>
      <c r="O87" s="140"/>
      <c r="P87" s="73"/>
      <c r="Q87" s="73"/>
      <c r="R87" s="73"/>
      <c r="S87" s="72"/>
      <c r="T87" s="77"/>
      <c r="U87" s="77"/>
      <c r="V87" s="72"/>
      <c r="W87" s="73"/>
      <c r="X87" s="72"/>
      <c r="Y87" s="72"/>
      <c r="Z87" s="72"/>
      <c r="AA87" s="72"/>
      <c r="AB87" s="72"/>
      <c r="AC87" s="72"/>
      <c r="AD87" s="216"/>
      <c r="AE87" s="65"/>
      <c r="AF87" s="6"/>
    </row>
    <row r="88" spans="1:34" s="10" customFormat="1" ht="21" customHeight="1">
      <c r="A88" s="39"/>
      <c r="B88" s="40"/>
      <c r="C88" s="40" t="s">
        <v>72</v>
      </c>
      <c r="D88" s="145">
        <v>1080</v>
      </c>
      <c r="E88" s="97">
        <f>AD88/1000</f>
        <v>1080</v>
      </c>
      <c r="F88" s="102">
        <f>SUMIF($AB$89:$AB$91,"보조",$AD$89:$AD$91)/1000</f>
        <v>0</v>
      </c>
      <c r="G88" s="102">
        <f>SUMIF($AB$89:$AB$91,"7종",$AD$89:$AD$91)/1000</f>
        <v>0</v>
      </c>
      <c r="H88" s="102">
        <f>SUMIF($AB$89:$AB$91,"4종",$AD$89:$AD$91)/1000</f>
        <v>0</v>
      </c>
      <c r="I88" s="102">
        <f>SUMIF($AB$89:$AB$91,"후원",$AD$89:$AD$91)/1000</f>
        <v>0</v>
      </c>
      <c r="J88" s="102">
        <f>SUMIF($AB$89:$AB$91,"입소",$AD$89:$AD$91)/1000</f>
        <v>0</v>
      </c>
      <c r="K88" s="102">
        <f>SUMIF($AB$89:$AB$91,"법인",$AD$89:$AD$91)/1000</f>
        <v>1080</v>
      </c>
      <c r="L88" s="102">
        <f>SUMIF($AB$89:$AB$91,"잡수",$AD$89:$AD$91)/1000</f>
        <v>0</v>
      </c>
      <c r="M88" s="97">
        <f>E88-D88</f>
        <v>0</v>
      </c>
      <c r="N88" s="62">
        <f>IF(D88=0,0,M88/D88)</f>
        <v>0</v>
      </c>
      <c r="O88" s="104" t="s">
        <v>38</v>
      </c>
      <c r="P88" s="26"/>
      <c r="Q88" s="26"/>
      <c r="R88" s="26"/>
      <c r="S88" s="26"/>
      <c r="T88" s="27"/>
      <c r="U88" s="27"/>
      <c r="V88" s="27"/>
      <c r="W88" s="27"/>
      <c r="X88" s="27"/>
      <c r="Y88" s="163" t="s">
        <v>135</v>
      </c>
      <c r="Z88" s="163"/>
      <c r="AA88" s="163"/>
      <c r="AB88" s="163"/>
      <c r="AC88" s="165"/>
      <c r="AD88" s="165">
        <f>SUM(AD89:AD91)</f>
        <v>1080000</v>
      </c>
      <c r="AE88" s="164" t="s">
        <v>25</v>
      </c>
      <c r="AF88" s="6"/>
    </row>
    <row r="89" spans="1:34" s="12" customFormat="1" ht="21" customHeight="1">
      <c r="A89" s="39"/>
      <c r="B89" s="40"/>
      <c r="C89" s="40"/>
      <c r="D89" s="145"/>
      <c r="E89" s="97"/>
      <c r="F89" s="97"/>
      <c r="G89" s="97"/>
      <c r="H89" s="97"/>
      <c r="I89" s="97"/>
      <c r="J89" s="97"/>
      <c r="K89" s="97"/>
      <c r="L89" s="97"/>
      <c r="M89" s="97"/>
      <c r="N89" s="62"/>
      <c r="O89" s="625" t="s">
        <v>700</v>
      </c>
      <c r="P89" s="625"/>
      <c r="Q89" s="625"/>
      <c r="R89" s="625"/>
      <c r="S89" s="624"/>
      <c r="T89" s="289"/>
      <c r="U89" s="289"/>
      <c r="V89" s="624"/>
      <c r="W89" s="625"/>
      <c r="X89" s="624"/>
      <c r="Y89" s="624"/>
      <c r="Z89" s="624"/>
      <c r="AA89" s="624"/>
      <c r="AB89" s="624" t="s">
        <v>699</v>
      </c>
      <c r="AC89" s="624"/>
      <c r="AD89" s="777">
        <v>280000</v>
      </c>
      <c r="AE89" s="125" t="s">
        <v>686</v>
      </c>
      <c r="AF89" s="6">
        <v>280000</v>
      </c>
    </row>
    <row r="90" spans="1:34" s="12" customFormat="1" ht="21" customHeight="1">
      <c r="A90" s="39"/>
      <c r="B90" s="40"/>
      <c r="C90" s="40"/>
      <c r="D90" s="145"/>
      <c r="E90" s="97"/>
      <c r="F90" s="97"/>
      <c r="G90" s="97"/>
      <c r="H90" s="97"/>
      <c r="I90" s="97"/>
      <c r="J90" s="97"/>
      <c r="K90" s="97"/>
      <c r="L90" s="97"/>
      <c r="M90" s="97"/>
      <c r="N90" s="62"/>
      <c r="O90" s="369" t="s">
        <v>255</v>
      </c>
      <c r="P90" s="369"/>
      <c r="Q90" s="369"/>
      <c r="R90" s="369"/>
      <c r="S90" s="368">
        <v>50000</v>
      </c>
      <c r="T90" s="368" t="s">
        <v>254</v>
      </c>
      <c r="U90" s="369" t="s">
        <v>256</v>
      </c>
      <c r="V90" s="368">
        <v>4</v>
      </c>
      <c r="W90" s="368" t="s">
        <v>257</v>
      </c>
      <c r="X90" s="369" t="s">
        <v>256</v>
      </c>
      <c r="Y90" s="290">
        <v>4</v>
      </c>
      <c r="Z90" s="521" t="s">
        <v>528</v>
      </c>
      <c r="AA90" s="283" t="s">
        <v>259</v>
      </c>
      <c r="AB90" s="543" t="s">
        <v>618</v>
      </c>
      <c r="AC90" s="564"/>
      <c r="AD90" s="777">
        <f>S90*V90*Y90</f>
        <v>800000</v>
      </c>
      <c r="AE90" s="125" t="s">
        <v>602</v>
      </c>
      <c r="AF90" s="6">
        <v>800000</v>
      </c>
    </row>
    <row r="91" spans="1:34" s="12" customFormat="1" ht="21" customHeight="1">
      <c r="A91" s="39"/>
      <c r="B91" s="40"/>
      <c r="C91" s="40"/>
      <c r="D91" s="145"/>
      <c r="E91" s="97"/>
      <c r="F91" s="97"/>
      <c r="G91" s="97"/>
      <c r="H91" s="97"/>
      <c r="I91" s="97"/>
      <c r="J91" s="97"/>
      <c r="K91" s="97"/>
      <c r="L91" s="97"/>
      <c r="M91" s="97"/>
      <c r="N91" s="62"/>
      <c r="O91" s="369"/>
      <c r="P91" s="369"/>
      <c r="Q91" s="369"/>
      <c r="R91" s="369"/>
      <c r="S91" s="368"/>
      <c r="T91" s="289"/>
      <c r="U91" s="289"/>
      <c r="V91" s="368"/>
      <c r="W91" s="369"/>
      <c r="X91" s="368"/>
      <c r="Y91" s="368"/>
      <c r="Z91" s="368"/>
      <c r="AA91" s="368"/>
      <c r="AB91" s="563"/>
      <c r="AC91" s="563"/>
      <c r="AD91" s="777"/>
      <c r="AE91" s="125"/>
      <c r="AF91" s="6"/>
    </row>
    <row r="92" spans="1:34" s="10" customFormat="1" ht="21" customHeight="1">
      <c r="A92" s="39"/>
      <c r="B92" s="30" t="s">
        <v>12</v>
      </c>
      <c r="C92" s="159" t="s">
        <v>5</v>
      </c>
      <c r="D92" s="160">
        <f t="shared" ref="D92:L92" si="4">SUM(D93,D96,D119,D127,D139,D145)</f>
        <v>101214</v>
      </c>
      <c r="E92" s="160">
        <f t="shared" si="4"/>
        <v>95952</v>
      </c>
      <c r="F92" s="160">
        <f t="shared" si="4"/>
        <v>58762</v>
      </c>
      <c r="G92" s="160">
        <f t="shared" si="4"/>
        <v>3600</v>
      </c>
      <c r="H92" s="160">
        <f t="shared" si="4"/>
        <v>0</v>
      </c>
      <c r="I92" s="160">
        <f t="shared" si="4"/>
        <v>17484</v>
      </c>
      <c r="J92" s="160">
        <f t="shared" si="4"/>
        <v>0</v>
      </c>
      <c r="K92" s="160">
        <f t="shared" si="4"/>
        <v>14896</v>
      </c>
      <c r="L92" s="160">
        <f t="shared" si="4"/>
        <v>1210</v>
      </c>
      <c r="M92" s="749">
        <f>E92-D92</f>
        <v>-5262</v>
      </c>
      <c r="N92" s="161">
        <f>IF(D92=0,0,M92/D92)</f>
        <v>-5.1988855296698083E-2</v>
      </c>
      <c r="O92" s="162" t="s">
        <v>136</v>
      </c>
      <c r="P92" s="162"/>
      <c r="Q92" s="162"/>
      <c r="R92" s="162"/>
      <c r="S92" s="163"/>
      <c r="T92" s="173"/>
      <c r="U92" s="163"/>
      <c r="V92" s="851"/>
      <c r="W92" s="852"/>
      <c r="X92" s="163"/>
      <c r="Y92" s="163"/>
      <c r="Z92" s="163"/>
      <c r="AA92" s="163"/>
      <c r="AB92" s="163"/>
      <c r="AC92" s="163"/>
      <c r="AD92" s="779">
        <f>SUM(AD93,AD96,AD119,AD127,AD139,AD145)</f>
        <v>95952000</v>
      </c>
      <c r="AE92" s="164" t="s">
        <v>25</v>
      </c>
      <c r="AF92" s="6"/>
    </row>
    <row r="93" spans="1:34" s="10" customFormat="1" ht="21" customHeight="1">
      <c r="A93" s="39"/>
      <c r="B93" s="40"/>
      <c r="C93" s="40" t="s">
        <v>73</v>
      </c>
      <c r="D93" s="145">
        <v>775</v>
      </c>
      <c r="E93" s="97">
        <f>AD93/1000</f>
        <v>775</v>
      </c>
      <c r="F93" s="102">
        <f>SUMIF($AB$94:$AB$95,"보조",$AD$94:$AD$95)/1000</f>
        <v>0</v>
      </c>
      <c r="G93" s="102">
        <f>SUMIF($AB$94:$AB$95,"7종",$AD$94:$AD$95)/1000</f>
        <v>0</v>
      </c>
      <c r="H93" s="102">
        <f>SUMIF($AB$94:$AB$95,"4종",$AD$94:$AD$95)/1000</f>
        <v>0</v>
      </c>
      <c r="I93" s="102">
        <f>SUMIF($AB$94:$AB$95,"후원",$AD$94:$AD$95)/1000</f>
        <v>375</v>
      </c>
      <c r="J93" s="102">
        <f>SUMIF($AB$94:$AB$95,"입소",$AD$94:$AD$95)/1000</f>
        <v>0</v>
      </c>
      <c r="K93" s="102">
        <f>SUMIF($AB$94:$AB$95,"법인",$AD$94:$AD$95)/1000</f>
        <v>400</v>
      </c>
      <c r="L93" s="102">
        <f>SUMIF($AB$94:$AB$95,"잡수",$AD$94:$AD$95)/1000</f>
        <v>0</v>
      </c>
      <c r="M93" s="97">
        <f>E93-D93</f>
        <v>0</v>
      </c>
      <c r="N93" s="62">
        <f>IF(D93=0,0,M93/D93)</f>
        <v>0</v>
      </c>
      <c r="O93" s="104" t="s">
        <v>40</v>
      </c>
      <c r="P93" s="26"/>
      <c r="Q93" s="26"/>
      <c r="R93" s="26"/>
      <c r="S93" s="26"/>
      <c r="T93" s="27"/>
      <c r="U93" s="27"/>
      <c r="V93" s="27"/>
      <c r="W93" s="27"/>
      <c r="X93" s="27"/>
      <c r="Y93" s="354" t="s">
        <v>135</v>
      </c>
      <c r="Z93" s="354"/>
      <c r="AA93" s="354"/>
      <c r="AB93" s="354"/>
      <c r="AC93" s="165"/>
      <c r="AD93" s="165">
        <f>SUM(AD94:AD95)</f>
        <v>775000</v>
      </c>
      <c r="AE93" s="164" t="s">
        <v>25</v>
      </c>
      <c r="AF93" s="784"/>
      <c r="AG93" s="16"/>
      <c r="AH93" s="16"/>
    </row>
    <row r="94" spans="1:34" s="10" customFormat="1" ht="21" customHeight="1">
      <c r="A94" s="39"/>
      <c r="B94" s="40"/>
      <c r="C94" s="40"/>
      <c r="D94" s="145"/>
      <c r="E94" s="97"/>
      <c r="F94" s="97"/>
      <c r="G94" s="97"/>
      <c r="H94" s="97"/>
      <c r="I94" s="97"/>
      <c r="J94" s="97"/>
      <c r="K94" s="97"/>
      <c r="L94" s="97"/>
      <c r="M94" s="97"/>
      <c r="N94" s="62"/>
      <c r="O94" s="729" t="s">
        <v>807</v>
      </c>
      <c r="P94" s="729"/>
      <c r="Q94" s="729"/>
      <c r="R94" s="729"/>
      <c r="S94" s="728">
        <v>15000</v>
      </c>
      <c r="T94" s="289" t="s">
        <v>25</v>
      </c>
      <c r="U94" s="289" t="s">
        <v>26</v>
      </c>
      <c r="V94" s="728">
        <v>25</v>
      </c>
      <c r="W94" s="289" t="s">
        <v>137</v>
      </c>
      <c r="X94" s="728" t="s">
        <v>26</v>
      </c>
      <c r="Y94" s="728">
        <v>1</v>
      </c>
      <c r="Z94" s="728" t="s">
        <v>791</v>
      </c>
      <c r="AA94" s="728" t="s">
        <v>27</v>
      </c>
      <c r="AB94" s="728" t="s">
        <v>794</v>
      </c>
      <c r="AC94" s="728"/>
      <c r="AD94" s="777">
        <f>S94*V94*Y94</f>
        <v>375000</v>
      </c>
      <c r="AE94" s="125" t="s">
        <v>788</v>
      </c>
      <c r="AF94" s="6">
        <v>375000</v>
      </c>
    </row>
    <row r="95" spans="1:34" s="10" customFormat="1" ht="21" customHeight="1">
      <c r="A95" s="39"/>
      <c r="B95" s="40"/>
      <c r="C95" s="40"/>
      <c r="D95" s="145"/>
      <c r="E95" s="97"/>
      <c r="F95" s="97"/>
      <c r="G95" s="97"/>
      <c r="H95" s="97"/>
      <c r="I95" s="97"/>
      <c r="J95" s="97"/>
      <c r="K95" s="97"/>
      <c r="L95" s="97"/>
      <c r="M95" s="97"/>
      <c r="N95" s="62"/>
      <c r="O95" s="729" t="s">
        <v>808</v>
      </c>
      <c r="P95" s="729"/>
      <c r="Q95" s="729"/>
      <c r="R95" s="729"/>
      <c r="S95" s="728">
        <v>120000</v>
      </c>
      <c r="T95" s="289" t="s">
        <v>25</v>
      </c>
      <c r="U95" s="289" t="s">
        <v>26</v>
      </c>
      <c r="V95" s="728">
        <v>1</v>
      </c>
      <c r="W95" s="289" t="s">
        <v>137</v>
      </c>
      <c r="X95" s="728" t="s">
        <v>26</v>
      </c>
      <c r="Y95" s="728">
        <v>2</v>
      </c>
      <c r="Z95" s="728" t="s">
        <v>791</v>
      </c>
      <c r="AA95" s="728" t="s">
        <v>27</v>
      </c>
      <c r="AB95" s="728" t="s">
        <v>793</v>
      </c>
      <c r="AC95" s="728"/>
      <c r="AD95" s="777">
        <v>400000</v>
      </c>
      <c r="AE95" s="125" t="s">
        <v>788</v>
      </c>
      <c r="AF95" s="6">
        <v>400000</v>
      </c>
    </row>
    <row r="96" spans="1:34" s="10" customFormat="1" ht="21" customHeight="1">
      <c r="A96" s="39"/>
      <c r="B96" s="40"/>
      <c r="C96" s="30" t="s">
        <v>41</v>
      </c>
      <c r="D96" s="147">
        <v>27182</v>
      </c>
      <c r="E96" s="101">
        <f>ROUND(AD96/1000,0)</f>
        <v>27182</v>
      </c>
      <c r="F96" s="102">
        <f>SUMIF($AB$97:$AB$115,"보조",$AD$97:$AD$115)/1000</f>
        <v>20647</v>
      </c>
      <c r="G96" s="102">
        <f>SUMIF($AB$97:$AB$115,"7종",$AD$97:$AD$115)/1000</f>
        <v>0</v>
      </c>
      <c r="H96" s="102">
        <f>SUMIF($AB$97:$AB$115,"4종",$AD$97:$AD$115)/1000</f>
        <v>0</v>
      </c>
      <c r="I96" s="102">
        <f>SUMIF($AB$97:$AB$115,"후원",$AD$97:$AD$115)/1000</f>
        <v>6035</v>
      </c>
      <c r="J96" s="102">
        <f>SUMIF($AB$97:$AB$115,"입소",$AD$97:$AD$115)/1000</f>
        <v>0</v>
      </c>
      <c r="K96" s="102">
        <f>SUMIF($AB$97:$AB$115,"법인",$AD$97:$AD$115)/1000</f>
        <v>500</v>
      </c>
      <c r="L96" s="102">
        <f>SUMIF($AB$97:$AB$115,"잡수",$AD$97:$AD$115)/1000</f>
        <v>0</v>
      </c>
      <c r="M96" s="111">
        <f>E96-D96</f>
        <v>0</v>
      </c>
      <c r="N96" s="109">
        <f>IF(D96=0,0,M96/D96)</f>
        <v>0</v>
      </c>
      <c r="O96" s="296" t="s">
        <v>42</v>
      </c>
      <c r="P96" s="297"/>
      <c r="Q96" s="297"/>
      <c r="R96" s="297"/>
      <c r="S96" s="297"/>
      <c r="T96" s="298"/>
      <c r="U96" s="298"/>
      <c r="V96" s="298"/>
      <c r="W96" s="298"/>
      <c r="X96" s="298"/>
      <c r="Y96" s="299" t="s">
        <v>28</v>
      </c>
      <c r="Z96" s="299"/>
      <c r="AA96" s="299"/>
      <c r="AB96" s="299"/>
      <c r="AC96" s="300"/>
      <c r="AD96" s="300">
        <f>SUM(AD97:AD115)</f>
        <v>27182000</v>
      </c>
      <c r="AE96" s="164" t="s">
        <v>25</v>
      </c>
      <c r="AF96" s="6"/>
    </row>
    <row r="97" spans="1:32" s="10" customFormat="1" ht="21" customHeight="1">
      <c r="A97" s="39"/>
      <c r="B97" s="40"/>
      <c r="C97" s="40" t="s">
        <v>141</v>
      </c>
      <c r="D97" s="145"/>
      <c r="E97" s="97"/>
      <c r="F97" s="97"/>
      <c r="G97" s="97"/>
      <c r="H97" s="97"/>
      <c r="I97" s="97"/>
      <c r="J97" s="97"/>
      <c r="K97" s="97"/>
      <c r="L97" s="97"/>
      <c r="M97" s="97"/>
      <c r="N97" s="62"/>
      <c r="O97" s="301" t="s">
        <v>261</v>
      </c>
      <c r="P97" s="369"/>
      <c r="Q97" s="369"/>
      <c r="R97" s="369"/>
      <c r="S97" s="368"/>
      <c r="T97" s="289"/>
      <c r="U97" s="368"/>
      <c r="V97" s="302">
        <v>205000</v>
      </c>
      <c r="W97" s="303" t="s">
        <v>56</v>
      </c>
      <c r="X97" s="303" t="s">
        <v>26</v>
      </c>
      <c r="Y97" s="302">
        <v>8</v>
      </c>
      <c r="Z97" s="304" t="s">
        <v>29</v>
      </c>
      <c r="AA97" s="302" t="s">
        <v>27</v>
      </c>
      <c r="AB97" s="285" t="s">
        <v>262</v>
      </c>
      <c r="AC97" s="285"/>
      <c r="AD97" s="777">
        <f t="shared" ref="AD97:AD104" si="5">V97*Y97</f>
        <v>1640000</v>
      </c>
      <c r="AE97" s="389" t="s">
        <v>25</v>
      </c>
      <c r="AF97" s="6">
        <v>1640000</v>
      </c>
    </row>
    <row r="98" spans="1:32" s="10" customFormat="1" ht="21" customHeight="1">
      <c r="A98" s="39"/>
      <c r="B98" s="40"/>
      <c r="C98" s="40"/>
      <c r="D98" s="145"/>
      <c r="E98" s="97"/>
      <c r="F98" s="97"/>
      <c r="G98" s="97"/>
      <c r="H98" s="97"/>
      <c r="I98" s="97"/>
      <c r="J98" s="97"/>
      <c r="K98" s="97"/>
      <c r="L98" s="97"/>
      <c r="M98" s="97"/>
      <c r="N98" s="62"/>
      <c r="O98" s="369" t="s">
        <v>263</v>
      </c>
      <c r="P98" s="369"/>
      <c r="Q98" s="369"/>
      <c r="R98" s="369"/>
      <c r="S98" s="368"/>
      <c r="T98" s="289"/>
      <c r="U98" s="289"/>
      <c r="V98" s="302">
        <v>218000</v>
      </c>
      <c r="W98" s="303" t="s">
        <v>56</v>
      </c>
      <c r="X98" s="303" t="s">
        <v>26</v>
      </c>
      <c r="Y98" s="302">
        <v>8</v>
      </c>
      <c r="Z98" s="304" t="s">
        <v>29</v>
      </c>
      <c r="AA98" s="302" t="s">
        <v>27</v>
      </c>
      <c r="AB98" s="419" t="s">
        <v>290</v>
      </c>
      <c r="AC98" s="419"/>
      <c r="AD98" s="777">
        <f t="shared" si="5"/>
        <v>1744000</v>
      </c>
      <c r="AE98" s="125" t="s">
        <v>654</v>
      </c>
      <c r="AF98" s="784">
        <v>1744000</v>
      </c>
    </row>
    <row r="99" spans="1:32" s="10" customFormat="1" ht="21" customHeight="1">
      <c r="A99" s="39"/>
      <c r="B99" s="40"/>
      <c r="C99" s="40"/>
      <c r="D99" s="145"/>
      <c r="E99" s="97"/>
      <c r="F99" s="97"/>
      <c r="G99" s="97"/>
      <c r="H99" s="97"/>
      <c r="I99" s="97"/>
      <c r="J99" s="97"/>
      <c r="K99" s="97"/>
      <c r="L99" s="97"/>
      <c r="M99" s="97"/>
      <c r="N99" s="62"/>
      <c r="O99" s="429" t="s">
        <v>325</v>
      </c>
      <c r="P99" s="429"/>
      <c r="Q99" s="429"/>
      <c r="R99" s="429"/>
      <c r="S99" s="428"/>
      <c r="T99" s="289"/>
      <c r="U99" s="289"/>
      <c r="V99" s="302">
        <v>170000</v>
      </c>
      <c r="W99" s="303" t="s">
        <v>56</v>
      </c>
      <c r="X99" s="303" t="s">
        <v>26</v>
      </c>
      <c r="Y99" s="302">
        <v>12</v>
      </c>
      <c r="Z99" s="304" t="s">
        <v>29</v>
      </c>
      <c r="AA99" s="302" t="s">
        <v>27</v>
      </c>
      <c r="AB99" s="428" t="s">
        <v>74</v>
      </c>
      <c r="AC99" s="428"/>
      <c r="AD99" s="777">
        <f>V99*Y99</f>
        <v>2040000</v>
      </c>
      <c r="AE99" s="125" t="s">
        <v>654</v>
      </c>
      <c r="AF99" s="784">
        <v>2040000</v>
      </c>
    </row>
    <row r="100" spans="1:32" s="10" customFormat="1" ht="21" customHeight="1">
      <c r="A100" s="39"/>
      <c r="B100" s="40"/>
      <c r="C100" s="40"/>
      <c r="D100" s="145"/>
      <c r="E100" s="97"/>
      <c r="F100" s="97"/>
      <c r="G100" s="97"/>
      <c r="H100" s="97"/>
      <c r="I100" s="97"/>
      <c r="J100" s="97"/>
      <c r="K100" s="97"/>
      <c r="L100" s="97"/>
      <c r="M100" s="97"/>
      <c r="N100" s="62"/>
      <c r="O100" s="534" t="s">
        <v>552</v>
      </c>
      <c r="P100" s="534"/>
      <c r="Q100" s="534"/>
      <c r="R100" s="534"/>
      <c r="S100" s="533"/>
      <c r="T100" s="289"/>
      <c r="U100" s="289"/>
      <c r="V100" s="302">
        <v>500000</v>
      </c>
      <c r="W100" s="303" t="s">
        <v>543</v>
      </c>
      <c r="X100" s="303" t="s">
        <v>26</v>
      </c>
      <c r="Y100" s="302">
        <v>4</v>
      </c>
      <c r="Z100" s="304" t="s">
        <v>880</v>
      </c>
      <c r="AA100" s="302" t="s">
        <v>27</v>
      </c>
      <c r="AB100" s="533" t="s">
        <v>548</v>
      </c>
      <c r="AC100" s="533"/>
      <c r="AD100" s="777">
        <f>V100*Y100</f>
        <v>2000000</v>
      </c>
      <c r="AE100" s="125" t="s">
        <v>654</v>
      </c>
      <c r="AF100" s="784">
        <v>2000000</v>
      </c>
    </row>
    <row r="101" spans="1:32" s="10" customFormat="1" ht="21" customHeight="1">
      <c r="A101" s="39"/>
      <c r="B101" s="40"/>
      <c r="C101" s="40"/>
      <c r="D101" s="145"/>
      <c r="E101" s="97"/>
      <c r="F101" s="97"/>
      <c r="G101" s="97"/>
      <c r="H101" s="97"/>
      <c r="I101" s="97"/>
      <c r="J101" s="97"/>
      <c r="K101" s="97"/>
      <c r="L101" s="97"/>
      <c r="M101" s="97"/>
      <c r="N101" s="62"/>
      <c r="O101" s="429" t="s">
        <v>326</v>
      </c>
      <c r="P101" s="369"/>
      <c r="Q101" s="369"/>
      <c r="R101" s="369"/>
      <c r="S101" s="368"/>
      <c r="T101" s="289"/>
      <c r="U101" s="289"/>
      <c r="V101" s="302">
        <v>200000</v>
      </c>
      <c r="W101" s="303" t="s">
        <v>56</v>
      </c>
      <c r="X101" s="303" t="s">
        <v>26</v>
      </c>
      <c r="Y101" s="302">
        <v>6</v>
      </c>
      <c r="Z101" s="304" t="s">
        <v>29</v>
      </c>
      <c r="AA101" s="302" t="s">
        <v>27</v>
      </c>
      <c r="AB101" s="368" t="s">
        <v>262</v>
      </c>
      <c r="AC101" s="368"/>
      <c r="AD101" s="777">
        <f t="shared" si="5"/>
        <v>1200000</v>
      </c>
      <c r="AE101" s="125" t="s">
        <v>654</v>
      </c>
      <c r="AF101" s="784">
        <v>1200000</v>
      </c>
    </row>
    <row r="102" spans="1:32" s="10" customFormat="1" ht="21" customHeight="1">
      <c r="A102" s="39"/>
      <c r="B102" s="40"/>
      <c r="C102" s="40"/>
      <c r="D102" s="145"/>
      <c r="E102" s="97"/>
      <c r="F102" s="97"/>
      <c r="G102" s="97"/>
      <c r="H102" s="97"/>
      <c r="I102" s="97"/>
      <c r="J102" s="97"/>
      <c r="K102" s="97"/>
      <c r="L102" s="97"/>
      <c r="M102" s="97"/>
      <c r="N102" s="62"/>
      <c r="O102" s="610"/>
      <c r="P102" s="610"/>
      <c r="Q102" s="610"/>
      <c r="R102" s="610"/>
      <c r="S102" s="609"/>
      <c r="T102" s="289"/>
      <c r="U102" s="289"/>
      <c r="V102" s="302"/>
      <c r="W102" s="303"/>
      <c r="X102" s="303"/>
      <c r="Y102" s="302"/>
      <c r="Z102" s="304"/>
      <c r="AA102" s="302"/>
      <c r="AB102" s="728" t="s">
        <v>169</v>
      </c>
      <c r="AC102" s="728"/>
      <c r="AD102" s="777">
        <v>500000</v>
      </c>
      <c r="AE102" s="125" t="s">
        <v>788</v>
      </c>
      <c r="AF102" s="784">
        <v>500000</v>
      </c>
    </row>
    <row r="103" spans="1:32" s="10" customFormat="1" ht="21" customHeight="1">
      <c r="A103" s="39"/>
      <c r="B103" s="40"/>
      <c r="C103" s="40"/>
      <c r="D103" s="145"/>
      <c r="E103" s="97"/>
      <c r="F103" s="97"/>
      <c r="G103" s="97"/>
      <c r="H103" s="97"/>
      <c r="I103" s="97"/>
      <c r="J103" s="97"/>
      <c r="K103" s="97"/>
      <c r="L103" s="97"/>
      <c r="M103" s="97"/>
      <c r="N103" s="62"/>
      <c r="O103" s="600"/>
      <c r="P103" s="600"/>
      <c r="Q103" s="600"/>
      <c r="R103" s="600"/>
      <c r="S103" s="599"/>
      <c r="T103" s="289"/>
      <c r="U103" s="289"/>
      <c r="V103" s="302"/>
      <c r="W103" s="303"/>
      <c r="X103" s="303"/>
      <c r="Y103" s="302"/>
      <c r="Z103" s="304"/>
      <c r="AA103" s="302"/>
      <c r="AB103" s="728" t="s">
        <v>809</v>
      </c>
      <c r="AC103" s="728"/>
      <c r="AD103" s="777">
        <v>780000</v>
      </c>
      <c r="AE103" s="125" t="s">
        <v>788</v>
      </c>
      <c r="AF103" s="784">
        <v>780000</v>
      </c>
    </row>
    <row r="104" spans="1:32" s="10" customFormat="1" ht="21" customHeight="1">
      <c r="A104" s="39"/>
      <c r="B104" s="40"/>
      <c r="C104" s="40"/>
      <c r="D104" s="145"/>
      <c r="E104" s="97"/>
      <c r="F104" s="97"/>
      <c r="G104" s="97"/>
      <c r="H104" s="97"/>
      <c r="I104" s="97"/>
      <c r="J104" s="97"/>
      <c r="K104" s="97"/>
      <c r="L104" s="97"/>
      <c r="M104" s="97"/>
      <c r="N104" s="62"/>
      <c r="O104" s="429" t="s">
        <v>327</v>
      </c>
      <c r="P104" s="369"/>
      <c r="Q104" s="369"/>
      <c r="R104" s="369"/>
      <c r="S104" s="368"/>
      <c r="T104" s="289"/>
      <c r="U104" s="289"/>
      <c r="V104" s="302">
        <v>200000</v>
      </c>
      <c r="W104" s="303" t="s">
        <v>56</v>
      </c>
      <c r="X104" s="303" t="s">
        <v>26</v>
      </c>
      <c r="Y104" s="302">
        <v>12</v>
      </c>
      <c r="Z104" s="304" t="s">
        <v>29</v>
      </c>
      <c r="AA104" s="302" t="s">
        <v>27</v>
      </c>
      <c r="AB104" s="728" t="s">
        <v>809</v>
      </c>
      <c r="AC104" s="728"/>
      <c r="AD104" s="777">
        <f t="shared" si="5"/>
        <v>2400000</v>
      </c>
      <c r="AE104" s="125" t="s">
        <v>788</v>
      </c>
      <c r="AF104" s="784">
        <v>2400000</v>
      </c>
    </row>
    <row r="105" spans="1:32" s="10" customFormat="1" ht="21" customHeight="1">
      <c r="A105" s="39"/>
      <c r="B105" s="40"/>
      <c r="C105" s="40"/>
      <c r="D105" s="145"/>
      <c r="E105" s="97"/>
      <c r="F105" s="97"/>
      <c r="G105" s="97"/>
      <c r="H105" s="97"/>
      <c r="I105" s="97"/>
      <c r="J105" s="97"/>
      <c r="K105" s="97"/>
      <c r="L105" s="97"/>
      <c r="M105" s="97"/>
      <c r="N105" s="62"/>
      <c r="O105" s="741"/>
      <c r="P105" s="741"/>
      <c r="Q105" s="741"/>
      <c r="R105" s="741"/>
      <c r="S105" s="740"/>
      <c r="T105" s="289"/>
      <c r="U105" s="289"/>
      <c r="V105" s="302"/>
      <c r="W105" s="303"/>
      <c r="X105" s="303"/>
      <c r="Y105" s="302"/>
      <c r="Z105" s="304"/>
      <c r="AA105" s="302"/>
      <c r="AB105" s="740" t="s">
        <v>890</v>
      </c>
      <c r="AC105" s="740"/>
      <c r="AD105" s="777">
        <v>1207000</v>
      </c>
      <c r="AE105" s="125" t="s">
        <v>56</v>
      </c>
      <c r="AF105" s="784">
        <v>1207000</v>
      </c>
    </row>
    <row r="106" spans="1:32" s="10" customFormat="1" ht="21" customHeight="1">
      <c r="A106" s="39"/>
      <c r="B106" s="40"/>
      <c r="C106" s="40"/>
      <c r="D106" s="145"/>
      <c r="E106" s="97"/>
      <c r="F106" s="97"/>
      <c r="G106" s="97"/>
      <c r="H106" s="97"/>
      <c r="I106" s="97"/>
      <c r="J106" s="97"/>
      <c r="K106" s="97"/>
      <c r="L106" s="97"/>
      <c r="M106" s="97"/>
      <c r="N106" s="62"/>
      <c r="O106" s="429" t="s">
        <v>328</v>
      </c>
      <c r="P106" s="369"/>
      <c r="Q106" s="369"/>
      <c r="R106" s="369"/>
      <c r="S106" s="368"/>
      <c r="T106" s="289"/>
      <c r="U106" s="289"/>
      <c r="V106" s="853">
        <v>250000</v>
      </c>
      <c r="W106" s="865" t="s">
        <v>56</v>
      </c>
      <c r="X106" s="865" t="s">
        <v>26</v>
      </c>
      <c r="Y106" s="853">
        <v>12</v>
      </c>
      <c r="Z106" s="865" t="s">
        <v>29</v>
      </c>
      <c r="AA106" s="853" t="s">
        <v>27</v>
      </c>
      <c r="AB106" s="728" t="s">
        <v>809</v>
      </c>
      <c r="AC106" s="728"/>
      <c r="AD106" s="777">
        <v>1100000</v>
      </c>
      <c r="AE106" s="125" t="s">
        <v>788</v>
      </c>
      <c r="AF106" s="784">
        <v>1100000</v>
      </c>
    </row>
    <row r="107" spans="1:32" s="10" customFormat="1" ht="21" customHeight="1">
      <c r="A107" s="39"/>
      <c r="B107" s="40"/>
      <c r="C107" s="40"/>
      <c r="D107" s="145"/>
      <c r="E107" s="97"/>
      <c r="F107" s="97"/>
      <c r="G107" s="97"/>
      <c r="H107" s="97"/>
      <c r="I107" s="97"/>
      <c r="J107" s="97"/>
      <c r="K107" s="97"/>
      <c r="L107" s="97"/>
      <c r="M107" s="97"/>
      <c r="N107" s="62"/>
      <c r="O107" s="741"/>
      <c r="P107" s="741"/>
      <c r="Q107" s="741"/>
      <c r="R107" s="741"/>
      <c r="S107" s="740"/>
      <c r="T107" s="289"/>
      <c r="U107" s="289"/>
      <c r="V107" s="853"/>
      <c r="W107" s="865"/>
      <c r="X107" s="865"/>
      <c r="Y107" s="853"/>
      <c r="Z107" s="865"/>
      <c r="AA107" s="853"/>
      <c r="AB107" s="740" t="s">
        <v>150</v>
      </c>
      <c r="AC107" s="740"/>
      <c r="AD107" s="777">
        <v>1900000</v>
      </c>
      <c r="AE107" s="125" t="s">
        <v>879</v>
      </c>
      <c r="AF107" s="784">
        <v>1900000</v>
      </c>
    </row>
    <row r="108" spans="1:32" s="10" customFormat="1" ht="21" customHeight="1">
      <c r="A108" s="39"/>
      <c r="B108" s="40"/>
      <c r="C108" s="40"/>
      <c r="D108" s="145"/>
      <c r="E108" s="97"/>
      <c r="F108" s="97"/>
      <c r="G108" s="97"/>
      <c r="H108" s="97"/>
      <c r="I108" s="97"/>
      <c r="J108" s="97"/>
      <c r="K108" s="97"/>
      <c r="L108" s="97"/>
      <c r="M108" s="97"/>
      <c r="N108" s="62"/>
      <c r="O108" s="429" t="s">
        <v>329</v>
      </c>
      <c r="P108" s="420"/>
      <c r="Q108" s="420"/>
      <c r="R108" s="420"/>
      <c r="S108" s="419"/>
      <c r="T108" s="289"/>
      <c r="U108" s="289"/>
      <c r="V108" s="302"/>
      <c r="W108" s="303" t="s">
        <v>56</v>
      </c>
      <c r="X108" s="303" t="s">
        <v>26</v>
      </c>
      <c r="Y108" s="302"/>
      <c r="Z108" s="304" t="s">
        <v>29</v>
      </c>
      <c r="AA108" s="302" t="s">
        <v>27</v>
      </c>
      <c r="AB108" s="728" t="s">
        <v>809</v>
      </c>
      <c r="AC108" s="728"/>
      <c r="AD108" s="777">
        <v>1980000</v>
      </c>
      <c r="AE108" s="125" t="s">
        <v>788</v>
      </c>
      <c r="AF108" s="784">
        <v>1980000</v>
      </c>
    </row>
    <row r="109" spans="1:32" s="10" customFormat="1" ht="21" customHeight="1">
      <c r="A109" s="39"/>
      <c r="B109" s="40"/>
      <c r="C109" s="40"/>
      <c r="D109" s="145"/>
      <c r="E109" s="97"/>
      <c r="F109" s="97"/>
      <c r="G109" s="97"/>
      <c r="H109" s="97"/>
      <c r="I109" s="97"/>
      <c r="J109" s="97"/>
      <c r="K109" s="97"/>
      <c r="L109" s="97"/>
      <c r="M109" s="97"/>
      <c r="N109" s="62"/>
      <c r="O109" s="516" t="s">
        <v>522</v>
      </c>
      <c r="P109" s="516"/>
      <c r="Q109" s="516"/>
      <c r="R109" s="516"/>
      <c r="S109" s="515"/>
      <c r="T109" s="289"/>
      <c r="U109" s="515"/>
      <c r="V109" s="847"/>
      <c r="W109" s="848"/>
      <c r="X109" s="515"/>
      <c r="Y109" s="515"/>
      <c r="Z109" s="515"/>
      <c r="AA109" s="515"/>
      <c r="AB109" s="728" t="s">
        <v>809</v>
      </c>
      <c r="AC109" s="728"/>
      <c r="AD109" s="777">
        <v>1948000</v>
      </c>
      <c r="AE109" s="125" t="s">
        <v>25</v>
      </c>
      <c r="AF109" s="784">
        <v>1948000</v>
      </c>
    </row>
    <row r="110" spans="1:32" s="10" customFormat="1" ht="21" customHeight="1">
      <c r="A110" s="39"/>
      <c r="B110" s="40"/>
      <c r="C110" s="40"/>
      <c r="D110" s="145"/>
      <c r="E110" s="97"/>
      <c r="F110" s="97"/>
      <c r="G110" s="97"/>
      <c r="H110" s="97"/>
      <c r="I110" s="97"/>
      <c r="J110" s="97"/>
      <c r="K110" s="97"/>
      <c r="L110" s="97"/>
      <c r="M110" s="97"/>
      <c r="N110" s="62"/>
      <c r="O110" s="516" t="s">
        <v>523</v>
      </c>
      <c r="P110" s="516"/>
      <c r="Q110" s="516"/>
      <c r="R110" s="516"/>
      <c r="S110" s="515"/>
      <c r="T110" s="289"/>
      <c r="U110" s="289"/>
      <c r="V110" s="515"/>
      <c r="W110" s="516"/>
      <c r="X110" s="515"/>
      <c r="Y110" s="515"/>
      <c r="Z110" s="515"/>
      <c r="AA110" s="515"/>
      <c r="AB110" s="728" t="s">
        <v>809</v>
      </c>
      <c r="AC110" s="728"/>
      <c r="AD110" s="777">
        <v>430000</v>
      </c>
      <c r="AE110" s="125" t="s">
        <v>25</v>
      </c>
      <c r="AF110" s="784">
        <v>430000</v>
      </c>
    </row>
    <row r="111" spans="1:32" s="10" customFormat="1" ht="21" customHeight="1">
      <c r="A111" s="39"/>
      <c r="B111" s="40"/>
      <c r="C111" s="40"/>
      <c r="D111" s="145"/>
      <c r="E111" s="97"/>
      <c r="F111" s="97"/>
      <c r="G111" s="97"/>
      <c r="H111" s="97"/>
      <c r="I111" s="97"/>
      <c r="J111" s="97"/>
      <c r="K111" s="97"/>
      <c r="L111" s="97"/>
      <c r="M111" s="97"/>
      <c r="N111" s="62"/>
      <c r="O111" s="534" t="s">
        <v>553</v>
      </c>
      <c r="P111" s="534"/>
      <c r="Q111" s="534"/>
      <c r="R111" s="534"/>
      <c r="S111" s="533"/>
      <c r="T111" s="289"/>
      <c r="U111" s="289"/>
      <c r="V111" s="302">
        <v>282000</v>
      </c>
      <c r="W111" s="303" t="s">
        <v>543</v>
      </c>
      <c r="X111" s="303" t="s">
        <v>26</v>
      </c>
      <c r="Y111" s="302">
        <v>12</v>
      </c>
      <c r="Z111" s="304" t="s">
        <v>29</v>
      </c>
      <c r="AA111" s="302" t="s">
        <v>27</v>
      </c>
      <c r="AB111" s="728" t="s">
        <v>809</v>
      </c>
      <c r="AC111" s="728"/>
      <c r="AD111" s="777">
        <v>3385000</v>
      </c>
      <c r="AE111" s="125" t="s">
        <v>788</v>
      </c>
      <c r="AF111" s="784">
        <v>3385000</v>
      </c>
    </row>
    <row r="112" spans="1:32" s="10" customFormat="1" ht="21" customHeight="1">
      <c r="A112" s="39"/>
      <c r="B112" s="40"/>
      <c r="C112" s="40"/>
      <c r="D112" s="145"/>
      <c r="E112" s="97"/>
      <c r="F112" s="97"/>
      <c r="G112" s="97"/>
      <c r="H112" s="97"/>
      <c r="I112" s="97"/>
      <c r="J112" s="97"/>
      <c r="K112" s="97"/>
      <c r="L112" s="97"/>
      <c r="M112" s="97"/>
      <c r="N112" s="62"/>
      <c r="O112" s="741" t="s">
        <v>891</v>
      </c>
      <c r="P112" s="534"/>
      <c r="Q112" s="534"/>
      <c r="R112" s="534"/>
      <c r="S112" s="533"/>
      <c r="T112" s="289"/>
      <c r="U112" s="289"/>
      <c r="V112" s="533"/>
      <c r="W112" s="533"/>
      <c r="X112" s="533"/>
      <c r="Y112" s="533"/>
      <c r="Z112" s="533"/>
      <c r="AA112" s="533"/>
      <c r="AB112" s="728" t="s">
        <v>794</v>
      </c>
      <c r="AC112" s="728"/>
      <c r="AD112" s="777">
        <v>990000</v>
      </c>
      <c r="AE112" s="125" t="s">
        <v>788</v>
      </c>
      <c r="AF112" s="784">
        <v>990000</v>
      </c>
    </row>
    <row r="113" spans="1:32" s="10" customFormat="1" ht="21" customHeight="1">
      <c r="A113" s="39"/>
      <c r="B113" s="40"/>
      <c r="C113" s="40"/>
      <c r="D113" s="145"/>
      <c r="E113" s="97"/>
      <c r="F113" s="97"/>
      <c r="G113" s="97"/>
      <c r="H113" s="97"/>
      <c r="I113" s="97"/>
      <c r="J113" s="97"/>
      <c r="K113" s="97"/>
      <c r="L113" s="97"/>
      <c r="M113" s="97"/>
      <c r="N113" s="62"/>
      <c r="O113" s="646" t="s">
        <v>718</v>
      </c>
      <c r="P113" s="545"/>
      <c r="Q113" s="545"/>
      <c r="R113" s="545"/>
      <c r="S113" s="544">
        <v>150000</v>
      </c>
      <c r="T113" s="289" t="s">
        <v>565</v>
      </c>
      <c r="U113" s="289" t="s">
        <v>26</v>
      </c>
      <c r="V113" s="544">
        <v>6</v>
      </c>
      <c r="W113" s="544" t="s">
        <v>566</v>
      </c>
      <c r="X113" s="543" t="s">
        <v>27</v>
      </c>
      <c r="Y113" s="544"/>
      <c r="Z113" s="544"/>
      <c r="AA113" s="543"/>
      <c r="AB113" s="728" t="s">
        <v>794</v>
      </c>
      <c r="AC113" s="728"/>
      <c r="AD113" s="777">
        <f>S113*V113</f>
        <v>900000</v>
      </c>
      <c r="AE113" s="396" t="s">
        <v>788</v>
      </c>
      <c r="AF113" s="784">
        <v>900000</v>
      </c>
    </row>
    <row r="114" spans="1:32" s="10" customFormat="1" ht="21" customHeight="1">
      <c r="A114" s="39"/>
      <c r="B114" s="40"/>
      <c r="C114" s="40"/>
      <c r="D114" s="145"/>
      <c r="E114" s="97"/>
      <c r="F114" s="97"/>
      <c r="G114" s="97"/>
      <c r="H114" s="97"/>
      <c r="I114" s="97"/>
      <c r="J114" s="97"/>
      <c r="K114" s="97"/>
      <c r="L114" s="97"/>
      <c r="M114" s="97"/>
      <c r="N114" s="62"/>
      <c r="O114" s="646" t="s">
        <v>719</v>
      </c>
      <c r="P114" s="625"/>
      <c r="Q114" s="625"/>
      <c r="R114" s="625"/>
      <c r="S114" s="624"/>
      <c r="T114" s="289"/>
      <c r="U114" s="289"/>
      <c r="V114" s="624"/>
      <c r="W114" s="625"/>
      <c r="X114" s="624"/>
      <c r="Y114" s="624"/>
      <c r="Z114" s="624"/>
      <c r="AA114" s="624"/>
      <c r="AB114" s="728" t="s">
        <v>794</v>
      </c>
      <c r="AC114" s="728"/>
      <c r="AD114" s="777">
        <v>0</v>
      </c>
      <c r="AE114" s="125" t="s">
        <v>788</v>
      </c>
      <c r="AF114" s="784">
        <v>0</v>
      </c>
    </row>
    <row r="115" spans="1:32" s="10" customFormat="1" ht="21" customHeight="1">
      <c r="A115" s="39"/>
      <c r="B115" s="40"/>
      <c r="C115" s="40"/>
      <c r="D115" s="145"/>
      <c r="E115" s="97"/>
      <c r="F115" s="97"/>
      <c r="G115" s="97"/>
      <c r="H115" s="97"/>
      <c r="I115" s="97"/>
      <c r="J115" s="97"/>
      <c r="K115" s="97"/>
      <c r="L115" s="97"/>
      <c r="M115" s="97"/>
      <c r="N115" s="62"/>
      <c r="O115" s="646" t="s">
        <v>720</v>
      </c>
      <c r="P115" s="369"/>
      <c r="Q115" s="369"/>
      <c r="R115" s="369"/>
      <c r="S115" s="368"/>
      <c r="T115" s="289"/>
      <c r="U115" s="368"/>
      <c r="V115" s="368"/>
      <c r="W115" s="369"/>
      <c r="X115" s="368"/>
      <c r="Y115" s="368"/>
      <c r="Z115" s="368"/>
      <c r="AA115" s="368"/>
      <c r="AB115" s="368" t="s">
        <v>150</v>
      </c>
      <c r="AC115" s="368"/>
      <c r="AD115" s="777">
        <f>SUM(AD116:AD118)</f>
        <v>1038000</v>
      </c>
      <c r="AE115" s="125" t="s">
        <v>244</v>
      </c>
      <c r="AF115" s="6">
        <v>1038000</v>
      </c>
    </row>
    <row r="116" spans="1:32" s="10" customFormat="1" ht="21" customHeight="1">
      <c r="A116" s="39"/>
      <c r="B116" s="40"/>
      <c r="C116" s="40"/>
      <c r="D116" s="145"/>
      <c r="E116" s="97"/>
      <c r="F116" s="97"/>
      <c r="G116" s="97"/>
      <c r="H116" s="97"/>
      <c r="I116" s="97"/>
      <c r="J116" s="97"/>
      <c r="K116" s="97"/>
      <c r="L116" s="97"/>
      <c r="M116" s="97"/>
      <c r="N116" s="62"/>
      <c r="O116" s="304" t="s">
        <v>569</v>
      </c>
      <c r="P116" s="304"/>
      <c r="Q116" s="304"/>
      <c r="R116" s="304"/>
      <c r="S116" s="302">
        <v>44000</v>
      </c>
      <c r="T116" s="303" t="s">
        <v>568</v>
      </c>
      <c r="U116" s="303" t="s">
        <v>26</v>
      </c>
      <c r="V116" s="302">
        <v>12</v>
      </c>
      <c r="W116" s="304" t="s">
        <v>29</v>
      </c>
      <c r="X116" s="302" t="s">
        <v>27</v>
      </c>
      <c r="Y116" s="302"/>
      <c r="Z116" s="302"/>
      <c r="AA116" s="302"/>
      <c r="AB116" s="302"/>
      <c r="AC116" s="302"/>
      <c r="AD116" s="777">
        <f>S116*V116</f>
        <v>528000</v>
      </c>
      <c r="AE116" s="396" t="s">
        <v>568</v>
      </c>
      <c r="AF116" s="6">
        <v>0</v>
      </c>
    </row>
    <row r="117" spans="1:32" s="10" customFormat="1" ht="21" customHeight="1">
      <c r="A117" s="39"/>
      <c r="B117" s="40"/>
      <c r="C117" s="40"/>
      <c r="D117" s="145"/>
      <c r="E117" s="97"/>
      <c r="F117" s="97"/>
      <c r="G117" s="97"/>
      <c r="H117" s="97"/>
      <c r="I117" s="97"/>
      <c r="J117" s="97"/>
      <c r="K117" s="97"/>
      <c r="L117" s="97"/>
      <c r="M117" s="97"/>
      <c r="N117" s="62"/>
      <c r="O117" s="304" t="s">
        <v>570</v>
      </c>
      <c r="P117" s="304"/>
      <c r="Q117" s="304"/>
      <c r="R117" s="304"/>
      <c r="S117" s="302">
        <v>40000</v>
      </c>
      <c r="T117" s="303" t="s">
        <v>568</v>
      </c>
      <c r="U117" s="303" t="s">
        <v>26</v>
      </c>
      <c r="V117" s="302">
        <v>12</v>
      </c>
      <c r="W117" s="304" t="s">
        <v>29</v>
      </c>
      <c r="X117" s="302" t="s">
        <v>27</v>
      </c>
      <c r="Y117" s="302"/>
      <c r="Z117" s="302"/>
      <c r="AA117" s="302"/>
      <c r="AB117" s="302"/>
      <c r="AC117" s="302"/>
      <c r="AD117" s="777">
        <f>S117*V117</f>
        <v>480000</v>
      </c>
      <c r="AE117" s="396" t="s">
        <v>568</v>
      </c>
      <c r="AF117" s="6">
        <v>0</v>
      </c>
    </row>
    <row r="118" spans="1:32" s="10" customFormat="1" ht="21" customHeight="1">
      <c r="A118" s="39"/>
      <c r="B118" s="40"/>
      <c r="C118" s="53"/>
      <c r="D118" s="146"/>
      <c r="E118" s="99"/>
      <c r="F118" s="99"/>
      <c r="G118" s="99"/>
      <c r="H118" s="99"/>
      <c r="I118" s="99"/>
      <c r="J118" s="99"/>
      <c r="K118" s="99"/>
      <c r="L118" s="99"/>
      <c r="M118" s="99"/>
      <c r="N118" s="76"/>
      <c r="O118" s="549" t="s">
        <v>571</v>
      </c>
      <c r="P118" s="549"/>
      <c r="Q118" s="549"/>
      <c r="R118" s="549"/>
      <c r="S118" s="549"/>
      <c r="T118" s="549"/>
      <c r="U118" s="549"/>
      <c r="V118" s="549"/>
      <c r="W118" s="549"/>
      <c r="X118" s="549"/>
      <c r="Y118" s="549"/>
      <c r="Z118" s="549"/>
      <c r="AA118" s="549"/>
      <c r="AB118" s="549"/>
      <c r="AC118" s="549"/>
      <c r="AD118" s="550">
        <v>30000</v>
      </c>
      <c r="AE118" s="551" t="s">
        <v>568</v>
      </c>
      <c r="AF118" s="6">
        <v>0</v>
      </c>
    </row>
    <row r="119" spans="1:32" s="10" customFormat="1" ht="21" customHeight="1">
      <c r="A119" s="39"/>
      <c r="B119" s="40"/>
      <c r="C119" s="40" t="s">
        <v>39</v>
      </c>
      <c r="D119" s="145">
        <v>33771</v>
      </c>
      <c r="E119" s="97">
        <f>ROUND(AD119/1000,0)</f>
        <v>33771</v>
      </c>
      <c r="F119" s="102">
        <f>SUMIF($AB$120:$AB$126,"보조",$AD$120:$AD$126)/1000</f>
        <v>28415</v>
      </c>
      <c r="G119" s="102">
        <f>SUMIF($AB$120:$AB$126,"7종",$AD$120:$AD$126)/1000</f>
        <v>0</v>
      </c>
      <c r="H119" s="102">
        <f>SUMIF($AB$120:$AB$126,"4종",$AD$120:$AD$126)/1000</f>
        <v>0</v>
      </c>
      <c r="I119" s="102">
        <f>SUMIF($AB$120:$AB$126,"후원",$AD$120:$AD$126)/1000</f>
        <v>5356</v>
      </c>
      <c r="J119" s="102">
        <f>SUMIF($AB$120:$AB$126,"입소",$AD$120:$AD$126)/1000</f>
        <v>0</v>
      </c>
      <c r="K119" s="102">
        <f>SUMIF($AB$120:$AB$126,"법인",$AD$120:$AD$126)/1000</f>
        <v>0</v>
      </c>
      <c r="L119" s="102">
        <f>SUMIF($AB$120:$AB$126,"잡수",$AD$120:$AD$126)/1000</f>
        <v>0</v>
      </c>
      <c r="M119" s="750">
        <f>E119-D119</f>
        <v>0</v>
      </c>
      <c r="N119" s="62">
        <f>IF(D119=0,0,M119/D119)</f>
        <v>0</v>
      </c>
      <c r="O119" s="332" t="s">
        <v>43</v>
      </c>
      <c r="P119" s="333"/>
      <c r="Q119" s="333"/>
      <c r="R119" s="333"/>
      <c r="S119" s="333"/>
      <c r="T119" s="334"/>
      <c r="U119" s="334"/>
      <c r="V119" s="334"/>
      <c r="W119" s="334"/>
      <c r="X119" s="334"/>
      <c r="Y119" s="335" t="s">
        <v>205</v>
      </c>
      <c r="Z119" s="335"/>
      <c r="AA119" s="335"/>
      <c r="AB119" s="335"/>
      <c r="AC119" s="336"/>
      <c r="AD119" s="336">
        <f>ROUND(SUM(AD120:AD125),-3)</f>
        <v>33771000</v>
      </c>
      <c r="AE119" s="337" t="s">
        <v>25</v>
      </c>
      <c r="AF119" s="6"/>
    </row>
    <row r="120" spans="1:32" s="10" customFormat="1" ht="21" customHeight="1">
      <c r="A120" s="39"/>
      <c r="B120" s="40"/>
      <c r="C120" s="40"/>
      <c r="D120" s="145"/>
      <c r="E120" s="97"/>
      <c r="F120" s="97"/>
      <c r="G120" s="97"/>
      <c r="H120" s="97"/>
      <c r="I120" s="97"/>
      <c r="J120" s="97"/>
      <c r="K120" s="97"/>
      <c r="L120" s="97"/>
      <c r="M120" s="97"/>
      <c r="N120" s="62"/>
      <c r="O120" s="338" t="s">
        <v>292</v>
      </c>
      <c r="P120" s="271"/>
      <c r="Q120" s="271"/>
      <c r="R120" s="271"/>
      <c r="S120" s="269">
        <v>100000</v>
      </c>
      <c r="T120" s="340" t="s">
        <v>25</v>
      </c>
      <c r="U120" s="340" t="s">
        <v>26</v>
      </c>
      <c r="V120" s="339">
        <v>12</v>
      </c>
      <c r="W120" s="341" t="s">
        <v>29</v>
      </c>
      <c r="X120" s="339" t="s">
        <v>27</v>
      </c>
      <c r="Y120" s="269"/>
      <c r="Z120" s="269"/>
      <c r="AA120" s="269"/>
      <c r="AB120" s="269" t="s">
        <v>212</v>
      </c>
      <c r="AC120" s="269"/>
      <c r="AD120" s="269">
        <f>S120*V120</f>
        <v>1200000</v>
      </c>
      <c r="AE120" s="295" t="s">
        <v>25</v>
      </c>
      <c r="AF120" s="6">
        <v>1200000</v>
      </c>
    </row>
    <row r="121" spans="1:32" s="10" customFormat="1" ht="21" customHeight="1">
      <c r="A121" s="39"/>
      <c r="B121" s="40"/>
      <c r="C121" s="40"/>
      <c r="D121" s="145"/>
      <c r="E121" s="97"/>
      <c r="F121" s="97"/>
      <c r="G121" s="97"/>
      <c r="H121" s="97"/>
      <c r="I121" s="97"/>
      <c r="J121" s="97"/>
      <c r="K121" s="97"/>
      <c r="L121" s="97"/>
      <c r="M121" s="97"/>
      <c r="N121" s="62"/>
      <c r="O121" s="271" t="s">
        <v>291</v>
      </c>
      <c r="P121" s="271"/>
      <c r="Q121" s="271"/>
      <c r="R121" s="271"/>
      <c r="S121" s="269">
        <v>1250000</v>
      </c>
      <c r="T121" s="331" t="s">
        <v>198</v>
      </c>
      <c r="U121" s="331" t="s">
        <v>26</v>
      </c>
      <c r="V121" s="269">
        <v>12</v>
      </c>
      <c r="W121" s="271" t="s">
        <v>203</v>
      </c>
      <c r="X121" s="269" t="s">
        <v>27</v>
      </c>
      <c r="Y121" s="269"/>
      <c r="Z121" s="269"/>
      <c r="AA121" s="269"/>
      <c r="AB121" s="269" t="s">
        <v>212</v>
      </c>
      <c r="AC121" s="269"/>
      <c r="AD121" s="269">
        <f>S121*V121</f>
        <v>15000000</v>
      </c>
      <c r="AE121" s="295" t="s">
        <v>25</v>
      </c>
      <c r="AF121" s="6">
        <v>15000000</v>
      </c>
    </row>
    <row r="122" spans="1:32" s="12" customFormat="1" ht="21" customHeight="1">
      <c r="A122" s="39"/>
      <c r="B122" s="40"/>
      <c r="C122" s="40"/>
      <c r="D122" s="145"/>
      <c r="E122" s="97"/>
      <c r="F122" s="97"/>
      <c r="G122" s="97"/>
      <c r="H122" s="97"/>
      <c r="I122" s="97"/>
      <c r="J122" s="97"/>
      <c r="K122" s="97"/>
      <c r="L122" s="97"/>
      <c r="M122" s="97"/>
      <c r="N122" s="62"/>
      <c r="O122" s="271" t="s">
        <v>288</v>
      </c>
      <c r="P122" s="271"/>
      <c r="Q122" s="271"/>
      <c r="R122" s="271"/>
      <c r="S122" s="269">
        <v>750000</v>
      </c>
      <c r="T122" s="331" t="s">
        <v>198</v>
      </c>
      <c r="U122" s="331" t="s">
        <v>26</v>
      </c>
      <c r="V122" s="269">
        <v>11</v>
      </c>
      <c r="W122" s="271" t="s">
        <v>203</v>
      </c>
      <c r="X122" s="269" t="s">
        <v>27</v>
      </c>
      <c r="Y122" s="269"/>
      <c r="Z122" s="269"/>
      <c r="AA122" s="269"/>
      <c r="AB122" s="269" t="s">
        <v>212</v>
      </c>
      <c r="AC122" s="269"/>
      <c r="AD122" s="269">
        <f>S122*V122</f>
        <v>8250000</v>
      </c>
      <c r="AE122" s="295" t="s">
        <v>25</v>
      </c>
      <c r="AF122" s="6">
        <v>8250000</v>
      </c>
    </row>
    <row r="123" spans="1:32" s="12" customFormat="1" ht="21" customHeight="1">
      <c r="A123" s="39"/>
      <c r="B123" s="40"/>
      <c r="C123" s="40"/>
      <c r="D123" s="145"/>
      <c r="E123" s="97"/>
      <c r="F123" s="97"/>
      <c r="G123" s="97"/>
      <c r="H123" s="97"/>
      <c r="I123" s="97"/>
      <c r="J123" s="97"/>
      <c r="K123" s="97"/>
      <c r="L123" s="97"/>
      <c r="M123" s="97"/>
      <c r="N123" s="62"/>
      <c r="O123" s="271" t="s">
        <v>293</v>
      </c>
      <c r="P123" s="369"/>
      <c r="Q123" s="369"/>
      <c r="R123" s="369"/>
      <c r="S123" s="269">
        <v>60500</v>
      </c>
      <c r="T123" s="331" t="s">
        <v>56</v>
      </c>
      <c r="U123" s="331" t="s">
        <v>26</v>
      </c>
      <c r="V123" s="269">
        <v>12</v>
      </c>
      <c r="W123" s="271" t="s">
        <v>155</v>
      </c>
      <c r="X123" s="269" t="s">
        <v>27</v>
      </c>
      <c r="Y123" s="269"/>
      <c r="Z123" s="269"/>
      <c r="AA123" s="269"/>
      <c r="AB123" s="269" t="s">
        <v>74</v>
      </c>
      <c r="AC123" s="269"/>
      <c r="AD123" s="269">
        <f>S123*V123-1000</f>
        <v>725000</v>
      </c>
      <c r="AE123" s="295" t="s">
        <v>25</v>
      </c>
      <c r="AF123" s="6">
        <v>725000</v>
      </c>
    </row>
    <row r="124" spans="1:32" s="12" customFormat="1" ht="21" customHeight="1">
      <c r="A124" s="39"/>
      <c r="B124" s="40"/>
      <c r="C124" s="40"/>
      <c r="D124" s="145"/>
      <c r="E124" s="97"/>
      <c r="F124" s="97"/>
      <c r="G124" s="97"/>
      <c r="H124" s="97"/>
      <c r="I124" s="97"/>
      <c r="J124" s="97"/>
      <c r="K124" s="97"/>
      <c r="L124" s="97"/>
      <c r="M124" s="97"/>
      <c r="N124" s="62"/>
      <c r="O124" s="534" t="s">
        <v>549</v>
      </c>
      <c r="P124" s="534"/>
      <c r="Q124" s="534"/>
      <c r="R124" s="534"/>
      <c r="S124" s="302">
        <v>270000</v>
      </c>
      <c r="T124" s="303" t="s">
        <v>550</v>
      </c>
      <c r="U124" s="303" t="s">
        <v>26</v>
      </c>
      <c r="V124" s="302">
        <v>12</v>
      </c>
      <c r="W124" s="304" t="s">
        <v>29</v>
      </c>
      <c r="X124" s="302" t="s">
        <v>27</v>
      </c>
      <c r="Y124" s="302"/>
      <c r="Z124" s="304"/>
      <c r="AA124" s="302"/>
      <c r="AB124" s="533" t="s">
        <v>551</v>
      </c>
      <c r="AC124" s="533"/>
      <c r="AD124" s="777">
        <f>S124*V124</f>
        <v>3240000</v>
      </c>
      <c r="AE124" s="125" t="s">
        <v>550</v>
      </c>
      <c r="AF124" s="6">
        <v>3240000</v>
      </c>
    </row>
    <row r="125" spans="1:32" s="12" customFormat="1" ht="21" customHeight="1">
      <c r="A125" s="39"/>
      <c r="B125" s="40"/>
      <c r="C125" s="40"/>
      <c r="D125" s="145"/>
      <c r="E125" s="97"/>
      <c r="F125" s="97"/>
      <c r="G125" s="97"/>
      <c r="H125" s="97"/>
      <c r="I125" s="97"/>
      <c r="J125" s="97"/>
      <c r="K125" s="97"/>
      <c r="L125" s="97"/>
      <c r="M125" s="97"/>
      <c r="N125" s="62"/>
      <c r="O125" s="746" t="s">
        <v>903</v>
      </c>
      <c r="P125" s="625"/>
      <c r="Q125" s="625"/>
      <c r="R125" s="625"/>
      <c r="S125" s="624"/>
      <c r="T125" s="289"/>
      <c r="U125" s="289"/>
      <c r="V125" s="624"/>
      <c r="W125" s="625"/>
      <c r="X125" s="624"/>
      <c r="Y125" s="624"/>
      <c r="Z125" s="624"/>
      <c r="AA125" s="624"/>
      <c r="AB125" s="728" t="s">
        <v>794</v>
      </c>
      <c r="AC125" s="728"/>
      <c r="AD125" s="777">
        <v>5356000</v>
      </c>
      <c r="AE125" s="125" t="s">
        <v>788</v>
      </c>
      <c r="AF125" s="6">
        <v>5356000</v>
      </c>
    </row>
    <row r="126" spans="1:32" s="12" customFormat="1" ht="21" customHeight="1">
      <c r="A126" s="39"/>
      <c r="B126" s="40"/>
      <c r="C126" s="40"/>
      <c r="D126" s="145"/>
      <c r="E126" s="97"/>
      <c r="F126" s="97"/>
      <c r="G126" s="97"/>
      <c r="H126" s="97"/>
      <c r="I126" s="97"/>
      <c r="J126" s="97"/>
      <c r="K126" s="97"/>
      <c r="L126" s="97"/>
      <c r="M126" s="97"/>
      <c r="N126" s="62"/>
      <c r="O126" s="108"/>
      <c r="P126" s="44"/>
      <c r="Q126" s="44"/>
      <c r="R126" s="44"/>
      <c r="S126" s="45"/>
      <c r="T126" s="49"/>
      <c r="U126" s="49"/>
      <c r="V126" s="45"/>
      <c r="W126" s="44"/>
      <c r="X126" s="45"/>
      <c r="Y126" s="45"/>
      <c r="Z126" s="45"/>
      <c r="AA126" s="45"/>
      <c r="AB126" s="130"/>
      <c r="AC126" s="45"/>
      <c r="AD126" s="287"/>
      <c r="AE126" s="51"/>
      <c r="AF126" s="6"/>
    </row>
    <row r="127" spans="1:32" ht="21" customHeight="1">
      <c r="A127" s="39"/>
      <c r="B127" s="40"/>
      <c r="C127" s="30" t="s">
        <v>15</v>
      </c>
      <c r="D127" s="147">
        <v>10130</v>
      </c>
      <c r="E127" s="101">
        <f>ROUND(AD127/1000,0)</f>
        <v>10250</v>
      </c>
      <c r="F127" s="102">
        <f>SUMIF($AB$128:$AB$138,"보조",$AD$128:$AD$138)/1000</f>
        <v>7450</v>
      </c>
      <c r="G127" s="102">
        <f>SUMIF($AB$128:$AB$138,"7종",$AD$128:$AD$138)/1000</f>
        <v>0</v>
      </c>
      <c r="H127" s="102">
        <f>SUMIF($AB$128:$AB$138,"4종",$AD$128:$AD$138)/1000</f>
        <v>0</v>
      </c>
      <c r="I127" s="102">
        <f>SUMIF($AB$128:$AB$138,"후원",$AD$128:$AD$138)/1000</f>
        <v>2800</v>
      </c>
      <c r="J127" s="102">
        <f>SUMIF($AB$128:$AB$138,"입소",$AD$128:$AD$138)/1000</f>
        <v>0</v>
      </c>
      <c r="K127" s="102">
        <f>SUMIF($AB$128:$AB$138,"법인",$AD$128:$AD$138)/1000</f>
        <v>0</v>
      </c>
      <c r="L127" s="102">
        <f>SUMIF($AB$128:$AB$138,"잡수",$AD$128:$AD$138)/1000</f>
        <v>0</v>
      </c>
      <c r="M127" s="645">
        <f>E127-D127</f>
        <v>120</v>
      </c>
      <c r="N127" s="109">
        <f>IF(D127=0,0,M127/D127)</f>
        <v>1.1846001974333662E-2</v>
      </c>
      <c r="O127" s="342" t="s">
        <v>44</v>
      </c>
      <c r="P127" s="343"/>
      <c r="Q127" s="343"/>
      <c r="R127" s="343"/>
      <c r="S127" s="343"/>
      <c r="T127" s="344"/>
      <c r="U127" s="344"/>
      <c r="V127" s="344"/>
      <c r="W127" s="344"/>
      <c r="X127" s="344"/>
      <c r="Y127" s="335" t="s">
        <v>205</v>
      </c>
      <c r="Z127" s="335"/>
      <c r="AA127" s="335"/>
      <c r="AB127" s="335"/>
      <c r="AC127" s="336"/>
      <c r="AD127" s="336">
        <f>SUM(AD129:AD138)</f>
        <v>10250000</v>
      </c>
      <c r="AE127" s="337" t="s">
        <v>25</v>
      </c>
    </row>
    <row r="128" spans="1:32" s="10" customFormat="1" ht="21" customHeight="1">
      <c r="A128" s="39"/>
      <c r="B128" s="40"/>
      <c r="C128" s="40"/>
      <c r="D128" s="145"/>
      <c r="E128" s="97"/>
      <c r="F128" s="97"/>
      <c r="G128" s="97"/>
      <c r="H128" s="97"/>
      <c r="I128" s="97"/>
      <c r="J128" s="97"/>
      <c r="K128" s="97"/>
      <c r="L128" s="97"/>
      <c r="M128" s="97"/>
      <c r="N128" s="62"/>
      <c r="O128" s="271" t="s">
        <v>206</v>
      </c>
      <c r="P128" s="271"/>
      <c r="Q128" s="271"/>
      <c r="R128" s="271"/>
      <c r="S128" s="271"/>
      <c r="T128" s="269"/>
      <c r="U128" s="269"/>
      <c r="V128" s="269"/>
      <c r="W128" s="269"/>
      <c r="X128" s="269"/>
      <c r="Y128" s="269"/>
      <c r="Z128" s="269"/>
      <c r="AA128" s="269"/>
      <c r="AB128" s="269"/>
      <c r="AC128" s="272"/>
      <c r="AD128" s="272"/>
      <c r="AE128" s="295"/>
      <c r="AF128" s="6"/>
    </row>
    <row r="129" spans="1:32" s="10" customFormat="1" ht="21" customHeight="1">
      <c r="A129" s="39"/>
      <c r="B129" s="40"/>
      <c r="C129" s="40"/>
      <c r="D129" s="145"/>
      <c r="E129" s="97"/>
      <c r="F129" s="97"/>
      <c r="G129" s="97"/>
      <c r="H129" s="97"/>
      <c r="I129" s="97"/>
      <c r="J129" s="97"/>
      <c r="K129" s="97"/>
      <c r="L129" s="97"/>
      <c r="M129" s="97"/>
      <c r="N129" s="62"/>
      <c r="O129" s="271" t="s">
        <v>207</v>
      </c>
      <c r="P129" s="345"/>
      <c r="Q129" s="345"/>
      <c r="R129" s="345"/>
      <c r="S129" s="269">
        <v>120000</v>
      </c>
      <c r="T129" s="331" t="s">
        <v>198</v>
      </c>
      <c r="U129" s="331" t="s">
        <v>26</v>
      </c>
      <c r="V129" s="269">
        <v>12</v>
      </c>
      <c r="W129" s="271" t="s">
        <v>203</v>
      </c>
      <c r="X129" s="269" t="s">
        <v>27</v>
      </c>
      <c r="Y129" s="269"/>
      <c r="Z129" s="269"/>
      <c r="AA129" s="269"/>
      <c r="AB129" s="269" t="s">
        <v>290</v>
      </c>
      <c r="AC129" s="269"/>
      <c r="AD129" s="269">
        <f>S129*V129</f>
        <v>1440000</v>
      </c>
      <c r="AE129" s="125" t="s">
        <v>25</v>
      </c>
      <c r="AF129" s="6">
        <v>1440000</v>
      </c>
    </row>
    <row r="130" spans="1:32" s="10" customFormat="1" ht="21" customHeight="1">
      <c r="A130" s="39"/>
      <c r="B130" s="40"/>
      <c r="C130" s="40"/>
      <c r="D130" s="145"/>
      <c r="E130" s="97"/>
      <c r="F130" s="97"/>
      <c r="G130" s="97"/>
      <c r="H130" s="97"/>
      <c r="I130" s="97"/>
      <c r="J130" s="97"/>
      <c r="K130" s="97"/>
      <c r="L130" s="97"/>
      <c r="M130" s="97"/>
      <c r="N130" s="62"/>
      <c r="O130" s="271" t="s">
        <v>208</v>
      </c>
      <c r="P130" s="345"/>
      <c r="Q130" s="345"/>
      <c r="R130" s="345"/>
      <c r="S130" s="269">
        <v>120000</v>
      </c>
      <c r="T130" s="331" t="s">
        <v>56</v>
      </c>
      <c r="U130" s="331" t="s">
        <v>26</v>
      </c>
      <c r="V130" s="269">
        <v>12</v>
      </c>
      <c r="W130" s="271" t="s">
        <v>155</v>
      </c>
      <c r="X130" s="269" t="s">
        <v>27</v>
      </c>
      <c r="Y130" s="269"/>
      <c r="Z130" s="269"/>
      <c r="AA130" s="269"/>
      <c r="AB130" s="269" t="s">
        <v>290</v>
      </c>
      <c r="AC130" s="269"/>
      <c r="AD130" s="269">
        <f>S130*V130</f>
        <v>1440000</v>
      </c>
      <c r="AE130" s="125" t="s">
        <v>25</v>
      </c>
      <c r="AF130" s="6">
        <v>1440000</v>
      </c>
    </row>
    <row r="131" spans="1:32" s="10" customFormat="1" ht="21" customHeight="1">
      <c r="A131" s="39"/>
      <c r="B131" s="40"/>
      <c r="C131" s="40"/>
      <c r="D131" s="145"/>
      <c r="E131" s="97"/>
      <c r="F131" s="97"/>
      <c r="G131" s="97"/>
      <c r="H131" s="97"/>
      <c r="I131" s="97"/>
      <c r="J131" s="97"/>
      <c r="K131" s="97"/>
      <c r="L131" s="97"/>
      <c r="M131" s="97"/>
      <c r="N131" s="62"/>
      <c r="O131" s="271" t="s">
        <v>294</v>
      </c>
      <c r="P131" s="345"/>
      <c r="Q131" s="345"/>
      <c r="R131" s="345"/>
      <c r="S131" s="269">
        <v>100000</v>
      </c>
      <c r="T131" s="331" t="s">
        <v>198</v>
      </c>
      <c r="U131" s="331" t="s">
        <v>26</v>
      </c>
      <c r="V131" s="269">
        <v>1</v>
      </c>
      <c r="W131" s="271" t="s">
        <v>203</v>
      </c>
      <c r="X131" s="269" t="s">
        <v>27</v>
      </c>
      <c r="Y131" s="269"/>
      <c r="Z131" s="269"/>
      <c r="AA131" s="269"/>
      <c r="AB131" s="269" t="s">
        <v>74</v>
      </c>
      <c r="AC131" s="269"/>
      <c r="AD131" s="777">
        <f>S131*V131</f>
        <v>100000</v>
      </c>
      <c r="AE131" s="125" t="s">
        <v>25</v>
      </c>
      <c r="AF131" s="6">
        <v>100000</v>
      </c>
    </row>
    <row r="132" spans="1:32" s="10" customFormat="1" ht="21" customHeight="1">
      <c r="A132" s="39"/>
      <c r="B132" s="40"/>
      <c r="C132" s="40"/>
      <c r="D132" s="145"/>
      <c r="E132" s="97"/>
      <c r="F132" s="97"/>
      <c r="G132" s="97"/>
      <c r="H132" s="97"/>
      <c r="I132" s="97"/>
      <c r="J132" s="97"/>
      <c r="K132" s="97"/>
      <c r="L132" s="97"/>
      <c r="M132" s="97"/>
      <c r="N132" s="62"/>
      <c r="O132" s="271"/>
      <c r="P132" s="345"/>
      <c r="Q132" s="345"/>
      <c r="R132" s="345"/>
      <c r="S132" s="345"/>
      <c r="T132" s="272"/>
      <c r="U132" s="346"/>
      <c r="V132" s="271"/>
      <c r="W132" s="331"/>
      <c r="X132" s="269"/>
      <c r="Y132" s="269"/>
      <c r="Z132" s="269"/>
      <c r="AA132" s="271"/>
      <c r="AB132" s="271"/>
      <c r="AC132" s="269"/>
      <c r="AD132" s="269"/>
      <c r="AE132" s="125"/>
      <c r="AF132" s="6"/>
    </row>
    <row r="133" spans="1:32" s="10" customFormat="1" ht="21" customHeight="1">
      <c r="A133" s="39"/>
      <c r="B133" s="40"/>
      <c r="C133" s="40"/>
      <c r="D133" s="145"/>
      <c r="E133" s="97"/>
      <c r="F133" s="97"/>
      <c r="G133" s="97"/>
      <c r="H133" s="97"/>
      <c r="I133" s="97"/>
      <c r="J133" s="97"/>
      <c r="K133" s="97"/>
      <c r="L133" s="97"/>
      <c r="M133" s="97"/>
      <c r="N133" s="62"/>
      <c r="O133" s="854" t="s">
        <v>209</v>
      </c>
      <c r="P133" s="854"/>
      <c r="Q133" s="854"/>
      <c r="R133" s="854"/>
      <c r="S133" s="854"/>
      <c r="T133" s="271"/>
      <c r="U133" s="269"/>
      <c r="V133" s="271"/>
      <c r="W133" s="331"/>
      <c r="X133" s="269"/>
      <c r="Y133" s="269"/>
      <c r="Z133" s="269"/>
      <c r="AA133" s="271"/>
      <c r="AB133" s="271"/>
      <c r="AC133" s="269"/>
      <c r="AD133" s="269"/>
      <c r="AE133" s="125"/>
      <c r="AF133" s="6"/>
    </row>
    <row r="134" spans="1:32" s="10" customFormat="1" ht="21" customHeight="1">
      <c r="A134" s="39"/>
      <c r="B134" s="40"/>
      <c r="C134" s="40"/>
      <c r="D134" s="145"/>
      <c r="E134" s="97"/>
      <c r="F134" s="97"/>
      <c r="G134" s="97"/>
      <c r="H134" s="97"/>
      <c r="I134" s="97"/>
      <c r="J134" s="97"/>
      <c r="K134" s="97"/>
      <c r="L134" s="97"/>
      <c r="M134" s="97"/>
      <c r="N134" s="62"/>
      <c r="O134" s="741" t="s">
        <v>889</v>
      </c>
      <c r="P134" s="390"/>
      <c r="Q134" s="390"/>
      <c r="R134" s="390"/>
      <c r="S134" s="545"/>
      <c r="T134" s="124"/>
      <c r="U134" s="391"/>
      <c r="V134" s="545"/>
      <c r="W134" s="289"/>
      <c r="X134" s="544"/>
      <c r="Y134" s="544"/>
      <c r="Z134" s="544"/>
      <c r="AA134" s="545"/>
      <c r="AB134" s="545" t="s">
        <v>572</v>
      </c>
      <c r="AC134" s="544"/>
      <c r="AD134" s="777">
        <v>3770000</v>
      </c>
      <c r="AE134" s="125" t="s">
        <v>25</v>
      </c>
      <c r="AF134" s="6">
        <v>6150000</v>
      </c>
    </row>
    <row r="135" spans="1:32" s="10" customFormat="1" ht="21" customHeight="1">
      <c r="A135" s="39"/>
      <c r="B135" s="40"/>
      <c r="C135" s="40"/>
      <c r="D135" s="145"/>
      <c r="E135" s="97"/>
      <c r="F135" s="97"/>
      <c r="G135" s="97"/>
      <c r="H135" s="97"/>
      <c r="I135" s="97"/>
      <c r="J135" s="97"/>
      <c r="K135" s="97"/>
      <c r="L135" s="97"/>
      <c r="M135" s="97"/>
      <c r="N135" s="62"/>
      <c r="O135" s="545" t="s">
        <v>573</v>
      </c>
      <c r="P135" s="552"/>
      <c r="Q135" s="552"/>
      <c r="R135" s="552"/>
      <c r="S135" s="552"/>
      <c r="T135" s="552"/>
      <c r="U135" s="552"/>
      <c r="V135" s="552"/>
      <c r="W135" s="552"/>
      <c r="X135" s="552"/>
      <c r="Y135" s="544"/>
      <c r="Z135" s="544"/>
      <c r="AA135" s="545"/>
      <c r="AB135" s="545" t="s">
        <v>572</v>
      </c>
      <c r="AC135" s="544"/>
      <c r="AD135" s="777">
        <v>700000</v>
      </c>
      <c r="AE135" s="125" t="s">
        <v>25</v>
      </c>
      <c r="AF135" s="6">
        <v>700000</v>
      </c>
    </row>
    <row r="136" spans="1:32" s="10" customFormat="1" ht="21" customHeight="1">
      <c r="A136" s="39"/>
      <c r="B136" s="40"/>
      <c r="C136" s="40"/>
      <c r="D136" s="145"/>
      <c r="E136" s="97"/>
      <c r="F136" s="97"/>
      <c r="G136" s="97"/>
      <c r="H136" s="97"/>
      <c r="I136" s="97"/>
      <c r="J136" s="97"/>
      <c r="K136" s="97"/>
      <c r="L136" s="97"/>
      <c r="M136" s="97"/>
      <c r="N136" s="62"/>
      <c r="O136" s="564" t="s">
        <v>623</v>
      </c>
      <c r="P136" s="390"/>
      <c r="Q136" s="390"/>
      <c r="R136" s="390"/>
      <c r="S136" s="564"/>
      <c r="T136" s="124"/>
      <c r="U136" s="391"/>
      <c r="V136" s="564"/>
      <c r="W136" s="289"/>
      <c r="X136" s="563"/>
      <c r="Y136" s="563"/>
      <c r="Z136" s="563"/>
      <c r="AA136" s="564"/>
      <c r="AB136" s="564" t="s">
        <v>622</v>
      </c>
      <c r="AC136" s="563"/>
      <c r="AD136" s="777">
        <v>0</v>
      </c>
      <c r="AE136" s="125" t="s">
        <v>644</v>
      </c>
      <c r="AF136" s="6"/>
    </row>
    <row r="137" spans="1:32" s="10" customFormat="1" ht="21" customHeight="1">
      <c r="A137" s="39"/>
      <c r="B137" s="40"/>
      <c r="C137" s="40"/>
      <c r="D137" s="145"/>
      <c r="E137" s="97"/>
      <c r="F137" s="97"/>
      <c r="G137" s="97"/>
      <c r="H137" s="97"/>
      <c r="I137" s="97"/>
      <c r="J137" s="97"/>
      <c r="K137" s="97"/>
      <c r="L137" s="97"/>
      <c r="M137" s="97"/>
      <c r="N137" s="62"/>
      <c r="O137" s="612" t="s">
        <v>680</v>
      </c>
      <c r="P137" s="390"/>
      <c r="Q137" s="390"/>
      <c r="R137" s="390"/>
      <c r="S137" s="612"/>
      <c r="T137" s="614"/>
      <c r="U137" s="391"/>
      <c r="V137" s="612"/>
      <c r="W137" s="289"/>
      <c r="X137" s="611"/>
      <c r="Y137" s="611"/>
      <c r="Z137" s="611"/>
      <c r="AA137" s="612"/>
      <c r="AB137" s="612" t="s">
        <v>679</v>
      </c>
      <c r="AC137" s="611"/>
      <c r="AD137" s="777">
        <v>300000</v>
      </c>
      <c r="AE137" s="125" t="s">
        <v>25</v>
      </c>
      <c r="AF137" s="6">
        <v>300000</v>
      </c>
    </row>
    <row r="138" spans="1:32" s="10" customFormat="1" ht="21" customHeight="1">
      <c r="A138" s="39"/>
      <c r="B138" s="40"/>
      <c r="C138" s="40"/>
      <c r="D138" s="145"/>
      <c r="E138" s="97"/>
      <c r="F138" s="97"/>
      <c r="G138" s="97"/>
      <c r="H138" s="97"/>
      <c r="I138" s="97"/>
      <c r="J138" s="97"/>
      <c r="K138" s="97"/>
      <c r="L138" s="97"/>
      <c r="M138" s="97"/>
      <c r="N138" s="62"/>
      <c r="O138" s="775" t="s">
        <v>970</v>
      </c>
      <c r="P138" s="115"/>
      <c r="Q138" s="115"/>
      <c r="R138" s="115"/>
      <c r="S138" s="115"/>
      <c r="T138" s="115"/>
      <c r="U138" s="115"/>
      <c r="V138" s="115"/>
      <c r="W138" s="115"/>
      <c r="X138" s="115"/>
      <c r="Y138" s="67"/>
      <c r="Z138" s="67"/>
      <c r="AA138" s="67"/>
      <c r="AB138" s="67" t="s">
        <v>971</v>
      </c>
      <c r="AC138" s="67"/>
      <c r="AD138" s="287">
        <v>2500000</v>
      </c>
      <c r="AE138" s="125" t="s">
        <v>25</v>
      </c>
      <c r="AF138" s="6">
        <v>0</v>
      </c>
    </row>
    <row r="139" spans="1:32" s="10" customFormat="1" ht="21" customHeight="1">
      <c r="A139" s="39"/>
      <c r="B139" s="40"/>
      <c r="C139" s="30" t="s">
        <v>45</v>
      </c>
      <c r="D139" s="147">
        <v>8118</v>
      </c>
      <c r="E139" s="101">
        <f>ROUND(AD139/1000,0)</f>
        <v>7768</v>
      </c>
      <c r="F139" s="102">
        <f>SUMIF($AB$140:$AB$144,"보조",$AD$140:$AD$144)/1000</f>
        <v>1450</v>
      </c>
      <c r="G139" s="102">
        <f>SUMIF($AB$140:$AB$144,"7종",$AD$140:$AD$144)/1000</f>
        <v>3600</v>
      </c>
      <c r="H139" s="102">
        <f>SUMIF($AB$140:$AB$144,"4종",$AD$140:$AD$144)/1000</f>
        <v>0</v>
      </c>
      <c r="I139" s="102">
        <f>SUMIF($AB$140:$AB$144,"후원",$AD$140:$AD$144)/1000</f>
        <v>2718</v>
      </c>
      <c r="J139" s="102">
        <f>SUMIF($AB$140:$AB$144,"입소",$AD$140:$AD$144)/1000</f>
        <v>0</v>
      </c>
      <c r="K139" s="102">
        <f>SUMIF($AB$140:$AB$144,"법인",$AD$140:$AD$144)/1000</f>
        <v>0</v>
      </c>
      <c r="L139" s="102">
        <f>SUMIF($AB$140:$AB$144,"잡수",$AD$140:$AD$144)/1000</f>
        <v>0</v>
      </c>
      <c r="M139" s="174">
        <f>E139-D139</f>
        <v>-350</v>
      </c>
      <c r="N139" s="109">
        <f>IF(D139=0,0,M139/D139)</f>
        <v>-4.3114067504311404E-2</v>
      </c>
      <c r="O139" s="89" t="s">
        <v>46</v>
      </c>
      <c r="P139" s="85"/>
      <c r="Q139" s="85"/>
      <c r="R139" s="85"/>
      <c r="S139" s="85"/>
      <c r="T139" s="81"/>
      <c r="U139" s="81"/>
      <c r="V139" s="81"/>
      <c r="W139" s="81"/>
      <c r="X139" s="81"/>
      <c r="Y139" s="163" t="s">
        <v>135</v>
      </c>
      <c r="Z139" s="163"/>
      <c r="AA139" s="163"/>
      <c r="AB139" s="163"/>
      <c r="AC139" s="165"/>
      <c r="AD139" s="165">
        <f>SUM(AD140:AD143)</f>
        <v>7768000</v>
      </c>
      <c r="AE139" s="164" t="s">
        <v>25</v>
      </c>
      <c r="AF139" s="6"/>
    </row>
    <row r="140" spans="1:32" s="10" customFormat="1" ht="21" customHeight="1">
      <c r="A140" s="39"/>
      <c r="B140" s="40"/>
      <c r="C140" s="40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2"/>
      <c r="O140" s="564" t="s">
        <v>624</v>
      </c>
      <c r="P140" s="369"/>
      <c r="Q140" s="369"/>
      <c r="R140" s="369"/>
      <c r="S140" s="368">
        <v>145000</v>
      </c>
      <c r="T140" s="289" t="s">
        <v>254</v>
      </c>
      <c r="U140" s="289" t="s">
        <v>26</v>
      </c>
      <c r="V140" s="368">
        <v>10</v>
      </c>
      <c r="W140" s="369" t="s">
        <v>258</v>
      </c>
      <c r="X140" s="368" t="s">
        <v>27</v>
      </c>
      <c r="Y140" s="368"/>
      <c r="Z140" s="368"/>
      <c r="AA140" s="368"/>
      <c r="AB140" s="368" t="s">
        <v>262</v>
      </c>
      <c r="AC140" s="368"/>
      <c r="AD140" s="777">
        <f>S140*V140</f>
        <v>1450000</v>
      </c>
      <c r="AE140" s="125" t="s">
        <v>25</v>
      </c>
      <c r="AF140" s="6">
        <v>1800000</v>
      </c>
    </row>
    <row r="141" spans="1:32" s="10" customFormat="1" ht="21" customHeight="1">
      <c r="A141" s="39"/>
      <c r="B141" s="40"/>
      <c r="C141" s="40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2"/>
      <c r="O141" s="540" t="s">
        <v>563</v>
      </c>
      <c r="P141" s="540"/>
      <c r="Q141" s="540"/>
      <c r="R141" s="540"/>
      <c r="S141" s="539">
        <v>300000</v>
      </c>
      <c r="T141" s="289" t="s">
        <v>561</v>
      </c>
      <c r="U141" s="289" t="s">
        <v>26</v>
      </c>
      <c r="V141" s="539">
        <v>12</v>
      </c>
      <c r="W141" s="540" t="s">
        <v>564</v>
      </c>
      <c r="X141" s="539" t="s">
        <v>27</v>
      </c>
      <c r="Y141" s="539"/>
      <c r="Z141" s="539"/>
      <c r="AA141" s="539"/>
      <c r="AB141" s="539" t="s">
        <v>562</v>
      </c>
      <c r="AC141" s="539"/>
      <c r="AD141" s="777">
        <f>S141*V141</f>
        <v>3600000</v>
      </c>
      <c r="AE141" s="125" t="s">
        <v>25</v>
      </c>
      <c r="AF141" s="6">
        <v>3600000</v>
      </c>
    </row>
    <row r="142" spans="1:32" s="10" customFormat="1" ht="21" customHeight="1">
      <c r="A142" s="39"/>
      <c r="B142" s="40"/>
      <c r="C142" s="40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62"/>
      <c r="O142" s="369" t="s">
        <v>264</v>
      </c>
      <c r="P142" s="369"/>
      <c r="Q142" s="369"/>
      <c r="R142" s="369"/>
      <c r="S142" s="368">
        <v>100000</v>
      </c>
      <c r="T142" s="289" t="s">
        <v>244</v>
      </c>
      <c r="U142" s="289" t="s">
        <v>26</v>
      </c>
      <c r="V142" s="368">
        <v>10</v>
      </c>
      <c r="W142" s="369" t="s">
        <v>265</v>
      </c>
      <c r="X142" s="368" t="s">
        <v>27</v>
      </c>
      <c r="Y142" s="368"/>
      <c r="Z142" s="368"/>
      <c r="AA142" s="368"/>
      <c r="AB142" s="528" t="s">
        <v>530</v>
      </c>
      <c r="AC142" s="368"/>
      <c r="AD142" s="777">
        <v>318000</v>
      </c>
      <c r="AE142" s="125" t="s">
        <v>25</v>
      </c>
      <c r="AF142" s="6">
        <v>318000</v>
      </c>
    </row>
    <row r="143" spans="1:32" ht="21" customHeight="1">
      <c r="A143" s="39"/>
      <c r="B143" s="40"/>
      <c r="C143" s="40"/>
      <c r="D143" s="145"/>
      <c r="E143" s="97"/>
      <c r="F143" s="97"/>
      <c r="G143" s="97"/>
      <c r="H143" s="97"/>
      <c r="I143" s="97"/>
      <c r="J143" s="97"/>
      <c r="K143" s="97"/>
      <c r="L143" s="97"/>
      <c r="M143" s="97"/>
      <c r="N143" s="62"/>
      <c r="O143" s="529" t="s">
        <v>529</v>
      </c>
      <c r="P143" s="369"/>
      <c r="Q143" s="369"/>
      <c r="R143" s="369"/>
      <c r="S143" s="368"/>
      <c r="T143" s="289"/>
      <c r="U143" s="289"/>
      <c r="V143" s="368"/>
      <c r="W143" s="369"/>
      <c r="X143" s="368"/>
      <c r="Y143" s="368"/>
      <c r="Z143" s="368"/>
      <c r="AA143" s="368"/>
      <c r="AB143" s="421" t="s">
        <v>296</v>
      </c>
      <c r="AC143" s="368"/>
      <c r="AD143" s="777">
        <v>2400000</v>
      </c>
      <c r="AE143" s="125" t="s">
        <v>25</v>
      </c>
      <c r="AF143" s="6">
        <v>2400000</v>
      </c>
    </row>
    <row r="144" spans="1:32" s="10" customFormat="1" ht="21" customHeight="1">
      <c r="A144" s="39"/>
      <c r="B144" s="40"/>
      <c r="C144" s="53"/>
      <c r="D144" s="116"/>
      <c r="E144" s="99"/>
      <c r="F144" s="99"/>
      <c r="G144" s="99"/>
      <c r="H144" s="99"/>
      <c r="I144" s="99"/>
      <c r="J144" s="99"/>
      <c r="K144" s="99"/>
      <c r="L144" s="99"/>
      <c r="M144" s="99"/>
      <c r="N144" s="76"/>
      <c r="O144" s="281"/>
      <c r="P144" s="281"/>
      <c r="Q144" s="281"/>
      <c r="R144" s="281"/>
      <c r="S144" s="388"/>
      <c r="T144" s="392"/>
      <c r="U144" s="388"/>
      <c r="V144" s="849"/>
      <c r="W144" s="850"/>
      <c r="X144" s="388"/>
      <c r="Y144" s="388"/>
      <c r="Z144" s="388"/>
      <c r="AA144" s="388"/>
      <c r="AB144" s="388"/>
      <c r="AC144" s="388"/>
      <c r="AD144" s="778"/>
      <c r="AE144" s="393"/>
      <c r="AF144" s="6"/>
    </row>
    <row r="145" spans="1:32" s="10" customFormat="1" ht="21" customHeight="1">
      <c r="A145" s="39"/>
      <c r="B145" s="40"/>
      <c r="C145" s="30" t="s">
        <v>75</v>
      </c>
      <c r="D145" s="117">
        <v>21238</v>
      </c>
      <c r="E145" s="101">
        <f>ROUND(AD145/1000,0)</f>
        <v>16206</v>
      </c>
      <c r="F145" s="102">
        <f>SUMIF($AB$147:$AB$168,"보조",$AD$147:$AD$168)/1000</f>
        <v>800</v>
      </c>
      <c r="G145" s="102">
        <f>SUMIF($AB$147:$AB$168,"7종",$AD$147:$AD$168)/1000</f>
        <v>0</v>
      </c>
      <c r="H145" s="102">
        <f>SUMIF($AB$147:$AB$168,"4종",$AD$147:$AD$168)/1000</f>
        <v>0</v>
      </c>
      <c r="I145" s="102">
        <f>SUMIF($AB$147:$AB$168,"후원",$AD$147:$AD$168)/1000</f>
        <v>200</v>
      </c>
      <c r="J145" s="102">
        <f>SUMIF($AB$147:$AB$168,"입소",$AD$147:$AD$168)/1000</f>
        <v>0</v>
      </c>
      <c r="K145" s="102">
        <f>SUMIF($AB$147:$AB$168,"법인",$AD$147:$AD$168)/1000</f>
        <v>13996</v>
      </c>
      <c r="L145" s="102">
        <f>SUMIF($AB$147:$AB$168,"잡수",$AD$147:$AD$168)/1000</f>
        <v>1210</v>
      </c>
      <c r="M145" s="111">
        <f>E145-D145</f>
        <v>-5032</v>
      </c>
      <c r="N145" s="109">
        <f>IF(D145=0,0,M145/D145)</f>
        <v>-0.23693379790940766</v>
      </c>
      <c r="O145" s="104" t="s">
        <v>655</v>
      </c>
      <c r="P145" s="85"/>
      <c r="Q145" s="85"/>
      <c r="R145" s="85"/>
      <c r="S145" s="85"/>
      <c r="T145" s="81"/>
      <c r="U145" s="81"/>
      <c r="V145" s="81"/>
      <c r="W145" s="81"/>
      <c r="X145" s="81"/>
      <c r="Y145" s="582" t="s">
        <v>656</v>
      </c>
      <c r="Z145" s="163"/>
      <c r="AA145" s="163"/>
      <c r="AB145" s="163"/>
      <c r="AC145" s="165"/>
      <c r="AD145" s="165">
        <f>SUM(AD146,AD164)</f>
        <v>16206000</v>
      </c>
      <c r="AE145" s="164" t="s">
        <v>25</v>
      </c>
      <c r="AF145" s="6"/>
    </row>
    <row r="146" spans="1:32" s="10" customFormat="1" ht="21" customHeight="1">
      <c r="A146" s="39"/>
      <c r="B146" s="40"/>
      <c r="C146" s="40"/>
      <c r="D146" s="118"/>
      <c r="E146" s="97"/>
      <c r="F146" s="591"/>
      <c r="G146" s="591"/>
      <c r="H146" s="591"/>
      <c r="I146" s="591"/>
      <c r="J146" s="591"/>
      <c r="K146" s="591"/>
      <c r="L146" s="591"/>
      <c r="M146" s="97"/>
      <c r="N146" s="62"/>
      <c r="O146" s="104" t="s">
        <v>76</v>
      </c>
      <c r="P146" s="170"/>
      <c r="Q146" s="170"/>
      <c r="R146" s="170"/>
      <c r="S146" s="170"/>
      <c r="T146" s="143"/>
      <c r="U146" s="143"/>
      <c r="V146" s="143"/>
      <c r="W146" s="143"/>
      <c r="X146" s="143"/>
      <c r="Y146" s="582" t="s">
        <v>135</v>
      </c>
      <c r="Z146" s="582"/>
      <c r="AA146" s="582"/>
      <c r="AB146" s="582"/>
      <c r="AC146" s="165"/>
      <c r="AD146" s="165">
        <f>SUM(AD148:AD163)</f>
        <v>14996000</v>
      </c>
      <c r="AE146" s="164" t="s">
        <v>25</v>
      </c>
      <c r="AF146" s="6"/>
    </row>
    <row r="147" spans="1:32" s="10" customFormat="1" ht="20.25" customHeight="1">
      <c r="A147" s="39"/>
      <c r="B147" s="40"/>
      <c r="C147" s="40"/>
      <c r="D147" s="118"/>
      <c r="E147" s="97"/>
      <c r="F147" s="97"/>
      <c r="G147" s="97"/>
      <c r="H147" s="97"/>
      <c r="I147" s="97"/>
      <c r="J147" s="97"/>
      <c r="K147" s="97"/>
      <c r="L147" s="97"/>
      <c r="M147" s="97"/>
      <c r="N147" s="62"/>
      <c r="O147" s="142" t="s">
        <v>90</v>
      </c>
      <c r="P147" s="114"/>
      <c r="Q147" s="114"/>
      <c r="R147" s="114"/>
      <c r="S147" s="105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60"/>
      <c r="AD147" s="60"/>
      <c r="AE147" s="51"/>
      <c r="AF147" s="6"/>
    </row>
    <row r="148" spans="1:32" s="10" customFormat="1" ht="20.25" customHeight="1">
      <c r="A148" s="39"/>
      <c r="B148" s="40"/>
      <c r="C148" s="40"/>
      <c r="D148" s="118"/>
      <c r="E148" s="97"/>
      <c r="F148" s="97"/>
      <c r="G148" s="97"/>
      <c r="H148" s="97"/>
      <c r="I148" s="97"/>
      <c r="J148" s="97"/>
      <c r="K148" s="97"/>
      <c r="L148" s="97"/>
      <c r="M148" s="97"/>
      <c r="N148" s="62"/>
      <c r="O148" s="271" t="s">
        <v>625</v>
      </c>
      <c r="P148" s="271"/>
      <c r="Q148" s="271"/>
      <c r="R148" s="271"/>
      <c r="S148" s="835">
        <v>100000</v>
      </c>
      <c r="T148" s="833" t="s">
        <v>602</v>
      </c>
      <c r="U148" s="843" t="s">
        <v>57</v>
      </c>
      <c r="V148" s="835">
        <v>39</v>
      </c>
      <c r="W148" s="833" t="s">
        <v>604</v>
      </c>
      <c r="X148" s="381"/>
      <c r="Y148" s="563"/>
      <c r="Z148" s="563"/>
      <c r="AA148" s="563" t="s">
        <v>606</v>
      </c>
      <c r="AB148" s="563" t="s">
        <v>621</v>
      </c>
      <c r="AC148" s="124"/>
      <c r="AD148" s="776">
        <v>800000</v>
      </c>
      <c r="AE148" s="125" t="s">
        <v>644</v>
      </c>
      <c r="AF148" s="6">
        <v>800000</v>
      </c>
    </row>
    <row r="149" spans="1:32" s="10" customFormat="1" ht="20.25" customHeight="1">
      <c r="A149" s="39"/>
      <c r="B149" s="40"/>
      <c r="C149" s="40"/>
      <c r="D149" s="118"/>
      <c r="E149" s="97"/>
      <c r="F149" s="97"/>
      <c r="G149" s="97"/>
      <c r="H149" s="97"/>
      <c r="I149" s="97"/>
      <c r="J149" s="97"/>
      <c r="K149" s="97"/>
      <c r="L149" s="97"/>
      <c r="M149" s="97"/>
      <c r="N149" s="62"/>
      <c r="O149" s="271"/>
      <c r="P149" s="271"/>
      <c r="Q149" s="271"/>
      <c r="R149" s="271"/>
      <c r="S149" s="835"/>
      <c r="T149" s="833"/>
      <c r="U149" s="843"/>
      <c r="V149" s="835"/>
      <c r="W149" s="833"/>
      <c r="X149" s="325"/>
      <c r="Y149" s="269"/>
      <c r="Z149" s="269"/>
      <c r="AA149" s="269"/>
      <c r="AB149" s="269" t="s">
        <v>805</v>
      </c>
      <c r="AC149" s="272"/>
      <c r="AD149" s="776">
        <v>850000</v>
      </c>
      <c r="AE149" s="125" t="s">
        <v>644</v>
      </c>
      <c r="AF149" s="6">
        <v>850000</v>
      </c>
    </row>
    <row r="150" spans="1:32" s="10" customFormat="1" ht="20.25" customHeight="1">
      <c r="A150" s="39"/>
      <c r="B150" s="40"/>
      <c r="C150" s="40"/>
      <c r="D150" s="118"/>
      <c r="E150" s="97"/>
      <c r="F150" s="97"/>
      <c r="G150" s="97"/>
      <c r="H150" s="97"/>
      <c r="I150" s="97"/>
      <c r="J150" s="97"/>
      <c r="K150" s="97"/>
      <c r="L150" s="97"/>
      <c r="M150" s="97"/>
      <c r="N150" s="62"/>
      <c r="O150" s="271"/>
      <c r="P150" s="271"/>
      <c r="Q150" s="271"/>
      <c r="R150" s="271"/>
      <c r="S150" s="770"/>
      <c r="T150" s="769"/>
      <c r="U150" s="771"/>
      <c r="V150" s="770"/>
      <c r="W150" s="769"/>
      <c r="X150" s="771"/>
      <c r="Y150" s="269"/>
      <c r="Z150" s="269"/>
      <c r="AA150" s="269"/>
      <c r="AB150" s="269" t="s">
        <v>966</v>
      </c>
      <c r="AC150" s="272"/>
      <c r="AD150" s="776">
        <v>200000</v>
      </c>
      <c r="AE150" s="125" t="s">
        <v>967</v>
      </c>
      <c r="AF150" s="6">
        <v>0</v>
      </c>
    </row>
    <row r="151" spans="1:32" s="10" customFormat="1" ht="20.25" customHeight="1">
      <c r="A151" s="39"/>
      <c r="B151" s="40"/>
      <c r="C151" s="40"/>
      <c r="D151" s="118"/>
      <c r="E151" s="97"/>
      <c r="F151" s="97"/>
      <c r="G151" s="97"/>
      <c r="H151" s="97"/>
      <c r="I151" s="97"/>
      <c r="J151" s="97"/>
      <c r="K151" s="97"/>
      <c r="L151" s="97"/>
      <c r="M151" s="97"/>
      <c r="N151" s="62"/>
      <c r="O151" s="271" t="s">
        <v>626</v>
      </c>
      <c r="P151" s="271"/>
      <c r="Q151" s="271"/>
      <c r="R151" s="271"/>
      <c r="S151" s="269">
        <v>146800</v>
      </c>
      <c r="T151" s="269" t="s">
        <v>56</v>
      </c>
      <c r="U151" s="325" t="s">
        <v>57</v>
      </c>
      <c r="V151" s="269">
        <v>10</v>
      </c>
      <c r="W151" s="269" t="s">
        <v>55</v>
      </c>
      <c r="X151" s="325"/>
      <c r="Y151" s="269"/>
      <c r="Z151" s="269"/>
      <c r="AA151" s="269" t="s">
        <v>53</v>
      </c>
      <c r="AB151" s="269" t="s">
        <v>805</v>
      </c>
      <c r="AC151" s="272"/>
      <c r="AD151" s="776">
        <f>S151*V151</f>
        <v>1468000</v>
      </c>
      <c r="AE151" s="125" t="s">
        <v>644</v>
      </c>
      <c r="AF151" s="6">
        <v>1000000</v>
      </c>
    </row>
    <row r="152" spans="1:32" s="10" customFormat="1" ht="20.25" customHeight="1">
      <c r="A152" s="39"/>
      <c r="B152" s="40"/>
      <c r="C152" s="40"/>
      <c r="D152" s="118"/>
      <c r="E152" s="97"/>
      <c r="F152" s="97"/>
      <c r="G152" s="97"/>
      <c r="H152" s="97"/>
      <c r="I152" s="97"/>
      <c r="J152" s="97"/>
      <c r="K152" s="97"/>
      <c r="L152" s="97"/>
      <c r="M152" s="97"/>
      <c r="N152" s="62"/>
      <c r="O152" s="271" t="s">
        <v>627</v>
      </c>
      <c r="P152" s="271"/>
      <c r="Q152" s="271"/>
      <c r="R152" s="271"/>
      <c r="S152" s="269">
        <v>100000</v>
      </c>
      <c r="T152" s="269" t="s">
        <v>56</v>
      </c>
      <c r="U152" s="325" t="s">
        <v>57</v>
      </c>
      <c r="V152" s="269">
        <v>15</v>
      </c>
      <c r="W152" s="269" t="s">
        <v>55</v>
      </c>
      <c r="X152" s="325"/>
      <c r="Y152" s="269"/>
      <c r="Z152" s="269"/>
      <c r="AA152" s="269" t="s">
        <v>53</v>
      </c>
      <c r="AB152" s="269" t="s">
        <v>169</v>
      </c>
      <c r="AC152" s="272"/>
      <c r="AD152" s="776">
        <f>S152*V152</f>
        <v>1500000</v>
      </c>
      <c r="AE152" s="125" t="s">
        <v>644</v>
      </c>
      <c r="AF152" s="6">
        <v>1500000</v>
      </c>
    </row>
    <row r="153" spans="1:32" s="10" customFormat="1" ht="20.25" customHeight="1">
      <c r="A153" s="39"/>
      <c r="B153" s="40"/>
      <c r="C153" s="40"/>
      <c r="D153" s="118"/>
      <c r="E153" s="97"/>
      <c r="F153" s="97"/>
      <c r="G153" s="97"/>
      <c r="H153" s="97"/>
      <c r="I153" s="97"/>
      <c r="J153" s="97"/>
      <c r="K153" s="97"/>
      <c r="L153" s="97"/>
      <c r="M153" s="97"/>
      <c r="N153" s="62"/>
      <c r="O153" s="271"/>
      <c r="P153" s="271"/>
      <c r="Q153" s="271"/>
      <c r="R153" s="271"/>
      <c r="S153" s="269"/>
      <c r="T153" s="269"/>
      <c r="U153" s="771"/>
      <c r="V153" s="269"/>
      <c r="W153" s="269"/>
      <c r="X153" s="771"/>
      <c r="Y153" s="269"/>
      <c r="Z153" s="269"/>
      <c r="AA153" s="269"/>
      <c r="AB153" s="269"/>
      <c r="AC153" s="272"/>
      <c r="AD153" s="776"/>
      <c r="AE153" s="125"/>
      <c r="AF153" s="6"/>
    </row>
    <row r="154" spans="1:32" s="10" customFormat="1" ht="20.25" customHeight="1">
      <c r="A154" s="39"/>
      <c r="B154" s="40"/>
      <c r="C154" s="40"/>
      <c r="D154" s="118"/>
      <c r="E154" s="97"/>
      <c r="F154" s="97"/>
      <c r="G154" s="97"/>
      <c r="H154" s="97"/>
      <c r="I154" s="97"/>
      <c r="J154" s="97"/>
      <c r="K154" s="97"/>
      <c r="L154" s="97"/>
      <c r="M154" s="97"/>
      <c r="N154" s="62"/>
      <c r="O154" s="271" t="s">
        <v>628</v>
      </c>
      <c r="P154" s="271"/>
      <c r="Q154" s="271"/>
      <c r="R154" s="271"/>
      <c r="S154" s="347"/>
      <c r="T154" s="269"/>
      <c r="U154" s="269"/>
      <c r="V154" s="269"/>
      <c r="W154" s="269"/>
      <c r="X154" s="269"/>
      <c r="Y154" s="269"/>
      <c r="Z154" s="269"/>
      <c r="AA154" s="269"/>
      <c r="AB154" s="269"/>
      <c r="AC154" s="272"/>
      <c r="AD154" s="272"/>
      <c r="AE154" s="295"/>
      <c r="AF154" s="6"/>
    </row>
    <row r="155" spans="1:32" s="10" customFormat="1" ht="20.25" customHeight="1">
      <c r="A155" s="39"/>
      <c r="B155" s="40"/>
      <c r="C155" s="40"/>
      <c r="D155" s="118"/>
      <c r="E155" s="97"/>
      <c r="F155" s="97"/>
      <c r="G155" s="97"/>
      <c r="H155" s="97"/>
      <c r="I155" s="97"/>
      <c r="J155" s="97"/>
      <c r="K155" s="97"/>
      <c r="L155" s="97"/>
      <c r="M155" s="97"/>
      <c r="N155" s="62"/>
      <c r="O155" s="625" t="s">
        <v>702</v>
      </c>
      <c r="P155" s="625"/>
      <c r="Q155" s="625"/>
      <c r="R155" s="625"/>
      <c r="S155" s="624">
        <v>680000</v>
      </c>
      <c r="T155" s="624" t="s">
        <v>686</v>
      </c>
      <c r="U155" s="381" t="s">
        <v>688</v>
      </c>
      <c r="V155" s="624">
        <v>1</v>
      </c>
      <c r="W155" s="624" t="s">
        <v>693</v>
      </c>
      <c r="X155" s="381"/>
      <c r="Y155" s="624"/>
      <c r="Z155" s="624"/>
      <c r="AA155" s="624" t="s">
        <v>690</v>
      </c>
      <c r="AB155" s="728" t="s">
        <v>169</v>
      </c>
      <c r="AC155" s="627"/>
      <c r="AD155" s="776">
        <f>S155*V155</f>
        <v>680000</v>
      </c>
      <c r="AE155" s="125" t="s">
        <v>686</v>
      </c>
      <c r="AF155" s="6">
        <v>680000</v>
      </c>
    </row>
    <row r="156" spans="1:32" s="10" customFormat="1" ht="20.25" customHeight="1">
      <c r="A156" s="39"/>
      <c r="B156" s="40"/>
      <c r="C156" s="40"/>
      <c r="D156" s="118"/>
      <c r="E156" s="97"/>
      <c r="F156" s="97"/>
      <c r="G156" s="97"/>
      <c r="H156" s="97"/>
      <c r="I156" s="97"/>
      <c r="J156" s="97"/>
      <c r="K156" s="97"/>
      <c r="L156" s="97"/>
      <c r="M156" s="97"/>
      <c r="N156" s="62"/>
      <c r="O156" s="625" t="s">
        <v>703</v>
      </c>
      <c r="P156" s="625"/>
      <c r="Q156" s="625"/>
      <c r="R156" s="625"/>
      <c r="S156" s="624">
        <v>2700000</v>
      </c>
      <c r="T156" s="624" t="s">
        <v>686</v>
      </c>
      <c r="U156" s="381" t="s">
        <v>688</v>
      </c>
      <c r="V156" s="624">
        <v>1</v>
      </c>
      <c r="W156" s="624" t="s">
        <v>693</v>
      </c>
      <c r="X156" s="381"/>
      <c r="Y156" s="624"/>
      <c r="Z156" s="624"/>
      <c r="AA156" s="624" t="s">
        <v>690</v>
      </c>
      <c r="AB156" s="728" t="s">
        <v>169</v>
      </c>
      <c r="AC156" s="627"/>
      <c r="AD156" s="776">
        <f>S156*V156</f>
        <v>2700000</v>
      </c>
      <c r="AE156" s="125" t="s">
        <v>686</v>
      </c>
      <c r="AF156" s="6">
        <v>1400000</v>
      </c>
    </row>
    <row r="157" spans="1:32" s="10" customFormat="1" ht="20.25" customHeight="1">
      <c r="A157" s="39"/>
      <c r="B157" s="40"/>
      <c r="C157" s="40"/>
      <c r="D157" s="118"/>
      <c r="E157" s="97"/>
      <c r="F157" s="97"/>
      <c r="G157" s="97"/>
      <c r="H157" s="97"/>
      <c r="I157" s="97"/>
      <c r="J157" s="97"/>
      <c r="K157" s="97"/>
      <c r="L157" s="97"/>
      <c r="M157" s="97"/>
      <c r="N157" s="62"/>
      <c r="O157" s="271" t="s">
        <v>629</v>
      </c>
      <c r="P157" s="271"/>
      <c r="Q157" s="271"/>
      <c r="R157" s="271"/>
      <c r="S157" s="269">
        <v>278000</v>
      </c>
      <c r="T157" s="269" t="s">
        <v>198</v>
      </c>
      <c r="U157" s="325" t="s">
        <v>211</v>
      </c>
      <c r="V157" s="269">
        <v>1</v>
      </c>
      <c r="W157" s="269" t="s">
        <v>199</v>
      </c>
      <c r="X157" s="325"/>
      <c r="Y157" s="269"/>
      <c r="Z157" s="269"/>
      <c r="AA157" s="269" t="s">
        <v>204</v>
      </c>
      <c r="AB157" s="269" t="s">
        <v>169</v>
      </c>
      <c r="AC157" s="272"/>
      <c r="AD157" s="776">
        <f>S157*V157</f>
        <v>278000</v>
      </c>
      <c r="AE157" s="125" t="s">
        <v>644</v>
      </c>
      <c r="AF157" s="6">
        <v>278000</v>
      </c>
    </row>
    <row r="158" spans="1:32" s="10" customFormat="1" ht="20.25" customHeight="1">
      <c r="A158" s="39"/>
      <c r="B158" s="40"/>
      <c r="C158" s="40"/>
      <c r="D158" s="118"/>
      <c r="E158" s="97"/>
      <c r="F158" s="97"/>
      <c r="G158" s="97"/>
      <c r="H158" s="97"/>
      <c r="I158" s="97"/>
      <c r="J158" s="97"/>
      <c r="K158" s="97"/>
      <c r="L158" s="97"/>
      <c r="M158" s="97"/>
      <c r="N158" s="62"/>
      <c r="O158" s="729" t="s">
        <v>835</v>
      </c>
      <c r="P158" s="564"/>
      <c r="Q158" s="564"/>
      <c r="R158" s="564"/>
      <c r="S158" s="563">
        <v>100000</v>
      </c>
      <c r="T158" s="289" t="s">
        <v>602</v>
      </c>
      <c r="U158" s="289" t="s">
        <v>26</v>
      </c>
      <c r="V158" s="563">
        <v>14</v>
      </c>
      <c r="W158" s="564" t="s">
        <v>55</v>
      </c>
      <c r="X158" s="563" t="s">
        <v>27</v>
      </c>
      <c r="Y158" s="563"/>
      <c r="Z158" s="563"/>
      <c r="AA158" s="563"/>
      <c r="AB158" s="563" t="s">
        <v>618</v>
      </c>
      <c r="AC158" s="124"/>
      <c r="AD158" s="777">
        <f>S158*V158</f>
        <v>1400000</v>
      </c>
      <c r="AE158" s="125" t="s">
        <v>644</v>
      </c>
      <c r="AF158" s="6">
        <v>1400000</v>
      </c>
    </row>
    <row r="159" spans="1:32" s="10" customFormat="1" ht="20.25" customHeight="1">
      <c r="A159" s="39"/>
      <c r="B159" s="40"/>
      <c r="C159" s="40"/>
      <c r="D159" s="118"/>
      <c r="E159" s="97"/>
      <c r="F159" s="97"/>
      <c r="G159" s="97"/>
      <c r="H159" s="97"/>
      <c r="I159" s="97"/>
      <c r="J159" s="97"/>
      <c r="K159" s="97"/>
      <c r="L159" s="97"/>
      <c r="M159" s="97"/>
      <c r="N159" s="62"/>
      <c r="O159" s="564" t="s">
        <v>620</v>
      </c>
      <c r="P159" s="564"/>
      <c r="Q159" s="564"/>
      <c r="R159" s="564"/>
      <c r="S159" s="563">
        <v>20000</v>
      </c>
      <c r="T159" s="289" t="s">
        <v>602</v>
      </c>
      <c r="U159" s="289" t="s">
        <v>26</v>
      </c>
      <c r="V159" s="563">
        <v>14</v>
      </c>
      <c r="W159" s="564" t="s">
        <v>55</v>
      </c>
      <c r="X159" s="381" t="s">
        <v>603</v>
      </c>
      <c r="Y159" s="563">
        <v>2</v>
      </c>
      <c r="Z159" s="563" t="s">
        <v>605</v>
      </c>
      <c r="AA159" s="563" t="s">
        <v>606</v>
      </c>
      <c r="AB159" s="382" t="s">
        <v>618</v>
      </c>
      <c r="AC159" s="382"/>
      <c r="AD159" s="777">
        <f>S159*V159*Y159</f>
        <v>560000</v>
      </c>
      <c r="AE159" s="383" t="s">
        <v>25</v>
      </c>
      <c r="AF159" s="6">
        <v>560000</v>
      </c>
    </row>
    <row r="160" spans="1:32" s="10" customFormat="1" ht="20.25" customHeight="1">
      <c r="A160" s="39"/>
      <c r="B160" s="40"/>
      <c r="C160" s="40"/>
      <c r="D160" s="118"/>
      <c r="E160" s="97"/>
      <c r="F160" s="97"/>
      <c r="G160" s="97"/>
      <c r="H160" s="97"/>
      <c r="I160" s="97"/>
      <c r="J160" s="97"/>
      <c r="K160" s="97"/>
      <c r="L160" s="97"/>
      <c r="M160" s="97"/>
      <c r="N160" s="62"/>
      <c r="O160" s="625" t="s">
        <v>704</v>
      </c>
      <c r="P160" s="625"/>
      <c r="Q160" s="625"/>
      <c r="R160" s="625"/>
      <c r="S160" s="624"/>
      <c r="T160" s="382" t="s">
        <v>686</v>
      </c>
      <c r="U160" s="381" t="s">
        <v>688</v>
      </c>
      <c r="V160" s="382">
        <v>4</v>
      </c>
      <c r="W160" s="624" t="s">
        <v>689</v>
      </c>
      <c r="X160" s="382"/>
      <c r="Y160" s="382">
        <v>1</v>
      </c>
      <c r="Z160" s="382" t="s">
        <v>693</v>
      </c>
      <c r="AA160" s="387" t="s">
        <v>690</v>
      </c>
      <c r="AB160" s="382" t="s">
        <v>699</v>
      </c>
      <c r="AC160" s="382"/>
      <c r="AD160" s="777">
        <v>0</v>
      </c>
      <c r="AE160" s="383" t="s">
        <v>686</v>
      </c>
      <c r="AF160" s="6">
        <v>7000000</v>
      </c>
    </row>
    <row r="161" spans="1:32" s="10" customFormat="1" ht="20.25" customHeight="1">
      <c r="A161" s="39"/>
      <c r="B161" s="40"/>
      <c r="C161" s="40"/>
      <c r="D161" s="118"/>
      <c r="E161" s="97"/>
      <c r="F161" s="97"/>
      <c r="G161" s="97"/>
      <c r="H161" s="97"/>
      <c r="I161" s="97"/>
      <c r="J161" s="97"/>
      <c r="K161" s="97"/>
      <c r="L161" s="97"/>
      <c r="M161" s="97"/>
      <c r="N161" s="62"/>
      <c r="O161" s="625" t="s">
        <v>705</v>
      </c>
      <c r="P161" s="625"/>
      <c r="Q161" s="625"/>
      <c r="R161" s="625"/>
      <c r="S161" s="624">
        <v>100000</v>
      </c>
      <c r="T161" s="289" t="s">
        <v>686</v>
      </c>
      <c r="U161" s="289" t="s">
        <v>26</v>
      </c>
      <c r="V161" s="624">
        <v>4</v>
      </c>
      <c r="W161" s="625" t="s">
        <v>693</v>
      </c>
      <c r="X161" s="624" t="s">
        <v>27</v>
      </c>
      <c r="Y161" s="638"/>
      <c r="Z161" s="624"/>
      <c r="AA161" s="382"/>
      <c r="AB161" s="639" t="s">
        <v>699</v>
      </c>
      <c r="AC161" s="382"/>
      <c r="AD161" s="777">
        <f>S161*V161</f>
        <v>400000</v>
      </c>
      <c r="AE161" s="383" t="s">
        <v>686</v>
      </c>
      <c r="AF161" s="6">
        <v>400000</v>
      </c>
    </row>
    <row r="162" spans="1:32" s="10" customFormat="1" ht="20.25" customHeight="1">
      <c r="A162" s="39"/>
      <c r="B162" s="40"/>
      <c r="C162" s="40"/>
      <c r="D162" s="118"/>
      <c r="E162" s="97"/>
      <c r="F162" s="97"/>
      <c r="G162" s="97"/>
      <c r="H162" s="97"/>
      <c r="I162" s="97"/>
      <c r="J162" s="97"/>
      <c r="K162" s="97"/>
      <c r="L162" s="97"/>
      <c r="M162" s="97"/>
      <c r="N162" s="62"/>
      <c r="O162" s="564" t="s">
        <v>619</v>
      </c>
      <c r="P162" s="564"/>
      <c r="Q162" s="564"/>
      <c r="R162" s="564"/>
      <c r="S162" s="563">
        <v>100000</v>
      </c>
      <c r="T162" s="563" t="s">
        <v>602</v>
      </c>
      <c r="U162" s="381" t="s">
        <v>603</v>
      </c>
      <c r="V162" s="563">
        <v>39</v>
      </c>
      <c r="W162" s="563" t="s">
        <v>604</v>
      </c>
      <c r="X162" s="381" t="s">
        <v>603</v>
      </c>
      <c r="Y162" s="563">
        <v>1</v>
      </c>
      <c r="Z162" s="563" t="s">
        <v>605</v>
      </c>
      <c r="AA162" s="563" t="s">
        <v>606</v>
      </c>
      <c r="AB162" s="728" t="s">
        <v>793</v>
      </c>
      <c r="AC162" s="727"/>
      <c r="AD162" s="776">
        <f>S162*V162*Y162</f>
        <v>3900000</v>
      </c>
      <c r="AE162" s="125" t="s">
        <v>788</v>
      </c>
      <c r="AF162" s="6">
        <v>3900000</v>
      </c>
    </row>
    <row r="163" spans="1:32" s="10" customFormat="1" ht="20.25" customHeight="1">
      <c r="A163" s="39"/>
      <c r="B163" s="40"/>
      <c r="C163" s="41"/>
      <c r="D163" s="118"/>
      <c r="E163" s="97"/>
      <c r="F163" s="97"/>
      <c r="G163" s="97"/>
      <c r="H163" s="97"/>
      <c r="I163" s="97"/>
      <c r="J163" s="97"/>
      <c r="K163" s="97"/>
      <c r="L163" s="97"/>
      <c r="M163" s="97"/>
      <c r="N163" s="62"/>
      <c r="O163" s="271" t="s">
        <v>883</v>
      </c>
      <c r="P163" s="271"/>
      <c r="Q163" s="271"/>
      <c r="R163" s="271"/>
      <c r="S163" s="269"/>
      <c r="T163" s="331"/>
      <c r="U163" s="331"/>
      <c r="V163" s="269"/>
      <c r="W163" s="271"/>
      <c r="X163" s="269"/>
      <c r="Y163" s="348"/>
      <c r="Z163" s="269"/>
      <c r="AA163" s="326"/>
      <c r="AB163" s="326" t="s">
        <v>169</v>
      </c>
      <c r="AC163" s="326"/>
      <c r="AD163" s="269">
        <v>260000</v>
      </c>
      <c r="AE163" s="327" t="s">
        <v>879</v>
      </c>
      <c r="AF163" s="6">
        <v>260000</v>
      </c>
    </row>
    <row r="164" spans="1:32" s="10" customFormat="1" ht="20.25" customHeight="1">
      <c r="A164" s="39"/>
      <c r="B164" s="40"/>
      <c r="C164" s="41"/>
      <c r="D164" s="118"/>
      <c r="E164" s="97"/>
      <c r="F164" s="97"/>
      <c r="G164" s="97"/>
      <c r="H164" s="97"/>
      <c r="I164" s="97"/>
      <c r="J164" s="97"/>
      <c r="K164" s="97"/>
      <c r="L164" s="97"/>
      <c r="M164" s="97"/>
      <c r="N164" s="62"/>
      <c r="O164" s="104" t="s">
        <v>653</v>
      </c>
      <c r="P164" s="271"/>
      <c r="Q164" s="271"/>
      <c r="R164" s="271"/>
      <c r="S164" s="269"/>
      <c r="T164" s="331"/>
      <c r="U164" s="331"/>
      <c r="V164" s="269"/>
      <c r="W164" s="271"/>
      <c r="X164" s="269"/>
      <c r="Y164" s="578" t="s">
        <v>135</v>
      </c>
      <c r="Z164" s="578"/>
      <c r="AA164" s="578"/>
      <c r="AB164" s="578"/>
      <c r="AC164" s="165"/>
      <c r="AD164" s="300">
        <f>SUM(AD165:AD167)</f>
        <v>1210000</v>
      </c>
      <c r="AE164" s="164" t="s">
        <v>25</v>
      </c>
      <c r="AF164" s="6"/>
    </row>
    <row r="165" spans="1:32" s="10" customFormat="1" ht="21" customHeight="1">
      <c r="A165" s="39"/>
      <c r="B165" s="40"/>
      <c r="C165" s="40"/>
      <c r="D165" s="145"/>
      <c r="E165" s="97"/>
      <c r="F165" s="97"/>
      <c r="G165" s="97"/>
      <c r="H165" s="97"/>
      <c r="I165" s="97"/>
      <c r="J165" s="97"/>
      <c r="K165" s="97"/>
      <c r="L165" s="97"/>
      <c r="M165" s="97"/>
      <c r="N165" s="62"/>
      <c r="O165" s="580" t="s">
        <v>252</v>
      </c>
      <c r="P165" s="580"/>
      <c r="Q165" s="579"/>
      <c r="R165" s="579"/>
      <c r="S165" s="579">
        <v>20000</v>
      </c>
      <c r="T165" s="382" t="s">
        <v>56</v>
      </c>
      <c r="U165" s="381" t="s">
        <v>57</v>
      </c>
      <c r="V165" s="386">
        <v>8</v>
      </c>
      <c r="W165" s="579" t="s">
        <v>55</v>
      </c>
      <c r="X165" s="381" t="s">
        <v>57</v>
      </c>
      <c r="Y165" s="382">
        <v>5</v>
      </c>
      <c r="Z165" s="382" t="s">
        <v>64</v>
      </c>
      <c r="AA165" s="387" t="s">
        <v>53</v>
      </c>
      <c r="AB165" s="382" t="s">
        <v>89</v>
      </c>
      <c r="AC165" s="382"/>
      <c r="AD165" s="777">
        <f>S165*V165*Y165</f>
        <v>800000</v>
      </c>
      <c r="AE165" s="383" t="s">
        <v>56</v>
      </c>
      <c r="AF165" s="783">
        <v>800000</v>
      </c>
    </row>
    <row r="166" spans="1:32" s="10" customFormat="1" ht="21" customHeight="1">
      <c r="A166" s="39"/>
      <c r="B166" s="40"/>
      <c r="C166" s="40"/>
      <c r="D166" s="145"/>
      <c r="E166" s="97"/>
      <c r="F166" s="97"/>
      <c r="G166" s="97"/>
      <c r="H166" s="97"/>
      <c r="I166" s="97"/>
      <c r="J166" s="97"/>
      <c r="K166" s="97"/>
      <c r="L166" s="97"/>
      <c r="M166" s="97"/>
      <c r="N166" s="62"/>
      <c r="O166" s="590" t="s">
        <v>670</v>
      </c>
      <c r="P166" s="580"/>
      <c r="Q166" s="579"/>
      <c r="R166" s="579"/>
      <c r="S166" s="579">
        <v>50000</v>
      </c>
      <c r="T166" s="382" t="s">
        <v>56</v>
      </c>
      <c r="U166" s="381" t="s">
        <v>57</v>
      </c>
      <c r="V166" s="386">
        <v>5</v>
      </c>
      <c r="W166" s="579" t="s">
        <v>55</v>
      </c>
      <c r="X166" s="381" t="s">
        <v>57</v>
      </c>
      <c r="Y166" s="382"/>
      <c r="Z166" s="382" t="s">
        <v>64</v>
      </c>
      <c r="AA166" s="387" t="s">
        <v>53</v>
      </c>
      <c r="AB166" s="382" t="s">
        <v>89</v>
      </c>
      <c r="AC166" s="382"/>
      <c r="AD166" s="777">
        <f>S166*V166</f>
        <v>250000</v>
      </c>
      <c r="AE166" s="383" t="s">
        <v>56</v>
      </c>
      <c r="AF166" s="783">
        <v>250000</v>
      </c>
    </row>
    <row r="167" spans="1:32" s="10" customFormat="1" ht="21" customHeight="1">
      <c r="A167" s="39"/>
      <c r="B167" s="40"/>
      <c r="C167" s="40"/>
      <c r="D167" s="145"/>
      <c r="E167" s="97"/>
      <c r="F167" s="97"/>
      <c r="G167" s="97"/>
      <c r="H167" s="97"/>
      <c r="I167" s="97"/>
      <c r="J167" s="97"/>
      <c r="K167" s="97"/>
      <c r="L167" s="97"/>
      <c r="M167" s="97"/>
      <c r="N167" s="62"/>
      <c r="O167" s="580" t="s">
        <v>642</v>
      </c>
      <c r="P167" s="580"/>
      <c r="Q167" s="580"/>
      <c r="R167" s="580"/>
      <c r="S167" s="579"/>
      <c r="T167" s="382"/>
      <c r="U167" s="382"/>
      <c r="V167" s="382"/>
      <c r="W167" s="579"/>
      <c r="X167" s="382"/>
      <c r="Y167" s="382"/>
      <c r="Z167" s="382"/>
      <c r="AA167" s="579"/>
      <c r="AB167" s="382" t="s">
        <v>89</v>
      </c>
      <c r="AC167" s="382"/>
      <c r="AD167" s="777">
        <v>160000</v>
      </c>
      <c r="AE167" s="125" t="s">
        <v>56</v>
      </c>
      <c r="AF167" s="783">
        <v>160000</v>
      </c>
    </row>
    <row r="168" spans="1:32" s="10" customFormat="1" ht="21" customHeight="1">
      <c r="A168" s="39"/>
      <c r="B168" s="53"/>
      <c r="C168" s="499"/>
      <c r="D168" s="146"/>
      <c r="E168" s="99"/>
      <c r="F168" s="99"/>
      <c r="G168" s="99"/>
      <c r="H168" s="99"/>
      <c r="I168" s="99"/>
      <c r="J168" s="99"/>
      <c r="K168" s="99"/>
      <c r="L168" s="99"/>
      <c r="M168" s="99"/>
      <c r="N168" s="76"/>
      <c r="O168" s="353"/>
      <c r="P168" s="353"/>
      <c r="Q168" s="353"/>
      <c r="R168" s="353"/>
      <c r="S168" s="216"/>
      <c r="T168" s="353"/>
      <c r="U168" s="216"/>
      <c r="V168" s="119"/>
      <c r="W168" s="119"/>
      <c r="X168" s="216"/>
      <c r="Y168" s="216"/>
      <c r="Z168" s="216"/>
      <c r="AA168" s="216"/>
      <c r="AB168" s="216"/>
      <c r="AC168" s="216"/>
      <c r="AD168" s="216"/>
      <c r="AE168" s="65"/>
      <c r="AF168" s="6"/>
    </row>
    <row r="169" spans="1:32" s="10" customFormat="1" ht="21" customHeight="1">
      <c r="A169" s="100" t="s">
        <v>47</v>
      </c>
      <c r="B169" s="836" t="s">
        <v>20</v>
      </c>
      <c r="C169" s="836"/>
      <c r="D169" s="177">
        <f>D170</f>
        <v>82112</v>
      </c>
      <c r="E169" s="177">
        <f>E170</f>
        <v>215843</v>
      </c>
      <c r="F169" s="177">
        <f t="shared" ref="F169:L169" si="6">F170</f>
        <v>3312</v>
      </c>
      <c r="G169" s="177">
        <f t="shared" si="6"/>
        <v>0</v>
      </c>
      <c r="H169" s="177">
        <f t="shared" si="6"/>
        <v>0</v>
      </c>
      <c r="I169" s="177">
        <f t="shared" si="6"/>
        <v>161028</v>
      </c>
      <c r="J169" s="177">
        <f t="shared" si="6"/>
        <v>0</v>
      </c>
      <c r="K169" s="177">
        <f t="shared" si="6"/>
        <v>51503</v>
      </c>
      <c r="L169" s="177">
        <f t="shared" si="6"/>
        <v>0</v>
      </c>
      <c r="M169" s="751">
        <f>E169-D169</f>
        <v>133731</v>
      </c>
      <c r="N169" s="157">
        <f>IF(D169=0,0,M169/D169)</f>
        <v>1.6286413678877631</v>
      </c>
      <c r="O169" s="170" t="s">
        <v>138</v>
      </c>
      <c r="P169" s="26"/>
      <c r="Q169" s="26"/>
      <c r="R169" s="26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143">
        <f>AD170</f>
        <v>215843000</v>
      </c>
      <c r="AE169" s="28" t="s">
        <v>25</v>
      </c>
      <c r="AF169" s="6"/>
    </row>
    <row r="170" spans="1:32" s="10" customFormat="1" ht="21" customHeight="1">
      <c r="A170" s="176" t="s">
        <v>145</v>
      </c>
      <c r="B170" s="40" t="s">
        <v>17</v>
      </c>
      <c r="C170" s="40" t="s">
        <v>139</v>
      </c>
      <c r="D170" s="97">
        <f t="shared" ref="D170:L170" si="7">SUM(D171,D184,D195)</f>
        <v>82112</v>
      </c>
      <c r="E170" s="97">
        <f t="shared" si="7"/>
        <v>215843</v>
      </c>
      <c r="F170" s="97">
        <f t="shared" si="7"/>
        <v>3312</v>
      </c>
      <c r="G170" s="97">
        <f t="shared" si="7"/>
        <v>0</v>
      </c>
      <c r="H170" s="97">
        <f t="shared" si="7"/>
        <v>0</v>
      </c>
      <c r="I170" s="97">
        <f t="shared" si="7"/>
        <v>161028</v>
      </c>
      <c r="J170" s="97">
        <f t="shared" si="7"/>
        <v>0</v>
      </c>
      <c r="K170" s="97">
        <f t="shared" si="7"/>
        <v>51503</v>
      </c>
      <c r="L170" s="97">
        <f t="shared" si="7"/>
        <v>0</v>
      </c>
      <c r="M170" s="97">
        <f>E170-D170</f>
        <v>133731</v>
      </c>
      <c r="N170" s="62">
        <f>IF(D170=0,0,M170/D170)</f>
        <v>1.6286413678877631</v>
      </c>
      <c r="O170" s="172" t="s">
        <v>140</v>
      </c>
      <c r="P170" s="85"/>
      <c r="Q170" s="85"/>
      <c r="R170" s="85"/>
      <c r="S170" s="85"/>
      <c r="T170" s="81"/>
      <c r="U170" s="81"/>
      <c r="V170" s="81"/>
      <c r="W170" s="81"/>
      <c r="X170" s="81"/>
      <c r="Y170" s="81"/>
      <c r="Z170" s="81"/>
      <c r="AA170" s="81"/>
      <c r="AB170" s="81"/>
      <c r="AC170" s="86"/>
      <c r="AD170" s="86">
        <f>SUM(AD171,AD184,AD195)</f>
        <v>215843000</v>
      </c>
      <c r="AE170" s="87" t="s">
        <v>25</v>
      </c>
      <c r="AF170" s="6"/>
    </row>
    <row r="171" spans="1:32" s="10" customFormat="1" ht="21" customHeight="1">
      <c r="A171" s="39"/>
      <c r="B171" s="40"/>
      <c r="C171" s="30" t="s">
        <v>140</v>
      </c>
      <c r="D171" s="174">
        <v>0</v>
      </c>
      <c r="E171" s="174">
        <f>ROUND(AD171/1000,0)</f>
        <v>182615</v>
      </c>
      <c r="F171" s="102">
        <f>SUMIF($AB$180:$AB$183,"보조",$AD$180:$AD$183)/1000</f>
        <v>0</v>
      </c>
      <c r="G171" s="102">
        <f>SUMIF($AB$180:$AB$183,"7종",$AD$180:$AD$183)/1000</f>
        <v>0</v>
      </c>
      <c r="H171" s="102">
        <f>SUMIF($AB$180:$AB$183,"4종",$AD$180:$AD$183)/1000</f>
        <v>0</v>
      </c>
      <c r="I171" s="102">
        <f>SUMIF($AB$173:$AB$183,"후원",$AD$173:$AD$183)/1000</f>
        <v>137348</v>
      </c>
      <c r="J171" s="102">
        <f>SUMIF($AB$180:$AB$183,"입소",$AD$180:$AD$183)/1000</f>
        <v>0</v>
      </c>
      <c r="K171" s="102">
        <f>SUMIF($AB$172:$AB$183,"법인",$AD$172:$AD$183)/1000</f>
        <v>45267</v>
      </c>
      <c r="L171" s="102">
        <f>SUMIF($AB$180:$AB$183,"잡수",$AD$180:$AD$183)/1000</f>
        <v>0</v>
      </c>
      <c r="M171" s="174">
        <f>E171-D171</f>
        <v>182615</v>
      </c>
      <c r="N171" s="175">
        <f>IF(D171=0,0,M171/D171)</f>
        <v>0</v>
      </c>
      <c r="O171" s="89" t="s">
        <v>48</v>
      </c>
      <c r="P171" s="172"/>
      <c r="Q171" s="172"/>
      <c r="R171" s="172"/>
      <c r="S171" s="172"/>
      <c r="T171" s="171"/>
      <c r="U171" s="171"/>
      <c r="V171" s="171"/>
      <c r="W171" s="171"/>
      <c r="X171" s="171"/>
      <c r="Y171" s="163" t="s">
        <v>135</v>
      </c>
      <c r="Z171" s="163"/>
      <c r="AA171" s="163"/>
      <c r="AB171" s="163"/>
      <c r="AC171" s="165"/>
      <c r="AD171" s="165">
        <f>SUM(AD172:AD183)</f>
        <v>182615000</v>
      </c>
      <c r="AE171" s="164" t="s">
        <v>25</v>
      </c>
      <c r="AF171" s="6"/>
    </row>
    <row r="172" spans="1:32" s="10" customFormat="1" ht="21" customHeight="1">
      <c r="A172" s="39"/>
      <c r="B172" s="40"/>
      <c r="C172" s="40"/>
      <c r="D172" s="768"/>
      <c r="E172" s="750"/>
      <c r="F172" s="591"/>
      <c r="G172" s="591"/>
      <c r="H172" s="591"/>
      <c r="I172" s="591"/>
      <c r="J172" s="591"/>
      <c r="K172" s="591"/>
      <c r="L172" s="591"/>
      <c r="M172" s="750"/>
      <c r="N172" s="264"/>
      <c r="O172" s="170" t="s">
        <v>940</v>
      </c>
      <c r="P172" s="170"/>
      <c r="Q172" s="170"/>
      <c r="R172" s="170"/>
      <c r="S172" s="170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46"/>
      <c r="AD172" s="46"/>
      <c r="AE172" s="28"/>
      <c r="AF172" s="6"/>
    </row>
    <row r="173" spans="1:32" s="10" customFormat="1" ht="21" customHeight="1">
      <c r="A173" s="39"/>
      <c r="B173" s="40"/>
      <c r="C173" s="40"/>
      <c r="D173" s="768"/>
      <c r="E173" s="750"/>
      <c r="F173" s="591"/>
      <c r="G173" s="591"/>
      <c r="H173" s="591"/>
      <c r="I173" s="591"/>
      <c r="J173" s="591"/>
      <c r="K173" s="591"/>
      <c r="L173" s="591"/>
      <c r="M173" s="750"/>
      <c r="N173" s="264"/>
      <c r="O173" s="170" t="s">
        <v>941</v>
      </c>
      <c r="P173" s="170"/>
      <c r="Q173" s="170"/>
      <c r="R173" s="170"/>
      <c r="S173" s="170"/>
      <c r="T173" s="143"/>
      <c r="U173" s="143"/>
      <c r="V173" s="143" t="s">
        <v>943</v>
      </c>
      <c r="W173" s="143"/>
      <c r="X173" s="143"/>
      <c r="Y173" s="143"/>
      <c r="Z173" s="143"/>
      <c r="AA173" s="143"/>
      <c r="AB173" s="143" t="s">
        <v>942</v>
      </c>
      <c r="AC173" s="46"/>
      <c r="AD173" s="46">
        <v>9350000</v>
      </c>
      <c r="AE173" s="28" t="s">
        <v>56</v>
      </c>
      <c r="AF173" s="6">
        <v>0</v>
      </c>
    </row>
    <row r="174" spans="1:32" s="10" customFormat="1" ht="21" customHeight="1">
      <c r="A174" s="39"/>
      <c r="B174" s="40"/>
      <c r="C174" s="40"/>
      <c r="D174" s="768"/>
      <c r="E174" s="750"/>
      <c r="F174" s="591"/>
      <c r="G174" s="591"/>
      <c r="H174" s="591"/>
      <c r="I174" s="591"/>
      <c r="J174" s="591"/>
      <c r="K174" s="591"/>
      <c r="L174" s="591"/>
      <c r="M174" s="750"/>
      <c r="N174" s="264"/>
      <c r="O174" s="170" t="s">
        <v>944</v>
      </c>
      <c r="P174" s="170"/>
      <c r="Q174" s="170"/>
      <c r="R174" s="170"/>
      <c r="S174" s="170"/>
      <c r="T174" s="143"/>
      <c r="U174" s="143"/>
      <c r="V174" s="143" t="s">
        <v>945</v>
      </c>
      <c r="W174" s="143"/>
      <c r="X174" s="143"/>
      <c r="Y174" s="143"/>
      <c r="Z174" s="143"/>
      <c r="AA174" s="143"/>
      <c r="AB174" s="143" t="s">
        <v>930</v>
      </c>
      <c r="AC174" s="46"/>
      <c r="AD174" s="46">
        <v>11707000</v>
      </c>
      <c r="AE174" s="28" t="s">
        <v>56</v>
      </c>
      <c r="AF174" s="6">
        <v>0</v>
      </c>
    </row>
    <row r="175" spans="1:32" s="10" customFormat="1" ht="21" customHeight="1">
      <c r="A175" s="39"/>
      <c r="B175" s="40"/>
      <c r="C175" s="40"/>
      <c r="D175" s="768"/>
      <c r="E175" s="750"/>
      <c r="F175" s="591"/>
      <c r="G175" s="591"/>
      <c r="H175" s="591"/>
      <c r="I175" s="591"/>
      <c r="J175" s="591"/>
      <c r="K175" s="591"/>
      <c r="L175" s="591"/>
      <c r="M175" s="750"/>
      <c r="N175" s="264"/>
      <c r="O175" s="170"/>
      <c r="P175" s="170"/>
      <c r="Q175" s="170"/>
      <c r="R175" s="170"/>
      <c r="S175" s="170"/>
      <c r="T175" s="143"/>
      <c r="U175" s="143"/>
      <c r="V175" s="143" t="s">
        <v>946</v>
      </c>
      <c r="W175" s="143"/>
      <c r="X175" s="143"/>
      <c r="Y175" s="143"/>
      <c r="Z175" s="143"/>
      <c r="AA175" s="143"/>
      <c r="AB175" s="143" t="s">
        <v>933</v>
      </c>
      <c r="AC175" s="46"/>
      <c r="AD175" s="46">
        <v>76291000</v>
      </c>
      <c r="AE175" s="28" t="s">
        <v>56</v>
      </c>
      <c r="AF175" s="6">
        <v>0</v>
      </c>
    </row>
    <row r="176" spans="1:32" s="10" customFormat="1" ht="21" customHeight="1">
      <c r="A176" s="39"/>
      <c r="B176" s="40"/>
      <c r="C176" s="40"/>
      <c r="D176" s="768"/>
      <c r="E176" s="750"/>
      <c r="F176" s="591"/>
      <c r="G176" s="591"/>
      <c r="H176" s="591"/>
      <c r="I176" s="591"/>
      <c r="J176" s="591"/>
      <c r="K176" s="591"/>
      <c r="L176" s="591"/>
      <c r="M176" s="750"/>
      <c r="N176" s="264"/>
      <c r="O176" s="170"/>
      <c r="P176" s="170"/>
      <c r="Q176" s="170"/>
      <c r="R176" s="170"/>
      <c r="S176" s="170"/>
      <c r="T176" s="143"/>
      <c r="U176" s="143"/>
      <c r="V176" s="143"/>
      <c r="W176" s="143"/>
      <c r="X176" s="143"/>
      <c r="Y176" s="143"/>
      <c r="Z176" s="143"/>
      <c r="AA176" s="143"/>
      <c r="AB176" s="143" t="s">
        <v>947</v>
      </c>
      <c r="AC176" s="46"/>
      <c r="AD176" s="46">
        <v>880000</v>
      </c>
      <c r="AE176" s="28" t="s">
        <v>56</v>
      </c>
      <c r="AF176" s="6">
        <v>0</v>
      </c>
    </row>
    <row r="177" spans="1:32" s="10" customFormat="1" ht="21" customHeight="1">
      <c r="A177" s="39"/>
      <c r="B177" s="40"/>
      <c r="C177" s="40"/>
      <c r="D177" s="768"/>
      <c r="E177" s="750"/>
      <c r="F177" s="591"/>
      <c r="G177" s="591"/>
      <c r="H177" s="591"/>
      <c r="I177" s="591"/>
      <c r="J177" s="591"/>
      <c r="K177" s="591"/>
      <c r="L177" s="591"/>
      <c r="M177" s="750"/>
      <c r="N177" s="264"/>
      <c r="O177" s="170" t="s">
        <v>948</v>
      </c>
      <c r="P177" s="170"/>
      <c r="Q177" s="170"/>
      <c r="R177" s="170"/>
      <c r="S177" s="170"/>
      <c r="T177" s="143"/>
      <c r="U177" s="143"/>
      <c r="V177" s="143"/>
      <c r="W177" s="143"/>
      <c r="X177" s="143"/>
      <c r="Y177" s="143"/>
      <c r="Z177" s="143"/>
      <c r="AA177" s="143"/>
      <c r="AB177" s="143" t="s">
        <v>947</v>
      </c>
      <c r="AC177" s="46"/>
      <c r="AD177" s="46">
        <v>19580000</v>
      </c>
      <c r="AE177" s="28" t="s">
        <v>56</v>
      </c>
      <c r="AF177" s="6">
        <v>0</v>
      </c>
    </row>
    <row r="178" spans="1:32" s="10" customFormat="1" ht="21" customHeight="1">
      <c r="A178" s="39"/>
      <c r="B178" s="40"/>
      <c r="C178" s="40"/>
      <c r="D178" s="768"/>
      <c r="E178" s="750"/>
      <c r="F178" s="591"/>
      <c r="G178" s="591"/>
      <c r="H178" s="591"/>
      <c r="I178" s="591"/>
      <c r="J178" s="591"/>
      <c r="K178" s="591"/>
      <c r="L178" s="591"/>
      <c r="M178" s="750"/>
      <c r="N178" s="264"/>
      <c r="O178" s="170" t="s">
        <v>949</v>
      </c>
      <c r="P178" s="170"/>
      <c r="Q178" s="170"/>
      <c r="R178" s="170"/>
      <c r="S178" s="170"/>
      <c r="T178" s="143"/>
      <c r="U178" s="143"/>
      <c r="V178" s="143"/>
      <c r="W178" s="143"/>
      <c r="X178" s="143"/>
      <c r="Y178" s="143"/>
      <c r="Z178" s="143"/>
      <c r="AA178" s="143"/>
      <c r="AB178" s="143" t="s">
        <v>947</v>
      </c>
      <c r="AC178" s="46"/>
      <c r="AD178" s="46">
        <v>15180000</v>
      </c>
      <c r="AE178" s="28" t="s">
        <v>56</v>
      </c>
      <c r="AF178" s="6">
        <v>0</v>
      </c>
    </row>
    <row r="179" spans="1:32" s="10" customFormat="1" ht="21" customHeight="1">
      <c r="A179" s="39"/>
      <c r="B179" s="40"/>
      <c r="C179" s="40"/>
      <c r="D179" s="768"/>
      <c r="E179" s="750"/>
      <c r="F179" s="591"/>
      <c r="G179" s="591"/>
      <c r="H179" s="591"/>
      <c r="I179" s="591"/>
      <c r="J179" s="591"/>
      <c r="K179" s="591"/>
      <c r="L179" s="591"/>
      <c r="M179" s="750"/>
      <c r="N179" s="264"/>
      <c r="O179" s="170" t="s">
        <v>950</v>
      </c>
      <c r="P179" s="170"/>
      <c r="Q179" s="170"/>
      <c r="R179" s="170"/>
      <c r="S179" s="170"/>
      <c r="T179" s="143"/>
      <c r="U179" s="143"/>
      <c r="V179" s="143"/>
      <c r="W179" s="143"/>
      <c r="X179" s="143"/>
      <c r="Y179" s="143"/>
      <c r="Z179" s="143"/>
      <c r="AA179" s="143"/>
      <c r="AB179" s="143" t="s">
        <v>947</v>
      </c>
      <c r="AC179" s="46"/>
      <c r="AD179" s="46">
        <v>6050000</v>
      </c>
      <c r="AE179" s="28" t="s">
        <v>56</v>
      </c>
      <c r="AF179" s="6">
        <v>0</v>
      </c>
    </row>
    <row r="180" spans="1:32" s="10" customFormat="1" ht="21" customHeight="1">
      <c r="A180" s="39"/>
      <c r="B180" s="40"/>
      <c r="C180" s="40"/>
      <c r="D180" s="98"/>
      <c r="E180" s="97"/>
      <c r="F180" s="97"/>
      <c r="G180" s="97"/>
      <c r="H180" s="97"/>
      <c r="I180" s="97"/>
      <c r="J180" s="97"/>
      <c r="K180" s="97"/>
      <c r="L180" s="97"/>
      <c r="M180" s="97"/>
      <c r="N180" s="62"/>
      <c r="O180" s="394" t="s">
        <v>952</v>
      </c>
      <c r="P180" s="394"/>
      <c r="Q180" s="394"/>
      <c r="R180" s="394"/>
      <c r="S180" s="394"/>
      <c r="T180" s="394"/>
      <c r="U180" s="394"/>
      <c r="V180" s="394" t="s">
        <v>953</v>
      </c>
      <c r="W180" s="394"/>
      <c r="X180" s="394"/>
      <c r="Y180" s="394"/>
      <c r="Z180" s="394"/>
      <c r="AA180" s="394"/>
      <c r="AB180" s="394" t="s">
        <v>954</v>
      </c>
      <c r="AC180" s="394"/>
      <c r="AD180" s="395">
        <v>5236000</v>
      </c>
      <c r="AE180" s="774" t="s">
        <v>955</v>
      </c>
      <c r="AF180" s="6">
        <v>0</v>
      </c>
    </row>
    <row r="181" spans="1:32" s="10" customFormat="1" ht="21" customHeight="1">
      <c r="A181" s="39"/>
      <c r="B181" s="40"/>
      <c r="C181" s="40"/>
      <c r="D181" s="98"/>
      <c r="E181" s="97"/>
      <c r="F181" s="97"/>
      <c r="G181" s="97"/>
      <c r="H181" s="97"/>
      <c r="I181" s="97"/>
      <c r="J181" s="97"/>
      <c r="K181" s="97"/>
      <c r="L181" s="97"/>
      <c r="M181" s="97"/>
      <c r="N181" s="62"/>
      <c r="O181" s="394" t="s">
        <v>960</v>
      </c>
      <c r="P181" s="394"/>
      <c r="Q181" s="394"/>
      <c r="R181" s="394"/>
      <c r="S181" s="394"/>
      <c r="T181" s="394"/>
      <c r="U181" s="394"/>
      <c r="V181" s="394" t="s">
        <v>951</v>
      </c>
      <c r="W181" s="394"/>
      <c r="X181" s="394"/>
      <c r="Y181" s="394"/>
      <c r="Z181" s="394"/>
      <c r="AA181" s="394"/>
      <c r="AB181" s="394" t="s">
        <v>930</v>
      </c>
      <c r="AC181" s="394"/>
      <c r="AD181" s="395">
        <v>24764000</v>
      </c>
      <c r="AE181" s="774" t="s">
        <v>955</v>
      </c>
      <c r="AF181" s="6">
        <v>0</v>
      </c>
    </row>
    <row r="182" spans="1:32" s="10" customFormat="1" ht="21" customHeight="1">
      <c r="A182" s="39"/>
      <c r="B182" s="40"/>
      <c r="C182" s="40"/>
      <c r="D182" s="98"/>
      <c r="E182" s="97"/>
      <c r="F182" s="97"/>
      <c r="G182" s="97"/>
      <c r="H182" s="97"/>
      <c r="I182" s="97"/>
      <c r="J182" s="97"/>
      <c r="K182" s="97"/>
      <c r="L182" s="97"/>
      <c r="M182" s="97"/>
      <c r="N182" s="62"/>
      <c r="O182" s="394" t="s">
        <v>976</v>
      </c>
      <c r="P182" s="394"/>
      <c r="Q182" s="394"/>
      <c r="R182" s="394"/>
      <c r="S182" s="394"/>
      <c r="T182" s="394"/>
      <c r="U182" s="394"/>
      <c r="V182" s="394" t="s">
        <v>977</v>
      </c>
      <c r="W182" s="394"/>
      <c r="X182" s="394"/>
      <c r="Y182" s="394"/>
      <c r="Z182" s="394"/>
      <c r="AA182" s="394"/>
      <c r="AB182" s="394" t="s">
        <v>978</v>
      </c>
      <c r="AC182" s="394"/>
      <c r="AD182" s="395">
        <v>10000000</v>
      </c>
      <c r="AE182" s="774" t="s">
        <v>975</v>
      </c>
      <c r="AF182" s="6"/>
    </row>
    <row r="183" spans="1:32" s="10" customFormat="1" ht="21" customHeight="1">
      <c r="A183" s="39"/>
      <c r="B183" s="40"/>
      <c r="C183" s="40"/>
      <c r="D183" s="145"/>
      <c r="E183" s="97"/>
      <c r="F183" s="97"/>
      <c r="G183" s="97"/>
      <c r="H183" s="97"/>
      <c r="I183" s="97"/>
      <c r="J183" s="97"/>
      <c r="K183" s="97"/>
      <c r="L183" s="97"/>
      <c r="M183" s="97"/>
      <c r="N183" s="62"/>
      <c r="O183" s="105" t="s">
        <v>959</v>
      </c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 t="s">
        <v>957</v>
      </c>
      <c r="AC183" s="105"/>
      <c r="AD183" s="120">
        <v>3577000</v>
      </c>
      <c r="AE183" s="774" t="s">
        <v>955</v>
      </c>
      <c r="AF183" s="6">
        <v>0</v>
      </c>
    </row>
    <row r="184" spans="1:32" s="10" customFormat="1" ht="21" customHeight="1">
      <c r="A184" s="39"/>
      <c r="B184" s="40"/>
      <c r="C184" s="30" t="s">
        <v>18</v>
      </c>
      <c r="D184" s="147">
        <v>12200</v>
      </c>
      <c r="E184" s="101">
        <f>ROUND(AD184/1000,0)</f>
        <v>28316</v>
      </c>
      <c r="F184" s="102">
        <f>SUMIF($AB$185:$AB$194,"보조",$AD$185:$AD$194)/1000</f>
        <v>0</v>
      </c>
      <c r="G184" s="102">
        <f>SUMIF($AB$185:$AB$194,"7종",$AD$185:$AD$194)/1000</f>
        <v>0</v>
      </c>
      <c r="H184" s="102">
        <f>SUMIF($AB$185:$AB$194,"4종",$AD$185:$AD$194)/1000</f>
        <v>0</v>
      </c>
      <c r="I184" s="102">
        <f>SUMIF($AB$185:$AB$194,"후원",$AD$185:$AD$194)/1000</f>
        <v>22080</v>
      </c>
      <c r="J184" s="102">
        <f>SUMIF($AB$185:$AB$194,"입소",$AD$185:$AD$194)/1000</f>
        <v>0</v>
      </c>
      <c r="K184" s="102">
        <f>SUMIF($AB$185:$AB$194,"법인",$AD$185:$AD$194)/1000</f>
        <v>6236</v>
      </c>
      <c r="L184" s="102">
        <f>SUMIF($AB$185:$AB$194,"잡수",$AD$185:$AD$194)/1000</f>
        <v>0</v>
      </c>
      <c r="M184" s="645">
        <f>E184-D184</f>
        <v>16116</v>
      </c>
      <c r="N184" s="109">
        <f>IF(D184=0,0,M184/D184)</f>
        <v>1.320983606557377</v>
      </c>
      <c r="O184" s="89" t="s">
        <v>49</v>
      </c>
      <c r="P184" s="85"/>
      <c r="Q184" s="85"/>
      <c r="R184" s="85"/>
      <c r="S184" s="85"/>
      <c r="T184" s="81"/>
      <c r="U184" s="81"/>
      <c r="V184" s="81"/>
      <c r="W184" s="81"/>
      <c r="X184" s="81"/>
      <c r="Y184" s="163" t="s">
        <v>135</v>
      </c>
      <c r="Z184" s="163"/>
      <c r="AA184" s="163"/>
      <c r="AB184" s="163"/>
      <c r="AC184" s="165"/>
      <c r="AD184" s="165">
        <f>SUM(AD185:AD194)</f>
        <v>28316000</v>
      </c>
      <c r="AE184" s="164" t="s">
        <v>25</v>
      </c>
      <c r="AF184" s="6"/>
    </row>
    <row r="185" spans="1:32" s="10" customFormat="1" ht="21" customHeight="1">
      <c r="A185" s="39"/>
      <c r="B185" s="40"/>
      <c r="C185" s="40"/>
      <c r="D185" s="98"/>
      <c r="E185" s="97"/>
      <c r="F185" s="97"/>
      <c r="G185" s="97"/>
      <c r="H185" s="97"/>
      <c r="I185" s="97"/>
      <c r="J185" s="97"/>
      <c r="K185" s="97"/>
      <c r="L185" s="97"/>
      <c r="M185" s="97"/>
      <c r="N185" s="62"/>
      <c r="O185" s="729" t="s">
        <v>810</v>
      </c>
      <c r="P185" s="729"/>
      <c r="Q185" s="729"/>
      <c r="R185" s="729"/>
      <c r="S185" s="728">
        <v>1500000</v>
      </c>
      <c r="T185" s="289" t="s">
        <v>788</v>
      </c>
      <c r="U185" s="289" t="s">
        <v>26</v>
      </c>
      <c r="V185" s="728">
        <v>2</v>
      </c>
      <c r="W185" s="729" t="s">
        <v>811</v>
      </c>
      <c r="X185" s="728" t="s">
        <v>27</v>
      </c>
      <c r="Y185" s="728"/>
      <c r="Z185" s="728"/>
      <c r="AA185" s="728"/>
      <c r="AB185" s="728" t="s">
        <v>794</v>
      </c>
      <c r="AC185" s="728"/>
      <c r="AD185" s="777">
        <f>S185*V185</f>
        <v>3000000</v>
      </c>
      <c r="AE185" s="125" t="s">
        <v>25</v>
      </c>
      <c r="AF185" s="6">
        <v>7500000</v>
      </c>
    </row>
    <row r="186" spans="1:32" s="10" customFormat="1" ht="21" customHeight="1">
      <c r="A186" s="39"/>
      <c r="B186" s="40"/>
      <c r="C186" s="40"/>
      <c r="D186" s="98"/>
      <c r="E186" s="97"/>
      <c r="F186" s="97"/>
      <c r="G186" s="97"/>
      <c r="H186" s="97"/>
      <c r="I186" s="97"/>
      <c r="J186" s="97"/>
      <c r="K186" s="97"/>
      <c r="L186" s="97"/>
      <c r="M186" s="97"/>
      <c r="N186" s="62"/>
      <c r="O186" s="741" t="s">
        <v>884</v>
      </c>
      <c r="P186" s="729"/>
      <c r="Q186" s="729"/>
      <c r="R186" s="729"/>
      <c r="S186" s="728"/>
      <c r="T186" s="289"/>
      <c r="U186" s="289"/>
      <c r="V186" s="728"/>
      <c r="W186" s="729"/>
      <c r="X186" s="728"/>
      <c r="Y186" s="399"/>
      <c r="Z186" s="728"/>
      <c r="AA186" s="728"/>
      <c r="AB186" s="728" t="s">
        <v>812</v>
      </c>
      <c r="AC186" s="728"/>
      <c r="AD186" s="777">
        <v>4700000</v>
      </c>
      <c r="AE186" s="125" t="s">
        <v>813</v>
      </c>
      <c r="AF186" s="6">
        <v>4700000</v>
      </c>
    </row>
    <row r="187" spans="1:32" s="10" customFormat="1" ht="21" customHeight="1">
      <c r="A187" s="39"/>
      <c r="B187" s="40"/>
      <c r="C187" s="40"/>
      <c r="D187" s="98"/>
      <c r="E187" s="97"/>
      <c r="F187" s="97"/>
      <c r="G187" s="97"/>
      <c r="H187" s="97"/>
      <c r="I187" s="97"/>
      <c r="J187" s="97"/>
      <c r="K187" s="97"/>
      <c r="L187" s="97"/>
      <c r="M187" s="97"/>
      <c r="N187" s="62"/>
      <c r="O187" s="767" t="s">
        <v>956</v>
      </c>
      <c r="P187" s="767"/>
      <c r="Q187" s="767"/>
      <c r="R187" s="767"/>
      <c r="S187" s="766"/>
      <c r="T187" s="289"/>
      <c r="U187" s="289"/>
      <c r="V187" s="766"/>
      <c r="W187" s="767"/>
      <c r="X187" s="766"/>
      <c r="Y187" s="399"/>
      <c r="Z187" s="766"/>
      <c r="AA187" s="766"/>
      <c r="AB187" s="766" t="s">
        <v>957</v>
      </c>
      <c r="AC187" s="766"/>
      <c r="AD187" s="777">
        <v>6236000</v>
      </c>
      <c r="AE187" s="125" t="s">
        <v>931</v>
      </c>
      <c r="AF187" s="6">
        <v>0</v>
      </c>
    </row>
    <row r="188" spans="1:32" s="10" customFormat="1" ht="21" customHeight="1">
      <c r="A188" s="39"/>
      <c r="B188" s="40"/>
      <c r="C188" s="40"/>
      <c r="D188" s="98"/>
      <c r="E188" s="97"/>
      <c r="F188" s="97"/>
      <c r="G188" s="97"/>
      <c r="H188" s="97"/>
      <c r="I188" s="97"/>
      <c r="J188" s="97"/>
      <c r="K188" s="97"/>
      <c r="L188" s="97"/>
      <c r="M188" s="97"/>
      <c r="N188" s="62"/>
      <c r="O188" s="767" t="s">
        <v>958</v>
      </c>
      <c r="P188" s="767"/>
      <c r="Q188" s="767"/>
      <c r="R188" s="767"/>
      <c r="S188" s="766"/>
      <c r="T188" s="289"/>
      <c r="U188" s="289"/>
      <c r="V188" s="766"/>
      <c r="W188" s="767"/>
      <c r="X188" s="766"/>
      <c r="Y188" s="399"/>
      <c r="Z188" s="766"/>
      <c r="AA188" s="766"/>
      <c r="AB188" s="766" t="s">
        <v>150</v>
      </c>
      <c r="AC188" s="766"/>
      <c r="AD188" s="777">
        <v>5000000</v>
      </c>
      <c r="AE188" s="125" t="s">
        <v>931</v>
      </c>
      <c r="AF188" s="6">
        <v>0</v>
      </c>
    </row>
    <row r="189" spans="1:32" s="10" customFormat="1" ht="21" customHeight="1">
      <c r="A189" s="39"/>
      <c r="B189" s="40"/>
      <c r="C189" s="40"/>
      <c r="D189" s="98"/>
      <c r="E189" s="97"/>
      <c r="F189" s="97"/>
      <c r="G189" s="97"/>
      <c r="H189" s="97"/>
      <c r="I189" s="97"/>
      <c r="J189" s="97"/>
      <c r="K189" s="97"/>
      <c r="L189" s="97"/>
      <c r="M189" s="97"/>
      <c r="N189" s="62"/>
      <c r="O189" s="767" t="s">
        <v>961</v>
      </c>
      <c r="P189" s="767"/>
      <c r="Q189" s="767"/>
      <c r="R189" s="767"/>
      <c r="S189" s="766"/>
      <c r="T189" s="289"/>
      <c r="U189" s="289"/>
      <c r="V189" s="766"/>
      <c r="W189" s="767"/>
      <c r="X189" s="766"/>
      <c r="Y189" s="399"/>
      <c r="Z189" s="766"/>
      <c r="AA189" s="766"/>
      <c r="AB189" s="766" t="s">
        <v>150</v>
      </c>
      <c r="AC189" s="766"/>
      <c r="AD189" s="777">
        <v>1437000</v>
      </c>
      <c r="AE189" s="125" t="s">
        <v>931</v>
      </c>
      <c r="AF189" s="6">
        <v>0</v>
      </c>
    </row>
    <row r="190" spans="1:32" s="10" customFormat="1" ht="21" customHeight="1">
      <c r="A190" s="39"/>
      <c r="B190" s="40"/>
      <c r="C190" s="40"/>
      <c r="D190" s="98"/>
      <c r="E190" s="97"/>
      <c r="F190" s="97"/>
      <c r="G190" s="97"/>
      <c r="H190" s="97"/>
      <c r="I190" s="97"/>
      <c r="J190" s="97"/>
      <c r="K190" s="97"/>
      <c r="L190" s="97"/>
      <c r="M190" s="97"/>
      <c r="N190" s="62"/>
      <c r="O190" s="767" t="s">
        <v>962</v>
      </c>
      <c r="P190" s="767"/>
      <c r="Q190" s="767"/>
      <c r="R190" s="767"/>
      <c r="S190" s="766"/>
      <c r="T190" s="289"/>
      <c r="U190" s="289"/>
      <c r="V190" s="766"/>
      <c r="W190" s="767"/>
      <c r="X190" s="766"/>
      <c r="Y190" s="399"/>
      <c r="Z190" s="766"/>
      <c r="AA190" s="766"/>
      <c r="AB190" s="766" t="s">
        <v>150</v>
      </c>
      <c r="AC190" s="766"/>
      <c r="AD190" s="777">
        <v>418000</v>
      </c>
      <c r="AE190" s="125" t="s">
        <v>931</v>
      </c>
      <c r="AF190" s="6">
        <v>0</v>
      </c>
    </row>
    <row r="191" spans="1:32" s="10" customFormat="1" ht="21" customHeight="1">
      <c r="A191" s="39"/>
      <c r="B191" s="40"/>
      <c r="C191" s="40"/>
      <c r="D191" s="98"/>
      <c r="E191" s="97"/>
      <c r="F191" s="97"/>
      <c r="G191" s="97"/>
      <c r="H191" s="97"/>
      <c r="I191" s="97"/>
      <c r="J191" s="97"/>
      <c r="K191" s="97"/>
      <c r="L191" s="97"/>
      <c r="M191" s="97"/>
      <c r="N191" s="62"/>
      <c r="O191" s="767" t="s">
        <v>963</v>
      </c>
      <c r="P191" s="767"/>
      <c r="Q191" s="767"/>
      <c r="R191" s="767"/>
      <c r="S191" s="766"/>
      <c r="T191" s="289"/>
      <c r="U191" s="289"/>
      <c r="V191" s="766"/>
      <c r="W191" s="767"/>
      <c r="X191" s="766"/>
      <c r="Y191" s="399"/>
      <c r="Z191" s="766"/>
      <c r="AA191" s="766"/>
      <c r="AB191" s="766" t="s">
        <v>150</v>
      </c>
      <c r="AC191" s="766"/>
      <c r="AD191" s="777">
        <v>810000</v>
      </c>
      <c r="AE191" s="125" t="s">
        <v>931</v>
      </c>
      <c r="AF191" s="6">
        <v>0</v>
      </c>
    </row>
    <row r="192" spans="1:32" s="10" customFormat="1" ht="21" customHeight="1">
      <c r="A192" s="39"/>
      <c r="B192" s="40"/>
      <c r="C192" s="40"/>
      <c r="D192" s="98"/>
      <c r="E192" s="97"/>
      <c r="F192" s="97"/>
      <c r="G192" s="97"/>
      <c r="H192" s="97"/>
      <c r="I192" s="97"/>
      <c r="J192" s="97"/>
      <c r="K192" s="97"/>
      <c r="L192" s="97"/>
      <c r="M192" s="97"/>
      <c r="N192" s="62"/>
      <c r="O192" s="767" t="s">
        <v>964</v>
      </c>
      <c r="P192" s="767"/>
      <c r="Q192" s="767"/>
      <c r="R192" s="767"/>
      <c r="S192" s="766"/>
      <c r="T192" s="289"/>
      <c r="U192" s="289"/>
      <c r="V192" s="766"/>
      <c r="W192" s="767"/>
      <c r="X192" s="766"/>
      <c r="Y192" s="399"/>
      <c r="Z192" s="766"/>
      <c r="AA192" s="766"/>
      <c r="AB192" s="766" t="s">
        <v>150</v>
      </c>
      <c r="AC192" s="766"/>
      <c r="AD192" s="777">
        <v>660000</v>
      </c>
      <c r="AE192" s="125" t="s">
        <v>931</v>
      </c>
      <c r="AF192" s="6">
        <v>0</v>
      </c>
    </row>
    <row r="193" spans="1:32" s="10" customFormat="1" ht="21" customHeight="1">
      <c r="A193" s="39"/>
      <c r="B193" s="40"/>
      <c r="C193" s="40"/>
      <c r="D193" s="98"/>
      <c r="E193" s="97"/>
      <c r="F193" s="97"/>
      <c r="G193" s="97"/>
      <c r="H193" s="97"/>
      <c r="I193" s="97"/>
      <c r="J193" s="97"/>
      <c r="K193" s="97"/>
      <c r="L193" s="97"/>
      <c r="M193" s="97"/>
      <c r="N193" s="62"/>
      <c r="O193" s="767" t="s">
        <v>965</v>
      </c>
      <c r="P193" s="767"/>
      <c r="Q193" s="767"/>
      <c r="R193" s="767"/>
      <c r="S193" s="766"/>
      <c r="T193" s="289"/>
      <c r="U193" s="289"/>
      <c r="V193" s="766"/>
      <c r="W193" s="767"/>
      <c r="X193" s="766"/>
      <c r="Y193" s="399"/>
      <c r="Z193" s="766"/>
      <c r="AA193" s="766"/>
      <c r="AB193" s="766" t="s">
        <v>150</v>
      </c>
      <c r="AC193" s="766"/>
      <c r="AD193" s="777">
        <v>6055000</v>
      </c>
      <c r="AE193" s="125" t="s">
        <v>931</v>
      </c>
      <c r="AF193" s="6">
        <v>0</v>
      </c>
    </row>
    <row r="194" spans="1:32" s="10" customFormat="1" ht="21" customHeight="1">
      <c r="A194" s="39"/>
      <c r="B194" s="40"/>
      <c r="C194" s="40"/>
      <c r="D194" s="98"/>
      <c r="E194" s="97"/>
      <c r="F194" s="97"/>
      <c r="G194" s="97"/>
      <c r="H194" s="97"/>
      <c r="I194" s="97"/>
      <c r="J194" s="97"/>
      <c r="K194" s="97"/>
      <c r="L194" s="97"/>
      <c r="M194" s="97"/>
      <c r="N194" s="62"/>
      <c r="O194" s="729"/>
      <c r="P194" s="729"/>
      <c r="Q194" s="729"/>
      <c r="R194" s="729"/>
      <c r="S194" s="728"/>
      <c r="T194" s="639"/>
      <c r="U194" s="289"/>
      <c r="V194" s="727"/>
      <c r="W194" s="727"/>
      <c r="X194" s="728"/>
      <c r="Y194" s="728"/>
      <c r="Z194" s="728"/>
      <c r="AA194" s="728"/>
      <c r="AB194" s="728"/>
      <c r="AC194" s="728"/>
      <c r="AD194" s="777"/>
      <c r="AE194" s="125"/>
      <c r="AF194" s="6"/>
    </row>
    <row r="195" spans="1:32" s="10" customFormat="1" ht="21" customHeight="1">
      <c r="A195" s="39"/>
      <c r="B195" s="40"/>
      <c r="C195" s="30" t="s">
        <v>50</v>
      </c>
      <c r="D195" s="147">
        <v>69912</v>
      </c>
      <c r="E195" s="101">
        <f>ROUND(AD195/1000,0)</f>
        <v>4912</v>
      </c>
      <c r="F195" s="102">
        <f>SUMIF($AB$196:$AB$204,"보조",$AD$196:$AD$204)/1000</f>
        <v>3312</v>
      </c>
      <c r="G195" s="102">
        <f>SUMIF($AB$196:$AB$204,"7종",$AD$196:$AD$204)/1000</f>
        <v>0</v>
      </c>
      <c r="H195" s="102">
        <f>SUMIF($AB$196:$AB$204,"4종",$AD$196:$AD$204)/1000</f>
        <v>0</v>
      </c>
      <c r="I195" s="102">
        <f>SUMIF($AB$196:$AB$204,"후원",$AD$196:$AD$204)/1000</f>
        <v>1600</v>
      </c>
      <c r="J195" s="102">
        <f>SUMIF($AB$196:$AB$204,"입소",$AD$196:$AD$204)/1000</f>
        <v>0</v>
      </c>
      <c r="K195" s="102">
        <f>SUMIF($AB$196:$AB$204,"법인",$AD$196:$AD$204)/1000</f>
        <v>0</v>
      </c>
      <c r="L195" s="102">
        <f>SUMIF($AB$196:$AB$204,"잡수",$AD$196:$AD$204)/1000</f>
        <v>0</v>
      </c>
      <c r="M195" s="111">
        <f>E195-D195</f>
        <v>-65000</v>
      </c>
      <c r="N195" s="109">
        <f>IF(D195=0,0,M195/D195)</f>
        <v>-0.92974024487927676</v>
      </c>
      <c r="O195" s="89" t="s">
        <v>51</v>
      </c>
      <c r="P195" s="85"/>
      <c r="Q195" s="85"/>
      <c r="R195" s="85"/>
      <c r="S195" s="85"/>
      <c r="T195" s="81"/>
      <c r="U195" s="81"/>
      <c r="V195" s="81"/>
      <c r="W195" s="81"/>
      <c r="X195" s="81"/>
      <c r="Y195" s="163" t="s">
        <v>135</v>
      </c>
      <c r="Z195" s="163"/>
      <c r="AA195" s="163"/>
      <c r="AB195" s="163"/>
      <c r="AC195" s="165"/>
      <c r="AD195" s="165">
        <f>SUM(AD196:AD204)</f>
        <v>4912000</v>
      </c>
      <c r="AE195" s="164" t="s">
        <v>25</v>
      </c>
      <c r="AF195" s="6"/>
    </row>
    <row r="196" spans="1:32" s="1" customFormat="1" ht="21" customHeight="1">
      <c r="A196" s="39"/>
      <c r="B196" s="40"/>
      <c r="C196" s="40" t="s">
        <v>153</v>
      </c>
      <c r="D196" s="145"/>
      <c r="E196" s="97"/>
      <c r="F196" s="97"/>
      <c r="G196" s="97"/>
      <c r="H196" s="97"/>
      <c r="I196" s="97"/>
      <c r="J196" s="97"/>
      <c r="K196" s="97"/>
      <c r="L196" s="97"/>
      <c r="M196" s="97"/>
      <c r="N196" s="62"/>
      <c r="O196" s="369" t="s">
        <v>266</v>
      </c>
      <c r="P196" s="369"/>
      <c r="Q196" s="369"/>
      <c r="R196" s="369"/>
      <c r="S196" s="368">
        <v>176000</v>
      </c>
      <c r="T196" s="289" t="s">
        <v>254</v>
      </c>
      <c r="U196" s="289" t="s">
        <v>26</v>
      </c>
      <c r="V196" s="368">
        <v>12</v>
      </c>
      <c r="W196" s="369" t="s">
        <v>258</v>
      </c>
      <c r="X196" s="368" t="s">
        <v>27</v>
      </c>
      <c r="Y196" s="368"/>
      <c r="Z196" s="368"/>
      <c r="AA196" s="368"/>
      <c r="AB196" s="368" t="s">
        <v>262</v>
      </c>
      <c r="AC196" s="368"/>
      <c r="AD196" s="777">
        <f>S196*V196</f>
        <v>2112000</v>
      </c>
      <c r="AE196" s="125" t="s">
        <v>25</v>
      </c>
      <c r="AF196" s="6">
        <v>2112000</v>
      </c>
    </row>
    <row r="197" spans="1:32" s="1" customFormat="1" ht="21" customHeight="1">
      <c r="A197" s="39"/>
      <c r="B197" s="40"/>
      <c r="C197" s="40"/>
      <c r="D197" s="145"/>
      <c r="E197" s="97"/>
      <c r="F197" s="97"/>
      <c r="G197" s="97"/>
      <c r="H197" s="97"/>
      <c r="I197" s="97"/>
      <c r="J197" s="97"/>
      <c r="K197" s="97"/>
      <c r="L197" s="97"/>
      <c r="M197" s="97"/>
      <c r="N197" s="62"/>
      <c r="O197" s="369" t="s">
        <v>267</v>
      </c>
      <c r="P197" s="369"/>
      <c r="Q197" s="369"/>
      <c r="R197" s="369"/>
      <c r="S197" s="368">
        <v>100000</v>
      </c>
      <c r="T197" s="289" t="s">
        <v>254</v>
      </c>
      <c r="U197" s="289" t="s">
        <v>26</v>
      </c>
      <c r="V197" s="368">
        <v>12</v>
      </c>
      <c r="W197" s="369" t="s">
        <v>258</v>
      </c>
      <c r="X197" s="368" t="s">
        <v>27</v>
      </c>
      <c r="Y197" s="368"/>
      <c r="Z197" s="368"/>
      <c r="AA197" s="368"/>
      <c r="AB197" s="368" t="s">
        <v>262</v>
      </c>
      <c r="AC197" s="368"/>
      <c r="AD197" s="777">
        <f>S197*V197</f>
        <v>1200000</v>
      </c>
      <c r="AE197" s="125" t="s">
        <v>25</v>
      </c>
      <c r="AF197" s="6">
        <v>1200000</v>
      </c>
    </row>
    <row r="198" spans="1:32" s="1" customFormat="1" ht="21" customHeight="1">
      <c r="A198" s="39"/>
      <c r="B198" s="40"/>
      <c r="C198" s="40"/>
      <c r="D198" s="145"/>
      <c r="E198" s="97"/>
      <c r="F198" s="97"/>
      <c r="G198" s="97"/>
      <c r="H198" s="97"/>
      <c r="I198" s="97"/>
      <c r="J198" s="97"/>
      <c r="K198" s="97"/>
      <c r="L198" s="97"/>
      <c r="M198" s="97"/>
      <c r="N198" s="62"/>
      <c r="O198" s="625" t="s">
        <v>707</v>
      </c>
      <c r="P198" s="625"/>
      <c r="Q198" s="625"/>
      <c r="R198" s="625"/>
      <c r="S198" s="728"/>
      <c r="T198" s="289"/>
      <c r="U198" s="289"/>
      <c r="V198" s="728"/>
      <c r="W198" s="729"/>
      <c r="X198" s="728"/>
      <c r="Y198" s="728"/>
      <c r="Z198" s="728"/>
      <c r="AA198" s="728"/>
      <c r="AB198" s="728" t="s">
        <v>794</v>
      </c>
      <c r="AC198" s="728"/>
      <c r="AD198" s="777">
        <v>0</v>
      </c>
      <c r="AE198" s="125" t="s">
        <v>788</v>
      </c>
      <c r="AF198" s="6">
        <v>13000000</v>
      </c>
    </row>
    <row r="199" spans="1:32" s="1" customFormat="1" ht="21" customHeight="1">
      <c r="A199" s="39"/>
      <c r="B199" s="40"/>
      <c r="C199" s="40"/>
      <c r="D199" s="145"/>
      <c r="E199" s="97"/>
      <c r="F199" s="97"/>
      <c r="G199" s="97"/>
      <c r="H199" s="97"/>
      <c r="I199" s="97"/>
      <c r="J199" s="97"/>
      <c r="K199" s="97"/>
      <c r="L199" s="97"/>
      <c r="M199" s="97"/>
      <c r="N199" s="62"/>
      <c r="O199" s="625"/>
      <c r="P199" s="625"/>
      <c r="Q199" s="625"/>
      <c r="R199" s="625"/>
      <c r="S199" s="728"/>
      <c r="T199" s="289"/>
      <c r="U199" s="289"/>
      <c r="V199" s="728"/>
      <c r="W199" s="729"/>
      <c r="X199" s="728"/>
      <c r="Y199" s="728" t="s">
        <v>814</v>
      </c>
      <c r="Z199" s="728"/>
      <c r="AA199" s="728"/>
      <c r="AB199" s="728" t="s">
        <v>794</v>
      </c>
      <c r="AC199" s="728"/>
      <c r="AD199" s="777">
        <v>0</v>
      </c>
      <c r="AE199" s="125" t="s">
        <v>788</v>
      </c>
      <c r="AF199" s="6">
        <v>7000000</v>
      </c>
    </row>
    <row r="200" spans="1:32" s="1" customFormat="1" ht="21" customHeight="1">
      <c r="A200" s="39"/>
      <c r="B200" s="40"/>
      <c r="C200" s="40"/>
      <c r="D200" s="145"/>
      <c r="E200" s="97"/>
      <c r="F200" s="97"/>
      <c r="G200" s="97"/>
      <c r="H200" s="97"/>
      <c r="I200" s="97"/>
      <c r="J200" s="97"/>
      <c r="K200" s="97"/>
      <c r="L200" s="97"/>
      <c r="M200" s="97"/>
      <c r="N200" s="62"/>
      <c r="O200" s="741" t="s">
        <v>885</v>
      </c>
      <c r="P200" s="625"/>
      <c r="Q200" s="625"/>
      <c r="R200" s="625"/>
      <c r="S200" s="728"/>
      <c r="T200" s="289"/>
      <c r="U200" s="289"/>
      <c r="V200" s="728"/>
      <c r="W200" s="729"/>
      <c r="X200" s="728"/>
      <c r="Y200" s="728"/>
      <c r="Z200" s="728"/>
      <c r="AA200" s="728"/>
      <c r="AB200" s="728" t="s">
        <v>794</v>
      </c>
      <c r="AC200" s="728"/>
      <c r="AD200" s="777">
        <v>0</v>
      </c>
      <c r="AE200" s="125" t="s">
        <v>788</v>
      </c>
      <c r="AF200" s="6">
        <v>5000000</v>
      </c>
    </row>
    <row r="201" spans="1:32" s="1" customFormat="1" ht="21" customHeight="1">
      <c r="A201" s="39"/>
      <c r="B201" s="40"/>
      <c r="C201" s="40"/>
      <c r="D201" s="145"/>
      <c r="E201" s="97"/>
      <c r="F201" s="97"/>
      <c r="G201" s="97"/>
      <c r="H201" s="97"/>
      <c r="I201" s="97"/>
      <c r="J201" s="97"/>
      <c r="K201" s="97"/>
      <c r="L201" s="97"/>
      <c r="M201" s="97"/>
      <c r="N201" s="62"/>
      <c r="O201" s="741" t="s">
        <v>888</v>
      </c>
      <c r="P201" s="570"/>
      <c r="Q201" s="570"/>
      <c r="R201" s="570"/>
      <c r="S201" s="728"/>
      <c r="T201" s="289"/>
      <c r="U201" s="289"/>
      <c r="V201" s="728"/>
      <c r="W201" s="729"/>
      <c r="X201" s="728"/>
      <c r="Y201" s="728"/>
      <c r="Z201" s="728"/>
      <c r="AA201" s="728"/>
      <c r="AB201" s="740" t="s">
        <v>150</v>
      </c>
      <c r="AC201" s="728"/>
      <c r="AD201" s="777">
        <v>1600000</v>
      </c>
      <c r="AE201" s="125" t="s">
        <v>788</v>
      </c>
      <c r="AF201" s="6">
        <v>1600000</v>
      </c>
    </row>
    <row r="202" spans="1:32" s="1" customFormat="1" ht="21" customHeight="1">
      <c r="A202" s="39"/>
      <c r="B202" s="40"/>
      <c r="C202" s="40"/>
      <c r="D202" s="145"/>
      <c r="E202" s="97"/>
      <c r="F202" s="97"/>
      <c r="G202" s="97"/>
      <c r="H202" s="97"/>
      <c r="I202" s="97"/>
      <c r="J202" s="97"/>
      <c r="K202" s="97"/>
      <c r="L202" s="97"/>
      <c r="M202" s="97"/>
      <c r="N202" s="62"/>
      <c r="O202" s="741" t="s">
        <v>886</v>
      </c>
      <c r="P202" s="556"/>
      <c r="Q202" s="556"/>
      <c r="R202" s="556"/>
      <c r="S202" s="555"/>
      <c r="T202" s="289"/>
      <c r="U202" s="289"/>
      <c r="V202" s="555"/>
      <c r="W202" s="556"/>
      <c r="X202" s="555"/>
      <c r="Y202" s="740" t="s">
        <v>536</v>
      </c>
      <c r="Z202" s="555"/>
      <c r="AA202" s="555"/>
      <c r="AB202" s="589" t="s">
        <v>667</v>
      </c>
      <c r="AC202" s="555"/>
      <c r="AD202" s="777">
        <v>0</v>
      </c>
      <c r="AE202" s="125" t="s">
        <v>678</v>
      </c>
      <c r="AF202" s="6">
        <v>10000000</v>
      </c>
    </row>
    <row r="203" spans="1:32" s="1" customFormat="1" ht="21" customHeight="1">
      <c r="A203" s="39"/>
      <c r="B203" s="40"/>
      <c r="C203" s="40"/>
      <c r="D203" s="145"/>
      <c r="E203" s="97"/>
      <c r="F203" s="97"/>
      <c r="G203" s="97"/>
      <c r="H203" s="97"/>
      <c r="I203" s="97"/>
      <c r="J203" s="97"/>
      <c r="K203" s="97"/>
      <c r="L203" s="97"/>
      <c r="M203" s="97"/>
      <c r="N203" s="62"/>
      <c r="O203" s="741" t="s">
        <v>887</v>
      </c>
      <c r="P203" s="625"/>
      <c r="Q203" s="625"/>
      <c r="R203" s="625"/>
      <c r="S203" s="624"/>
      <c r="T203" s="289"/>
      <c r="U203" s="289"/>
      <c r="V203" s="624"/>
      <c r="W203" s="625"/>
      <c r="X203" s="624"/>
      <c r="Y203" s="624" t="s">
        <v>706</v>
      </c>
      <c r="Z203" s="624"/>
      <c r="AA203" s="624"/>
      <c r="AB203" s="624" t="s">
        <v>701</v>
      </c>
      <c r="AC203" s="624"/>
      <c r="AD203" s="777">
        <v>0</v>
      </c>
      <c r="AE203" s="125" t="s">
        <v>686</v>
      </c>
      <c r="AF203" s="6">
        <v>30000000</v>
      </c>
    </row>
    <row r="204" spans="1:32" s="1" customFormat="1" ht="21" customHeight="1">
      <c r="A204" s="39"/>
      <c r="B204" s="40"/>
      <c r="C204" s="40"/>
      <c r="D204" s="145"/>
      <c r="E204" s="97"/>
      <c r="F204" s="97"/>
      <c r="G204" s="97"/>
      <c r="H204" s="97"/>
      <c r="I204" s="97"/>
      <c r="J204" s="97"/>
      <c r="K204" s="97"/>
      <c r="L204" s="97"/>
      <c r="M204" s="97"/>
      <c r="N204" s="62"/>
      <c r="O204" s="767"/>
      <c r="P204" s="767"/>
      <c r="Q204" s="767"/>
      <c r="R204" s="767"/>
      <c r="S204" s="766"/>
      <c r="T204" s="289"/>
      <c r="U204" s="289"/>
      <c r="V204" s="766"/>
      <c r="W204" s="767"/>
      <c r="X204" s="766"/>
      <c r="Y204" s="766"/>
      <c r="Z204" s="766"/>
      <c r="AA204" s="766"/>
      <c r="AB204" s="766"/>
      <c r="AC204" s="766"/>
      <c r="AD204" s="777"/>
      <c r="AE204" s="125"/>
      <c r="AF204" s="6"/>
    </row>
    <row r="205" spans="1:32" s="10" customFormat="1" ht="21" customHeight="1">
      <c r="A205" s="178" t="s">
        <v>19</v>
      </c>
      <c r="B205" s="863" t="s">
        <v>20</v>
      </c>
      <c r="C205" s="864"/>
      <c r="D205" s="179">
        <f t="shared" ref="D205:M205" si="8">SUM(D206,D247)</f>
        <v>412849</v>
      </c>
      <c r="E205" s="179">
        <f t="shared" si="8"/>
        <v>398965</v>
      </c>
      <c r="F205" s="179">
        <f t="shared" si="8"/>
        <v>98093</v>
      </c>
      <c r="G205" s="179">
        <f t="shared" si="8"/>
        <v>14800</v>
      </c>
      <c r="H205" s="179">
        <f t="shared" si="8"/>
        <v>21346</v>
      </c>
      <c r="I205" s="179">
        <f t="shared" si="8"/>
        <v>85502</v>
      </c>
      <c r="J205" s="179">
        <f t="shared" si="8"/>
        <v>124026</v>
      </c>
      <c r="K205" s="179">
        <f t="shared" si="8"/>
        <v>0</v>
      </c>
      <c r="L205" s="179">
        <f t="shared" si="8"/>
        <v>55198</v>
      </c>
      <c r="M205" s="179">
        <f t="shared" si="8"/>
        <v>-13884</v>
      </c>
      <c r="N205" s="180">
        <f>IF(D205=0,0,M205/D205)</f>
        <v>-3.362972902925767E-2</v>
      </c>
      <c r="O205" s="172" t="s">
        <v>142</v>
      </c>
      <c r="P205" s="85"/>
      <c r="Q205" s="85"/>
      <c r="R205" s="85"/>
      <c r="S205" s="85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171">
        <f>SUM(AD206,AD247)</f>
        <v>398965000</v>
      </c>
      <c r="AE205" s="87" t="s">
        <v>25</v>
      </c>
      <c r="AF205" s="6"/>
    </row>
    <row r="206" spans="1:32" s="10" customFormat="1" ht="21" customHeight="1">
      <c r="A206" s="40"/>
      <c r="B206" s="30" t="s">
        <v>80</v>
      </c>
      <c r="C206" s="30" t="s">
        <v>143</v>
      </c>
      <c r="D206" s="101">
        <f t="shared" ref="D206:L206" si="9">SUM(D207,D222,D226,D231,D239)</f>
        <v>291842</v>
      </c>
      <c r="E206" s="101">
        <f t="shared" si="9"/>
        <v>290594</v>
      </c>
      <c r="F206" s="101">
        <f t="shared" si="9"/>
        <v>97293</v>
      </c>
      <c r="G206" s="101">
        <f t="shared" si="9"/>
        <v>12600</v>
      </c>
      <c r="H206" s="101">
        <f t="shared" si="9"/>
        <v>21346</v>
      </c>
      <c r="I206" s="101">
        <f t="shared" si="9"/>
        <v>6397</v>
      </c>
      <c r="J206" s="101">
        <f t="shared" si="9"/>
        <v>98720</v>
      </c>
      <c r="K206" s="101">
        <f t="shared" si="9"/>
        <v>0</v>
      </c>
      <c r="L206" s="101">
        <f t="shared" si="9"/>
        <v>54238</v>
      </c>
      <c r="M206" s="101">
        <f>E206-D206</f>
        <v>-1248</v>
      </c>
      <c r="N206" s="109">
        <f>IF(D206=0,0,M206/D206)</f>
        <v>-4.2762864837823204E-3</v>
      </c>
      <c r="O206" s="85"/>
      <c r="P206" s="85"/>
      <c r="Q206" s="85"/>
      <c r="R206" s="85"/>
      <c r="S206" s="85"/>
      <c r="T206" s="81"/>
      <c r="U206" s="81"/>
      <c r="V206" s="81"/>
      <c r="W206" s="81"/>
      <c r="X206" s="81"/>
      <c r="Y206" s="81" t="s">
        <v>28</v>
      </c>
      <c r="Z206" s="81"/>
      <c r="AA206" s="81"/>
      <c r="AB206" s="81"/>
      <c r="AC206" s="86"/>
      <c r="AD206" s="86">
        <f>SUM(AD207,AD222,AD226,AD231,AD239)</f>
        <v>290594000</v>
      </c>
      <c r="AE206" s="87" t="s">
        <v>25</v>
      </c>
      <c r="AF206" s="6"/>
    </row>
    <row r="207" spans="1:32" s="10" customFormat="1" ht="21" customHeight="1">
      <c r="A207" s="40"/>
      <c r="B207" s="40"/>
      <c r="C207" s="30" t="s">
        <v>58</v>
      </c>
      <c r="D207" s="147">
        <v>226234</v>
      </c>
      <c r="E207" s="101">
        <f>AD207/1000</f>
        <v>225796</v>
      </c>
      <c r="F207" s="102">
        <f>SUMIF($AB$208:$AB$221,"보조",$AD$208:$AD$221)/1000</f>
        <v>71857</v>
      </c>
      <c r="G207" s="102">
        <f>SUMIF($AB$208:$AB$221,"7종",$AD$208:$AD$221)/1000</f>
        <v>0</v>
      </c>
      <c r="H207" s="102">
        <f>SUMIF($AB$208:$AB$221,"4종",$AD$208:$AD$221)/1000</f>
        <v>15106</v>
      </c>
      <c r="I207" s="102">
        <f>SUMIF($AB$208:$AB$221,"후원",$AD$208:$AD$221)/1000</f>
        <v>0</v>
      </c>
      <c r="J207" s="102">
        <f>SUMIF($AB$208:$AB$221,"입소",$AD$208:$AD$221)/1000</f>
        <v>84595</v>
      </c>
      <c r="K207" s="102">
        <f>SUMIF($AB$208:$AB$221,"법인",$AD$208:$AD$221)/1000</f>
        <v>0</v>
      </c>
      <c r="L207" s="102">
        <f>SUMIF($AB$208:$AB$221,"잡수",$AD$208:$AD$221)/1000</f>
        <v>54238</v>
      </c>
      <c r="M207" s="645">
        <f>E207-D207</f>
        <v>-438</v>
      </c>
      <c r="N207" s="109">
        <f>IF(D207=0,0,M207/D207)</f>
        <v>-1.9360485161381579E-3</v>
      </c>
      <c r="O207" s="89" t="s">
        <v>81</v>
      </c>
      <c r="P207" s="172"/>
      <c r="Q207" s="172"/>
      <c r="R207" s="172"/>
      <c r="S207" s="172"/>
      <c r="T207" s="171"/>
      <c r="U207" s="171"/>
      <c r="V207" s="171"/>
      <c r="W207" s="171"/>
      <c r="X207" s="171"/>
      <c r="Y207" s="163" t="s">
        <v>135</v>
      </c>
      <c r="Z207" s="163"/>
      <c r="AA207" s="163"/>
      <c r="AB207" s="163"/>
      <c r="AC207" s="165"/>
      <c r="AD207" s="165">
        <f>SUM(AD208:AD221)</f>
        <v>225796000</v>
      </c>
      <c r="AE207" s="164" t="s">
        <v>25</v>
      </c>
      <c r="AF207" s="6"/>
    </row>
    <row r="208" spans="1:32" s="10" customFormat="1" ht="21" customHeight="1">
      <c r="A208" s="40"/>
      <c r="B208" s="40"/>
      <c r="C208" s="40"/>
      <c r="D208" s="98"/>
      <c r="E208" s="97"/>
      <c r="F208" s="97"/>
      <c r="G208" s="97"/>
      <c r="H208" s="97"/>
      <c r="I208" s="97"/>
      <c r="J208" s="97"/>
      <c r="K208" s="97"/>
      <c r="L208" s="97"/>
      <c r="M208" s="97"/>
      <c r="N208" s="62"/>
      <c r="O208" s="369" t="s">
        <v>268</v>
      </c>
      <c r="P208" s="369"/>
      <c r="Q208" s="368"/>
      <c r="R208" s="368"/>
      <c r="S208" s="368">
        <v>240245</v>
      </c>
      <c r="T208" s="368" t="s">
        <v>254</v>
      </c>
      <c r="U208" s="289" t="s">
        <v>256</v>
      </c>
      <c r="V208" s="368">
        <v>12</v>
      </c>
      <c r="W208" s="368" t="s">
        <v>258</v>
      </c>
      <c r="X208" s="289" t="s">
        <v>256</v>
      </c>
      <c r="Y208" s="368">
        <v>24</v>
      </c>
      <c r="Z208" s="368" t="s">
        <v>257</v>
      </c>
      <c r="AA208" s="283" t="s">
        <v>259</v>
      </c>
      <c r="AB208" s="368" t="s">
        <v>262</v>
      </c>
      <c r="AC208" s="124"/>
      <c r="AD208" s="776">
        <f>ROUNDUP(S208*V208*Y208,-3)</f>
        <v>69191000</v>
      </c>
      <c r="AE208" s="125" t="s">
        <v>25</v>
      </c>
      <c r="AF208" s="6">
        <v>66240000</v>
      </c>
    </row>
    <row r="209" spans="1:32" s="10" customFormat="1" ht="21" customHeight="1">
      <c r="A209" s="40"/>
      <c r="B209" s="40"/>
      <c r="C209" s="40"/>
      <c r="D209" s="98"/>
      <c r="E209" s="97"/>
      <c r="F209" s="97"/>
      <c r="G209" s="97"/>
      <c r="H209" s="97"/>
      <c r="I209" s="97"/>
      <c r="J209" s="97"/>
      <c r="K209" s="97"/>
      <c r="L209" s="97"/>
      <c r="M209" s="97"/>
      <c r="N209" s="62"/>
      <c r="O209" s="556" t="s">
        <v>585</v>
      </c>
      <c r="P209" s="556"/>
      <c r="Q209" s="556"/>
      <c r="R209" s="556"/>
      <c r="S209" s="555">
        <v>240245</v>
      </c>
      <c r="T209" s="555" t="s">
        <v>575</v>
      </c>
      <c r="U209" s="289" t="s">
        <v>579</v>
      </c>
      <c r="V209" s="555">
        <v>12</v>
      </c>
      <c r="W209" s="555" t="s">
        <v>586</v>
      </c>
      <c r="X209" s="289" t="s">
        <v>579</v>
      </c>
      <c r="Y209" s="555">
        <v>28</v>
      </c>
      <c r="Z209" s="555" t="s">
        <v>580</v>
      </c>
      <c r="AA209" s="543" t="s">
        <v>582</v>
      </c>
      <c r="AB209" s="555" t="s">
        <v>584</v>
      </c>
      <c r="AC209" s="124"/>
      <c r="AD209" s="776">
        <f>ROUNDUP(S209*V209*Y209,-3)</f>
        <v>80723000</v>
      </c>
      <c r="AE209" s="125" t="s">
        <v>25</v>
      </c>
      <c r="AF209" s="6">
        <v>77280000</v>
      </c>
    </row>
    <row r="210" spans="1:32" s="10" customFormat="1" ht="21" customHeight="1">
      <c r="A210" s="40"/>
      <c r="B210" s="40"/>
      <c r="C210" s="40"/>
      <c r="D210" s="98"/>
      <c r="E210" s="97"/>
      <c r="F210" s="97"/>
      <c r="G210" s="97"/>
      <c r="H210" s="97"/>
      <c r="I210" s="97"/>
      <c r="J210" s="97"/>
      <c r="K210" s="97"/>
      <c r="L210" s="97"/>
      <c r="M210" s="97"/>
      <c r="N210" s="62"/>
      <c r="O210" s="369" t="s">
        <v>269</v>
      </c>
      <c r="P210" s="369"/>
      <c r="Q210" s="368"/>
      <c r="R210" s="368"/>
      <c r="S210" s="368">
        <v>500</v>
      </c>
      <c r="T210" s="368" t="s">
        <v>244</v>
      </c>
      <c r="U210" s="289" t="s">
        <v>245</v>
      </c>
      <c r="V210" s="368">
        <v>365</v>
      </c>
      <c r="W210" s="368" t="s">
        <v>270</v>
      </c>
      <c r="X210" s="289" t="s">
        <v>245</v>
      </c>
      <c r="Y210" s="368">
        <v>52</v>
      </c>
      <c r="Z210" s="368" t="s">
        <v>246</v>
      </c>
      <c r="AA210" s="283" t="s">
        <v>247</v>
      </c>
      <c r="AB210" s="530" t="s">
        <v>542</v>
      </c>
      <c r="AC210" s="124"/>
      <c r="AD210" s="776">
        <f>ROUND(S210*V210*Y210,-3)</f>
        <v>9490000</v>
      </c>
      <c r="AE210" s="125" t="s">
        <v>25</v>
      </c>
      <c r="AF210" s="6">
        <v>9490000</v>
      </c>
    </row>
    <row r="211" spans="1:32" s="10" customFormat="1" ht="21" customHeight="1">
      <c r="A211" s="40"/>
      <c r="B211" s="40"/>
      <c r="C211" s="40"/>
      <c r="D211" s="98"/>
      <c r="E211" s="97"/>
      <c r="F211" s="97"/>
      <c r="G211" s="97"/>
      <c r="H211" s="97"/>
      <c r="I211" s="97"/>
      <c r="J211" s="97"/>
      <c r="K211" s="97"/>
      <c r="L211" s="97"/>
      <c r="M211" s="97"/>
      <c r="N211" s="62"/>
      <c r="O211" s="369" t="s">
        <v>271</v>
      </c>
      <c r="P211" s="369"/>
      <c r="Q211" s="368"/>
      <c r="R211" s="368"/>
      <c r="S211" s="368">
        <v>5000</v>
      </c>
      <c r="T211" s="368" t="s">
        <v>244</v>
      </c>
      <c r="U211" s="289" t="s">
        <v>245</v>
      </c>
      <c r="V211" s="368">
        <v>12</v>
      </c>
      <c r="W211" s="368" t="s">
        <v>29</v>
      </c>
      <c r="X211" s="289" t="s">
        <v>245</v>
      </c>
      <c r="Y211" s="368">
        <v>52</v>
      </c>
      <c r="Z211" s="368" t="s">
        <v>246</v>
      </c>
      <c r="AA211" s="283" t="s">
        <v>247</v>
      </c>
      <c r="AB211" s="530" t="s">
        <v>200</v>
      </c>
      <c r="AC211" s="124"/>
      <c r="AD211" s="776">
        <f>S211*V211*Y211</f>
        <v>3120000</v>
      </c>
      <c r="AE211" s="125" t="s">
        <v>25</v>
      </c>
      <c r="AF211" s="6">
        <v>3120000</v>
      </c>
    </row>
    <row r="212" spans="1:32" s="10" customFormat="1" ht="21" customHeight="1">
      <c r="A212" s="40"/>
      <c r="B212" s="40"/>
      <c r="C212" s="40"/>
      <c r="D212" s="98"/>
      <c r="E212" s="97"/>
      <c r="F212" s="97"/>
      <c r="G212" s="97"/>
      <c r="H212" s="97"/>
      <c r="I212" s="97"/>
      <c r="J212" s="97"/>
      <c r="K212" s="97"/>
      <c r="L212" s="97"/>
      <c r="M212" s="97"/>
      <c r="N212" s="62"/>
      <c r="O212" s="369" t="s">
        <v>272</v>
      </c>
      <c r="P212" s="369"/>
      <c r="Q212" s="368"/>
      <c r="R212" s="368"/>
      <c r="S212" s="368">
        <v>12000</v>
      </c>
      <c r="T212" s="368" t="s">
        <v>244</v>
      </c>
      <c r="U212" s="289" t="s">
        <v>245</v>
      </c>
      <c r="V212" s="368">
        <v>4</v>
      </c>
      <c r="W212" s="368" t="s">
        <v>249</v>
      </c>
      <c r="X212" s="289" t="s">
        <v>245</v>
      </c>
      <c r="Y212" s="368">
        <v>52</v>
      </c>
      <c r="Z212" s="368" t="s">
        <v>246</v>
      </c>
      <c r="AA212" s="283" t="s">
        <v>247</v>
      </c>
      <c r="AB212" s="530" t="s">
        <v>200</v>
      </c>
      <c r="AC212" s="124"/>
      <c r="AD212" s="776">
        <f>S212*V212*Y212</f>
        <v>2496000</v>
      </c>
      <c r="AE212" s="125" t="s">
        <v>25</v>
      </c>
      <c r="AF212" s="6">
        <v>2496000</v>
      </c>
    </row>
    <row r="213" spans="1:32" s="10" customFormat="1" ht="21" customHeight="1">
      <c r="A213" s="40"/>
      <c r="B213" s="40"/>
      <c r="C213" s="40"/>
      <c r="D213" s="98"/>
      <c r="E213" s="97"/>
      <c r="F213" s="97"/>
      <c r="G213" s="97"/>
      <c r="H213" s="97"/>
      <c r="I213" s="97"/>
      <c r="J213" s="97"/>
      <c r="K213" s="97"/>
      <c r="L213" s="97"/>
      <c r="M213" s="97"/>
      <c r="N213" s="62"/>
      <c r="O213" s="369" t="s">
        <v>273</v>
      </c>
      <c r="P213" s="369"/>
      <c r="Q213" s="368"/>
      <c r="R213" s="368"/>
      <c r="S213" s="368">
        <v>37300</v>
      </c>
      <c r="T213" s="368" t="s">
        <v>244</v>
      </c>
      <c r="U213" s="289" t="s">
        <v>245</v>
      </c>
      <c r="V213" s="368">
        <v>2</v>
      </c>
      <c r="W213" s="368" t="s">
        <v>249</v>
      </c>
      <c r="X213" s="289" t="s">
        <v>245</v>
      </c>
      <c r="Y213" s="368">
        <v>24</v>
      </c>
      <c r="Z213" s="368" t="s">
        <v>246</v>
      </c>
      <c r="AA213" s="283" t="s">
        <v>247</v>
      </c>
      <c r="AB213" s="368" t="s">
        <v>251</v>
      </c>
      <c r="AC213" s="124"/>
      <c r="AD213" s="776">
        <f>ROUNDUP(S213*V213*Y213,-3)</f>
        <v>1791000</v>
      </c>
      <c r="AE213" s="125" t="s">
        <v>25</v>
      </c>
      <c r="AF213" s="6">
        <v>1743000</v>
      </c>
    </row>
    <row r="214" spans="1:32" s="10" customFormat="1" ht="21" customHeight="1">
      <c r="A214" s="40"/>
      <c r="B214" s="40"/>
      <c r="C214" s="40"/>
      <c r="D214" s="145"/>
      <c r="E214" s="97"/>
      <c r="F214" s="97"/>
      <c r="G214" s="97"/>
      <c r="H214" s="97"/>
      <c r="I214" s="97"/>
      <c r="J214" s="97"/>
      <c r="K214" s="97"/>
      <c r="L214" s="97"/>
      <c r="M214" s="97"/>
      <c r="N214" s="62"/>
      <c r="O214" s="369" t="s">
        <v>274</v>
      </c>
      <c r="P214" s="369"/>
      <c r="Q214" s="368"/>
      <c r="R214" s="368"/>
      <c r="S214" s="368">
        <v>36434</v>
      </c>
      <c r="T214" s="368" t="s">
        <v>244</v>
      </c>
      <c r="U214" s="289" t="s">
        <v>245</v>
      </c>
      <c r="V214" s="368">
        <v>1</v>
      </c>
      <c r="W214" s="368" t="s">
        <v>249</v>
      </c>
      <c r="X214" s="289" t="s">
        <v>245</v>
      </c>
      <c r="Y214" s="368">
        <v>24</v>
      </c>
      <c r="Z214" s="368" t="s">
        <v>246</v>
      </c>
      <c r="AA214" s="283" t="s">
        <v>247</v>
      </c>
      <c r="AB214" s="368" t="s">
        <v>251</v>
      </c>
      <c r="AC214" s="124"/>
      <c r="AD214" s="776">
        <f>ROUNDUP(S214*V214*Y214,-3)</f>
        <v>875000</v>
      </c>
      <c r="AE214" s="125" t="s">
        <v>25</v>
      </c>
      <c r="AF214" s="6">
        <v>850000</v>
      </c>
    </row>
    <row r="215" spans="1:32" s="10" customFormat="1" ht="21" customHeight="1">
      <c r="A215" s="40"/>
      <c r="B215" s="40"/>
      <c r="C215" s="40"/>
      <c r="D215" s="145"/>
      <c r="E215" s="97"/>
      <c r="F215" s="97"/>
      <c r="G215" s="97"/>
      <c r="H215" s="97"/>
      <c r="I215" s="97"/>
      <c r="J215" s="97"/>
      <c r="K215" s="97"/>
      <c r="L215" s="97"/>
      <c r="M215" s="97"/>
      <c r="N215" s="62"/>
      <c r="O215" s="556" t="s">
        <v>587</v>
      </c>
      <c r="P215" s="556"/>
      <c r="Q215" s="555"/>
      <c r="R215" s="555"/>
      <c r="S215" s="555">
        <v>36434</v>
      </c>
      <c r="T215" s="555" t="s">
        <v>575</v>
      </c>
      <c r="U215" s="289" t="s">
        <v>579</v>
      </c>
      <c r="V215" s="555">
        <v>1</v>
      </c>
      <c r="W215" s="555" t="s">
        <v>576</v>
      </c>
      <c r="X215" s="289" t="s">
        <v>579</v>
      </c>
      <c r="Y215" s="555">
        <v>28</v>
      </c>
      <c r="Z215" s="555" t="s">
        <v>580</v>
      </c>
      <c r="AA215" s="543" t="s">
        <v>582</v>
      </c>
      <c r="AB215" s="555" t="s">
        <v>584</v>
      </c>
      <c r="AC215" s="124"/>
      <c r="AD215" s="776">
        <f>ROUND(S215*V215*Y215,-3)</f>
        <v>1020000</v>
      </c>
      <c r="AE215" s="125" t="s">
        <v>644</v>
      </c>
      <c r="AF215" s="6">
        <v>991000</v>
      </c>
    </row>
    <row r="216" spans="1:32" s="10" customFormat="1" ht="21" customHeight="1">
      <c r="A216" s="40"/>
      <c r="B216" s="40"/>
      <c r="C216" s="40"/>
      <c r="D216" s="145"/>
      <c r="E216" s="97"/>
      <c r="F216" s="97"/>
      <c r="G216" s="97"/>
      <c r="H216" s="97"/>
      <c r="I216" s="97"/>
      <c r="J216" s="97"/>
      <c r="K216" s="97"/>
      <c r="L216" s="97"/>
      <c r="M216" s="97"/>
      <c r="N216" s="62"/>
      <c r="O216" s="644"/>
      <c r="P216" s="644"/>
      <c r="Q216" s="643"/>
      <c r="R216" s="643"/>
      <c r="S216" s="643"/>
      <c r="T216" s="643"/>
      <c r="U216" s="289"/>
      <c r="V216" s="643"/>
      <c r="W216" s="643"/>
      <c r="X216" s="289"/>
      <c r="Y216" s="643"/>
      <c r="Z216" s="643"/>
      <c r="AA216" s="642"/>
      <c r="AB216" s="728" t="s">
        <v>815</v>
      </c>
      <c r="AC216" s="727"/>
      <c r="AD216" s="776">
        <v>2852000</v>
      </c>
      <c r="AE216" s="125" t="s">
        <v>788</v>
      </c>
      <c r="AF216" s="6">
        <v>4824000</v>
      </c>
    </row>
    <row r="217" spans="1:32" s="10" customFormat="1" ht="21" customHeight="1">
      <c r="A217" s="40"/>
      <c r="B217" s="40"/>
      <c r="C217" s="40"/>
      <c r="D217" s="145"/>
      <c r="E217" s="97"/>
      <c r="F217" s="97"/>
      <c r="G217" s="97"/>
      <c r="H217" s="97"/>
      <c r="I217" s="97"/>
      <c r="J217" s="97"/>
      <c r="K217" s="97"/>
      <c r="L217" s="97"/>
      <c r="M217" s="97"/>
      <c r="N217" s="62"/>
      <c r="O217" s="277" t="s">
        <v>668</v>
      </c>
      <c r="P217" s="555"/>
      <c r="Q217" s="555"/>
      <c r="R217" s="555"/>
      <c r="S217" s="555">
        <v>60000</v>
      </c>
      <c r="T217" s="555" t="s">
        <v>575</v>
      </c>
      <c r="U217" s="289" t="s">
        <v>579</v>
      </c>
      <c r="V217" s="555">
        <v>39</v>
      </c>
      <c r="W217" s="556" t="s">
        <v>580</v>
      </c>
      <c r="X217" s="289" t="s">
        <v>579</v>
      </c>
      <c r="Y217" s="555">
        <v>12</v>
      </c>
      <c r="Z217" s="555" t="s">
        <v>586</v>
      </c>
      <c r="AA217" s="543" t="s">
        <v>582</v>
      </c>
      <c r="AB217" s="726" t="s">
        <v>796</v>
      </c>
      <c r="AC217" s="729"/>
      <c r="AD217" s="777">
        <f>ROUND(S217*V217*Y217,-3)</f>
        <v>28080000</v>
      </c>
      <c r="AE217" s="125" t="s">
        <v>788</v>
      </c>
      <c r="AF217" s="6">
        <v>28080000</v>
      </c>
    </row>
    <row r="218" spans="1:32" s="10" customFormat="1" ht="21" customHeight="1">
      <c r="A218" s="40"/>
      <c r="B218" s="40"/>
      <c r="C218" s="40"/>
      <c r="D218" s="145"/>
      <c r="E218" s="97"/>
      <c r="F218" s="97"/>
      <c r="G218" s="97"/>
      <c r="H218" s="97"/>
      <c r="I218" s="97"/>
      <c r="J218" s="97"/>
      <c r="K218" s="97"/>
      <c r="L218" s="97"/>
      <c r="M218" s="97"/>
      <c r="N218" s="62"/>
      <c r="O218" s="556" t="s">
        <v>588</v>
      </c>
      <c r="P218" s="556"/>
      <c r="Q218" s="556"/>
      <c r="R218" s="556"/>
      <c r="S218" s="555">
        <v>60000</v>
      </c>
      <c r="T218" s="289" t="s">
        <v>575</v>
      </c>
      <c r="U218" s="289" t="s">
        <v>26</v>
      </c>
      <c r="V218" s="555">
        <v>10</v>
      </c>
      <c r="W218" s="555" t="s">
        <v>580</v>
      </c>
      <c r="X218" s="289" t="s">
        <v>26</v>
      </c>
      <c r="Y218" s="555">
        <v>12</v>
      </c>
      <c r="Z218" s="555" t="s">
        <v>586</v>
      </c>
      <c r="AA218" s="543" t="s">
        <v>27</v>
      </c>
      <c r="AB218" s="728" t="s">
        <v>796</v>
      </c>
      <c r="AC218" s="728"/>
      <c r="AD218" s="777">
        <f>S218*V218*Y218</f>
        <v>7200000</v>
      </c>
      <c r="AE218" s="396" t="s">
        <v>788</v>
      </c>
      <c r="AF218" s="6">
        <v>22320000</v>
      </c>
    </row>
    <row r="219" spans="1:32" s="10" customFormat="1" ht="21" customHeight="1">
      <c r="A219" s="40"/>
      <c r="B219" s="40"/>
      <c r="C219" s="40"/>
      <c r="D219" s="145"/>
      <c r="E219" s="97"/>
      <c r="F219" s="97"/>
      <c r="G219" s="97"/>
      <c r="H219" s="97"/>
      <c r="I219" s="97"/>
      <c r="J219" s="97"/>
      <c r="K219" s="97"/>
      <c r="L219" s="97"/>
      <c r="M219" s="97"/>
      <c r="N219" s="62"/>
      <c r="O219" s="767"/>
      <c r="P219" s="767"/>
      <c r="Q219" s="767"/>
      <c r="R219" s="767"/>
      <c r="S219" s="766">
        <v>60000</v>
      </c>
      <c r="T219" s="289" t="s">
        <v>56</v>
      </c>
      <c r="U219" s="289" t="s">
        <v>26</v>
      </c>
      <c r="V219" s="766">
        <v>21</v>
      </c>
      <c r="W219" s="766" t="s">
        <v>55</v>
      </c>
      <c r="X219" s="289" t="s">
        <v>26</v>
      </c>
      <c r="Y219" s="370">
        <v>8</v>
      </c>
      <c r="Z219" s="766" t="s">
        <v>0</v>
      </c>
      <c r="AA219" s="764" t="s">
        <v>27</v>
      </c>
      <c r="AB219" s="766" t="s">
        <v>89</v>
      </c>
      <c r="AC219" s="766"/>
      <c r="AD219" s="777">
        <f>S219*V219*Y219</f>
        <v>10080000</v>
      </c>
      <c r="AE219" s="396" t="s">
        <v>931</v>
      </c>
      <c r="AF219" s="6">
        <v>0</v>
      </c>
    </row>
    <row r="220" spans="1:32" s="10" customFormat="1" ht="21" customHeight="1">
      <c r="A220" s="40"/>
      <c r="B220" s="40"/>
      <c r="C220" s="40"/>
      <c r="D220" s="145"/>
      <c r="E220" s="97"/>
      <c r="F220" s="97"/>
      <c r="G220" s="97"/>
      <c r="H220" s="97"/>
      <c r="I220" s="97"/>
      <c r="J220" s="97"/>
      <c r="K220" s="97"/>
      <c r="L220" s="97"/>
      <c r="M220" s="97"/>
      <c r="N220" s="62"/>
      <c r="O220" s="566" t="s">
        <v>643</v>
      </c>
      <c r="P220" s="556"/>
      <c r="Q220" s="556"/>
      <c r="R220" s="556"/>
      <c r="S220" s="555"/>
      <c r="T220" s="289" t="s">
        <v>575</v>
      </c>
      <c r="U220" s="289" t="s">
        <v>26</v>
      </c>
      <c r="V220" s="555"/>
      <c r="W220" s="555" t="s">
        <v>580</v>
      </c>
      <c r="X220" s="289" t="s">
        <v>26</v>
      </c>
      <c r="Y220" s="555"/>
      <c r="Z220" s="555" t="s">
        <v>586</v>
      </c>
      <c r="AA220" s="543" t="s">
        <v>27</v>
      </c>
      <c r="AB220" s="728" t="s">
        <v>796</v>
      </c>
      <c r="AC220" s="728"/>
      <c r="AD220" s="777">
        <v>8878000</v>
      </c>
      <c r="AE220" s="396" t="s">
        <v>788</v>
      </c>
      <c r="AF220" s="6">
        <v>8800000</v>
      </c>
    </row>
    <row r="221" spans="1:32" s="10" customFormat="1" ht="21" customHeight="1">
      <c r="A221" s="40"/>
      <c r="B221" s="40"/>
      <c r="C221" s="53"/>
      <c r="D221" s="146"/>
      <c r="E221" s="99"/>
      <c r="F221" s="99"/>
      <c r="G221" s="99"/>
      <c r="H221" s="99"/>
      <c r="I221" s="99"/>
      <c r="J221" s="99"/>
      <c r="K221" s="99"/>
      <c r="L221" s="99"/>
      <c r="M221" s="99"/>
      <c r="N221" s="76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20"/>
      <c r="AE221" s="112"/>
      <c r="AF221" s="6"/>
    </row>
    <row r="222" spans="1:32" s="10" customFormat="1" ht="21" customHeight="1">
      <c r="A222" s="40"/>
      <c r="B222" s="40"/>
      <c r="C222" s="40" t="s">
        <v>82</v>
      </c>
      <c r="D222" s="145">
        <v>7773</v>
      </c>
      <c r="E222" s="97">
        <f>ROUND(AD222/1000,0)</f>
        <v>7773</v>
      </c>
      <c r="F222" s="102">
        <f>SUMIF($AB$223:$AB$225,"보조",$AD$223:$AD$225)/1000</f>
        <v>4796</v>
      </c>
      <c r="G222" s="102">
        <f>SUMIF($AB$223:$AB$225,"7종",$AD$223:$AD$225)/1000</f>
        <v>0</v>
      </c>
      <c r="H222" s="102">
        <f>SUMIF($AB$223:$AB$225,"4종",$AD$223:$AD$225)/1000</f>
        <v>0</v>
      </c>
      <c r="I222" s="102">
        <f>SUMIF($AB$223:$AB$225,"후원",$AD$223:$AD$225)/1000</f>
        <v>2977</v>
      </c>
      <c r="J222" s="102">
        <f>SUMIF($AB$223:$AB$225,"입소",$AD$223:$AD$225)/1000</f>
        <v>0</v>
      </c>
      <c r="K222" s="102">
        <f>SUMIF($AB$223:$AB$225,"법인",$AD$223:$AD$225)/1000</f>
        <v>0</v>
      </c>
      <c r="L222" s="102">
        <f>SUMIF($AB$223:$AB$225,"잡수",$AD$223:$AD$225)/1000</f>
        <v>0</v>
      </c>
      <c r="M222" s="97">
        <f>E222-D222</f>
        <v>0</v>
      </c>
      <c r="N222" s="62">
        <f>IF(D222=0,0,M222/D222)</f>
        <v>0</v>
      </c>
      <c r="O222" s="89" t="s">
        <v>83</v>
      </c>
      <c r="P222" s="85"/>
      <c r="Q222" s="85"/>
      <c r="R222" s="85"/>
      <c r="S222" s="85"/>
      <c r="T222" s="81"/>
      <c r="U222" s="81"/>
      <c r="V222" s="81"/>
      <c r="W222" s="81"/>
      <c r="X222" s="81"/>
      <c r="Y222" s="163" t="s">
        <v>135</v>
      </c>
      <c r="Z222" s="163"/>
      <c r="AA222" s="163"/>
      <c r="AB222" s="163"/>
      <c r="AC222" s="165"/>
      <c r="AD222" s="165">
        <f>SUM(AD223:AD225)</f>
        <v>7773000</v>
      </c>
      <c r="AE222" s="164" t="s">
        <v>25</v>
      </c>
      <c r="AF222" s="6"/>
    </row>
    <row r="223" spans="1:32" s="10" customFormat="1" ht="21" customHeight="1">
      <c r="A223" s="40"/>
      <c r="B223" s="40"/>
      <c r="C223" s="40" t="s">
        <v>144</v>
      </c>
      <c r="D223" s="145"/>
      <c r="E223" s="97"/>
      <c r="F223" s="97"/>
      <c r="G223" s="97"/>
      <c r="H223" s="97"/>
      <c r="I223" s="97"/>
      <c r="J223" s="97"/>
      <c r="K223" s="97"/>
      <c r="L223" s="97"/>
      <c r="M223" s="97"/>
      <c r="N223" s="62"/>
      <c r="O223" s="369" t="s">
        <v>275</v>
      </c>
      <c r="P223" s="369"/>
      <c r="Q223" s="369"/>
      <c r="R223" s="369"/>
      <c r="S223" s="368"/>
      <c r="T223" s="289"/>
      <c r="U223" s="289"/>
      <c r="V223" s="368"/>
      <c r="W223" s="368"/>
      <c r="X223" s="368"/>
      <c r="Y223" s="368"/>
      <c r="Z223" s="368"/>
      <c r="AA223" s="368"/>
      <c r="AB223" s="368" t="s">
        <v>251</v>
      </c>
      <c r="AC223" s="368"/>
      <c r="AD223" s="777">
        <v>4796000</v>
      </c>
      <c r="AE223" s="125" t="s">
        <v>244</v>
      </c>
      <c r="AF223" s="6">
        <v>4796000</v>
      </c>
    </row>
    <row r="224" spans="1:32" s="10" customFormat="1" ht="21" customHeight="1">
      <c r="A224" s="40"/>
      <c r="B224" s="40"/>
      <c r="C224" s="40"/>
      <c r="D224" s="145"/>
      <c r="E224" s="97"/>
      <c r="F224" s="97"/>
      <c r="G224" s="97"/>
      <c r="H224" s="97"/>
      <c r="I224" s="97"/>
      <c r="J224" s="97"/>
      <c r="K224" s="97"/>
      <c r="L224" s="97"/>
      <c r="M224" s="97"/>
      <c r="N224" s="62"/>
      <c r="O224" s="741" t="s">
        <v>899</v>
      </c>
      <c r="P224" s="369"/>
      <c r="Q224" s="369"/>
      <c r="R224" s="369"/>
      <c r="S224" s="368"/>
      <c r="T224" s="289"/>
      <c r="U224" s="289"/>
      <c r="V224" s="368"/>
      <c r="W224" s="368"/>
      <c r="X224" s="368"/>
      <c r="Y224" s="368"/>
      <c r="Z224" s="368"/>
      <c r="AA224" s="368"/>
      <c r="AB224" s="728" t="s">
        <v>794</v>
      </c>
      <c r="AC224" s="728"/>
      <c r="AD224" s="777">
        <v>2977000</v>
      </c>
      <c r="AE224" s="125" t="s">
        <v>788</v>
      </c>
      <c r="AF224" s="6">
        <v>2977000</v>
      </c>
    </row>
    <row r="225" spans="1:32" s="10" customFormat="1" ht="21" customHeight="1">
      <c r="A225" s="40"/>
      <c r="B225" s="40"/>
      <c r="C225" s="40"/>
      <c r="D225" s="145"/>
      <c r="E225" s="97"/>
      <c r="F225" s="97"/>
      <c r="G225" s="97"/>
      <c r="H225" s="97"/>
      <c r="I225" s="97"/>
      <c r="J225" s="97"/>
      <c r="K225" s="97"/>
      <c r="L225" s="97"/>
      <c r="M225" s="97"/>
      <c r="N225" s="62"/>
      <c r="O225" s="273"/>
      <c r="P225" s="273"/>
      <c r="Q225" s="273"/>
      <c r="R225" s="273"/>
      <c r="S225" s="291"/>
      <c r="T225" s="292"/>
      <c r="U225" s="276"/>
      <c r="V225" s="293"/>
      <c r="W225" s="291"/>
      <c r="X225" s="291"/>
      <c r="Y225" s="291"/>
      <c r="Z225" s="291"/>
      <c r="AA225" s="291"/>
      <c r="AB225" s="291"/>
      <c r="AC225" s="291"/>
      <c r="AD225" s="291"/>
      <c r="AE225" s="294"/>
      <c r="AF225" s="6"/>
    </row>
    <row r="226" spans="1:32" s="10" customFormat="1" ht="21" customHeight="1">
      <c r="A226" s="40"/>
      <c r="B226" s="40"/>
      <c r="C226" s="30" t="s">
        <v>77</v>
      </c>
      <c r="D226" s="147">
        <v>16640</v>
      </c>
      <c r="E226" s="101">
        <f>ROUND(AD226/1000,0)</f>
        <v>16640</v>
      </c>
      <c r="F226" s="102">
        <f>SUMIF($AB$227:$AB$230,"보조",$AD$227:$AD$230)/1000</f>
        <v>5760</v>
      </c>
      <c r="G226" s="102">
        <f>SUMIF($AB$227:$AB$230,"7종",$AD$227:$AD$230)/1000</f>
        <v>0</v>
      </c>
      <c r="H226" s="102">
        <f>SUMIF($AB$227:$AB$230,"4종",$AD$227:$AD$230)/1000</f>
        <v>4160</v>
      </c>
      <c r="I226" s="102">
        <f>SUMIF($AB$227:$AB$230,"후원",$AD$227:$AD$230)/1000</f>
        <v>0</v>
      </c>
      <c r="J226" s="102">
        <f>SUMIF($AB$227:$AB$230,"입소",$AD$227:$AD$230)/1000</f>
        <v>6720</v>
      </c>
      <c r="K226" s="102">
        <f>SUMIF($AB$227:$AB$230,"법인",$AD$227:$AD$230)/1000</f>
        <v>0</v>
      </c>
      <c r="L226" s="102">
        <f>SUMIF($AB$227:$AB$230,"잡수",$AD$227:$AD$230)/1000</f>
        <v>0</v>
      </c>
      <c r="M226" s="101">
        <f>E226-D226</f>
        <v>0</v>
      </c>
      <c r="N226" s="109">
        <f>IF(D226=0,0,M226/D226)</f>
        <v>0</v>
      </c>
      <c r="O226" s="89" t="s">
        <v>129</v>
      </c>
      <c r="P226" s="162"/>
      <c r="Q226" s="85"/>
      <c r="R226" s="85"/>
      <c r="S226" s="85"/>
      <c r="T226" s="81"/>
      <c r="U226" s="81"/>
      <c r="V226" s="81"/>
      <c r="W226" s="171"/>
      <c r="X226" s="171"/>
      <c r="Y226" s="163" t="s">
        <v>135</v>
      </c>
      <c r="Z226" s="163"/>
      <c r="AA226" s="163"/>
      <c r="AB226" s="163"/>
      <c r="AC226" s="165"/>
      <c r="AD226" s="165">
        <f>SUM(AD227:AD230)</f>
        <v>16640000</v>
      </c>
      <c r="AE226" s="164" t="s">
        <v>25</v>
      </c>
      <c r="AF226" s="6"/>
    </row>
    <row r="227" spans="1:32" s="10" customFormat="1" ht="21" customHeight="1">
      <c r="A227" s="40"/>
      <c r="B227" s="40"/>
      <c r="C227" s="40"/>
      <c r="D227" s="98"/>
      <c r="E227" s="97"/>
      <c r="F227" s="97"/>
      <c r="G227" s="97"/>
      <c r="H227" s="97"/>
      <c r="I227" s="97"/>
      <c r="J227" s="97"/>
      <c r="K227" s="97"/>
      <c r="L227" s="97"/>
      <c r="M227" s="97"/>
      <c r="N227" s="62"/>
      <c r="O227" s="556" t="s">
        <v>578</v>
      </c>
      <c r="P227" s="556"/>
      <c r="Q227" s="555"/>
      <c r="R227" s="555"/>
      <c r="S227" s="555">
        <v>240000</v>
      </c>
      <c r="T227" s="555" t="s">
        <v>575</v>
      </c>
      <c r="U227" s="556" t="s">
        <v>579</v>
      </c>
      <c r="V227" s="555">
        <v>24</v>
      </c>
      <c r="W227" s="555" t="s">
        <v>580</v>
      </c>
      <c r="X227" s="556"/>
      <c r="Y227" s="555" t="s">
        <v>581</v>
      </c>
      <c r="Z227" s="555"/>
      <c r="AA227" s="555" t="s">
        <v>582</v>
      </c>
      <c r="AB227" s="555" t="s">
        <v>583</v>
      </c>
      <c r="AC227" s="124"/>
      <c r="AD227" s="776">
        <f>S227*V227</f>
        <v>5760000</v>
      </c>
      <c r="AE227" s="125" t="s">
        <v>25</v>
      </c>
      <c r="AF227" s="6">
        <v>5760000</v>
      </c>
    </row>
    <row r="228" spans="1:32" s="10" customFormat="1" ht="21" customHeight="1">
      <c r="A228" s="40"/>
      <c r="B228" s="40"/>
      <c r="C228" s="40"/>
      <c r="D228" s="98"/>
      <c r="E228" s="97"/>
      <c r="F228" s="97"/>
      <c r="G228" s="97"/>
      <c r="H228" s="97"/>
      <c r="I228" s="97"/>
      <c r="J228" s="97"/>
      <c r="K228" s="97"/>
      <c r="L228" s="97"/>
      <c r="M228" s="97"/>
      <c r="N228" s="62"/>
      <c r="O228" s="556"/>
      <c r="P228" s="556"/>
      <c r="Q228" s="555"/>
      <c r="R228" s="555"/>
      <c r="S228" s="555">
        <v>240000</v>
      </c>
      <c r="T228" s="555" t="s">
        <v>575</v>
      </c>
      <c r="U228" s="556" t="s">
        <v>579</v>
      </c>
      <c r="V228" s="555">
        <v>28</v>
      </c>
      <c r="W228" s="555" t="s">
        <v>580</v>
      </c>
      <c r="X228" s="556"/>
      <c r="Y228" s="555"/>
      <c r="Z228" s="555"/>
      <c r="AA228" s="555" t="s">
        <v>582</v>
      </c>
      <c r="AB228" s="555" t="s">
        <v>584</v>
      </c>
      <c r="AC228" s="124"/>
      <c r="AD228" s="776">
        <f>S228*V228</f>
        <v>6720000</v>
      </c>
      <c r="AE228" s="125" t="s">
        <v>25</v>
      </c>
      <c r="AF228" s="6">
        <v>6720000</v>
      </c>
    </row>
    <row r="229" spans="1:32" s="10" customFormat="1" ht="21" customHeight="1">
      <c r="A229" s="40"/>
      <c r="B229" s="40"/>
      <c r="C229" s="40"/>
      <c r="D229" s="98"/>
      <c r="E229" s="97"/>
      <c r="F229" s="97"/>
      <c r="G229" s="97"/>
      <c r="H229" s="97"/>
      <c r="I229" s="97"/>
      <c r="J229" s="97"/>
      <c r="K229" s="97"/>
      <c r="L229" s="97"/>
      <c r="M229" s="97"/>
      <c r="N229" s="62"/>
      <c r="O229" s="369" t="s">
        <v>276</v>
      </c>
      <c r="P229" s="369"/>
      <c r="Q229" s="368"/>
      <c r="R229" s="368"/>
      <c r="S229" s="368">
        <v>20000</v>
      </c>
      <c r="T229" s="368" t="s">
        <v>254</v>
      </c>
      <c r="U229" s="369" t="s">
        <v>256</v>
      </c>
      <c r="V229" s="368">
        <v>4</v>
      </c>
      <c r="W229" s="368" t="s">
        <v>260</v>
      </c>
      <c r="X229" s="369" t="s">
        <v>256</v>
      </c>
      <c r="Y229" s="368">
        <v>52</v>
      </c>
      <c r="Z229" s="368" t="s">
        <v>257</v>
      </c>
      <c r="AA229" s="368" t="s">
        <v>259</v>
      </c>
      <c r="AB229" s="530" t="s">
        <v>542</v>
      </c>
      <c r="AC229" s="124"/>
      <c r="AD229" s="776">
        <f>ROUND(S229*V229*Y229,-1)</f>
        <v>4160000</v>
      </c>
      <c r="AE229" s="125" t="s">
        <v>25</v>
      </c>
      <c r="AF229" s="6">
        <v>4160000</v>
      </c>
    </row>
    <row r="230" spans="1:32" s="10" customFormat="1" ht="21" customHeight="1">
      <c r="A230" s="40"/>
      <c r="B230" s="40"/>
      <c r="C230" s="40"/>
      <c r="D230" s="145"/>
      <c r="E230" s="97"/>
      <c r="F230" s="97"/>
      <c r="G230" s="97"/>
      <c r="H230" s="97"/>
      <c r="I230" s="97"/>
      <c r="J230" s="97"/>
      <c r="K230" s="97"/>
      <c r="L230" s="97"/>
      <c r="M230" s="97"/>
      <c r="N230" s="62"/>
      <c r="O230" s="369"/>
      <c r="P230" s="369"/>
      <c r="Q230" s="368"/>
      <c r="R230" s="368"/>
      <c r="S230" s="368"/>
      <c r="T230" s="368"/>
      <c r="U230" s="369"/>
      <c r="V230" s="368"/>
      <c r="W230" s="368"/>
      <c r="X230" s="369"/>
      <c r="Y230" s="368"/>
      <c r="Z230" s="368"/>
      <c r="AA230" s="368"/>
      <c r="AB230" s="368"/>
      <c r="AC230" s="124"/>
      <c r="AD230" s="776"/>
      <c r="AE230" s="125"/>
      <c r="AF230" s="6"/>
    </row>
    <row r="231" spans="1:32" s="10" customFormat="1" ht="21" customHeight="1">
      <c r="A231" s="40"/>
      <c r="B231" s="40"/>
      <c r="C231" s="30" t="s">
        <v>78</v>
      </c>
      <c r="D231" s="147">
        <v>18480</v>
      </c>
      <c r="E231" s="101">
        <f>ROUND(AD231/1000,0)</f>
        <v>18480</v>
      </c>
      <c r="F231" s="102">
        <f>SUMIF($AB$232:$AB$238,"보조",$AD$232:$AD$238)/1000</f>
        <v>480</v>
      </c>
      <c r="G231" s="102">
        <f>SUMIF($AB$232:$AB$238,"7종",$AD$232:$AD$238)/1000</f>
        <v>12600</v>
      </c>
      <c r="H231" s="102">
        <f>SUMIF($AB$232:$AB$238,"4종",$AD$232:$AD$238)/1000</f>
        <v>2080</v>
      </c>
      <c r="I231" s="102">
        <f>SUMIF($AB$232:$AB$238,"후원",$AD$232:$AD$238)/1000</f>
        <v>3320</v>
      </c>
      <c r="J231" s="102">
        <f>SUMIF($AB$232:$AB$238,"입소",$AD$232:$AD$238)/1000</f>
        <v>0</v>
      </c>
      <c r="K231" s="102">
        <f>SUMIF($AB$232:$AB$238,"법인",$AD$232:$AD$238)/1000</f>
        <v>0</v>
      </c>
      <c r="L231" s="102">
        <f>SUMIF($AB$232:$AB$238,"잡수",$AD$232:$AD$238)/1000</f>
        <v>0</v>
      </c>
      <c r="M231" s="101">
        <f>E231-D231</f>
        <v>0</v>
      </c>
      <c r="N231" s="109">
        <f>IF(D231=0,0,M231/D231)</f>
        <v>0</v>
      </c>
      <c r="O231" s="89" t="s">
        <v>130</v>
      </c>
      <c r="P231" s="162"/>
      <c r="Q231" s="167"/>
      <c r="R231" s="167"/>
      <c r="S231" s="167"/>
      <c r="T231" s="166"/>
      <c r="U231" s="166"/>
      <c r="V231" s="166"/>
      <c r="W231" s="171"/>
      <c r="X231" s="171"/>
      <c r="Y231" s="163" t="s">
        <v>135</v>
      </c>
      <c r="Z231" s="163"/>
      <c r="AA231" s="163"/>
      <c r="AB231" s="163"/>
      <c r="AC231" s="165"/>
      <c r="AD231" s="165">
        <f>SUM(AD232:AD237)</f>
        <v>18480000</v>
      </c>
      <c r="AE231" s="164" t="s">
        <v>25</v>
      </c>
      <c r="AF231" s="6"/>
    </row>
    <row r="232" spans="1:32" s="12" customFormat="1" ht="21" customHeight="1">
      <c r="A232" s="40"/>
      <c r="B232" s="40"/>
      <c r="C232" s="40"/>
      <c r="D232" s="145"/>
      <c r="E232" s="97"/>
      <c r="F232" s="97"/>
      <c r="G232" s="97"/>
      <c r="H232" s="97"/>
      <c r="I232" s="97"/>
      <c r="J232" s="97"/>
      <c r="K232" s="97"/>
      <c r="L232" s="97"/>
      <c r="M232" s="97"/>
      <c r="N232" s="62"/>
      <c r="O232" s="369" t="s">
        <v>277</v>
      </c>
      <c r="P232" s="369"/>
      <c r="Q232" s="368"/>
      <c r="R232" s="368"/>
      <c r="S232" s="368">
        <v>40000</v>
      </c>
      <c r="T232" s="368" t="s">
        <v>254</v>
      </c>
      <c r="U232" s="369" t="s">
        <v>256</v>
      </c>
      <c r="V232" s="368">
        <v>1</v>
      </c>
      <c r="W232" s="368" t="s">
        <v>260</v>
      </c>
      <c r="X232" s="369" t="s">
        <v>256</v>
      </c>
      <c r="Y232" s="368">
        <v>52</v>
      </c>
      <c r="Z232" s="368" t="s">
        <v>257</v>
      </c>
      <c r="AA232" s="368" t="s">
        <v>259</v>
      </c>
      <c r="AB232" s="530" t="s">
        <v>542</v>
      </c>
      <c r="AC232" s="124"/>
      <c r="AD232" s="776">
        <f>S232*V232*Y232</f>
        <v>2080000</v>
      </c>
      <c r="AE232" s="125" t="s">
        <v>25</v>
      </c>
      <c r="AF232" s="6">
        <v>2080000</v>
      </c>
    </row>
    <row r="233" spans="1:32" s="12" customFormat="1" ht="21" customHeight="1">
      <c r="A233" s="40"/>
      <c r="B233" s="40"/>
      <c r="C233" s="40"/>
      <c r="D233" s="145"/>
      <c r="E233" s="97"/>
      <c r="F233" s="97"/>
      <c r="G233" s="97"/>
      <c r="H233" s="97"/>
      <c r="I233" s="97"/>
      <c r="J233" s="97"/>
      <c r="K233" s="97"/>
      <c r="L233" s="97"/>
      <c r="M233" s="97"/>
      <c r="N233" s="270"/>
      <c r="O233" s="277" t="s">
        <v>278</v>
      </c>
      <c r="P233" s="369"/>
      <c r="Q233" s="369"/>
      <c r="R233" s="369"/>
      <c r="S233" s="368">
        <v>70000</v>
      </c>
      <c r="T233" s="368" t="s">
        <v>254</v>
      </c>
      <c r="U233" s="369" t="s">
        <v>256</v>
      </c>
      <c r="V233" s="368">
        <v>1</v>
      </c>
      <c r="W233" s="368" t="s">
        <v>257</v>
      </c>
      <c r="X233" s="369" t="s">
        <v>256</v>
      </c>
      <c r="Y233" s="290">
        <v>180</v>
      </c>
      <c r="Z233" s="283" t="s">
        <v>279</v>
      </c>
      <c r="AA233" s="283" t="s">
        <v>259</v>
      </c>
      <c r="AB233" s="728" t="s">
        <v>801</v>
      </c>
      <c r="AC233" s="727"/>
      <c r="AD233" s="777">
        <f>S233*V233*Y233</f>
        <v>12600000</v>
      </c>
      <c r="AE233" s="125" t="s">
        <v>788</v>
      </c>
      <c r="AF233" s="6">
        <v>12600000</v>
      </c>
    </row>
    <row r="234" spans="1:32" s="12" customFormat="1" ht="21" customHeight="1">
      <c r="A234" s="40"/>
      <c r="B234" s="40"/>
      <c r="C234" s="40"/>
      <c r="D234" s="145"/>
      <c r="E234" s="97"/>
      <c r="F234" s="97"/>
      <c r="G234" s="97"/>
      <c r="H234" s="97"/>
      <c r="I234" s="97"/>
      <c r="J234" s="97"/>
      <c r="K234" s="97"/>
      <c r="L234" s="97"/>
      <c r="M234" s="97"/>
      <c r="N234" s="62"/>
      <c r="O234" s="369" t="s">
        <v>280</v>
      </c>
      <c r="P234" s="369"/>
      <c r="Q234" s="369"/>
      <c r="R234" s="369"/>
      <c r="S234" s="368">
        <v>100000</v>
      </c>
      <c r="T234" s="289" t="s">
        <v>254</v>
      </c>
      <c r="U234" s="289" t="s">
        <v>26</v>
      </c>
      <c r="V234" s="368">
        <v>12</v>
      </c>
      <c r="W234" s="368" t="s">
        <v>258</v>
      </c>
      <c r="X234" s="283"/>
      <c r="Y234" s="397"/>
      <c r="Z234" s="382"/>
      <c r="AA234" s="398" t="s">
        <v>259</v>
      </c>
      <c r="AB234" s="728" t="s">
        <v>794</v>
      </c>
      <c r="AC234" s="728"/>
      <c r="AD234" s="777">
        <f>S234*V234</f>
        <v>1200000</v>
      </c>
      <c r="AE234" s="125" t="s">
        <v>25</v>
      </c>
      <c r="AF234" s="6">
        <v>1200000</v>
      </c>
    </row>
    <row r="235" spans="1:32" s="12" customFormat="1" ht="21" customHeight="1">
      <c r="A235" s="40"/>
      <c r="B235" s="40"/>
      <c r="C235" s="40"/>
      <c r="D235" s="145"/>
      <c r="E235" s="97"/>
      <c r="F235" s="97"/>
      <c r="G235" s="97"/>
      <c r="H235" s="97"/>
      <c r="I235" s="97"/>
      <c r="J235" s="97"/>
      <c r="K235" s="97"/>
      <c r="L235" s="97"/>
      <c r="M235" s="97"/>
      <c r="N235" s="62"/>
      <c r="O235" s="369" t="s">
        <v>281</v>
      </c>
      <c r="P235" s="369"/>
      <c r="Q235" s="369"/>
      <c r="R235" s="369"/>
      <c r="S235" s="368">
        <v>40000</v>
      </c>
      <c r="T235" s="289" t="s">
        <v>244</v>
      </c>
      <c r="U235" s="289" t="s">
        <v>26</v>
      </c>
      <c r="V235" s="368">
        <v>12</v>
      </c>
      <c r="W235" s="368" t="s">
        <v>265</v>
      </c>
      <c r="X235" s="283"/>
      <c r="Y235" s="397"/>
      <c r="Z235" s="382"/>
      <c r="AA235" s="398" t="s">
        <v>247</v>
      </c>
      <c r="AB235" s="728" t="s">
        <v>809</v>
      </c>
      <c r="AC235" s="728"/>
      <c r="AD235" s="777">
        <f>S235*V235</f>
        <v>480000</v>
      </c>
      <c r="AE235" s="125" t="s">
        <v>25</v>
      </c>
      <c r="AF235" s="6">
        <v>480000</v>
      </c>
    </row>
    <row r="236" spans="1:32" s="12" customFormat="1" ht="21" customHeight="1">
      <c r="A236" s="40"/>
      <c r="B236" s="40"/>
      <c r="C236" s="40"/>
      <c r="D236" s="145"/>
      <c r="E236" s="97"/>
      <c r="F236" s="97"/>
      <c r="G236" s="97"/>
      <c r="H236" s="97"/>
      <c r="I236" s="97"/>
      <c r="J236" s="97"/>
      <c r="K236" s="97"/>
      <c r="L236" s="97"/>
      <c r="M236" s="97"/>
      <c r="N236" s="62"/>
      <c r="O236" s="564"/>
      <c r="P236" s="564"/>
      <c r="Q236" s="564"/>
      <c r="R236" s="564"/>
      <c r="S236" s="563">
        <v>160000</v>
      </c>
      <c r="T236" s="289" t="s">
        <v>602</v>
      </c>
      <c r="U236" s="289" t="s">
        <v>26</v>
      </c>
      <c r="V236" s="563">
        <v>12</v>
      </c>
      <c r="W236" s="563" t="s">
        <v>611</v>
      </c>
      <c r="X236" s="543"/>
      <c r="Y236" s="397"/>
      <c r="Z236" s="382"/>
      <c r="AA236" s="398" t="s">
        <v>606</v>
      </c>
      <c r="AB236" s="728" t="s">
        <v>794</v>
      </c>
      <c r="AC236" s="728"/>
      <c r="AD236" s="777">
        <f>S236*V236</f>
        <v>1920000</v>
      </c>
      <c r="AE236" s="125" t="s">
        <v>25</v>
      </c>
      <c r="AF236" s="783">
        <v>1920000</v>
      </c>
    </row>
    <row r="237" spans="1:32" s="12" customFormat="1" ht="21" customHeight="1">
      <c r="A237" s="40"/>
      <c r="B237" s="40"/>
      <c r="C237" s="40"/>
      <c r="D237" s="145"/>
      <c r="E237" s="97"/>
      <c r="F237" s="97"/>
      <c r="G237" s="97"/>
      <c r="H237" s="97"/>
      <c r="I237" s="97"/>
      <c r="J237" s="97"/>
      <c r="K237" s="97"/>
      <c r="L237" s="97"/>
      <c r="M237" s="97"/>
      <c r="N237" s="62"/>
      <c r="O237" s="746" t="s">
        <v>902</v>
      </c>
      <c r="P237" s="369"/>
      <c r="Q237" s="369"/>
      <c r="R237" s="369"/>
      <c r="S237" s="368">
        <v>1000</v>
      </c>
      <c r="T237" s="368" t="s">
        <v>244</v>
      </c>
      <c r="U237" s="369" t="s">
        <v>245</v>
      </c>
      <c r="V237" s="368">
        <v>100</v>
      </c>
      <c r="W237" s="368" t="s">
        <v>246</v>
      </c>
      <c r="X237" s="369" t="s">
        <v>245</v>
      </c>
      <c r="Y237" s="290">
        <v>2</v>
      </c>
      <c r="Z237" s="283" t="s">
        <v>249</v>
      </c>
      <c r="AA237" s="283" t="s">
        <v>247</v>
      </c>
      <c r="AB237" s="421" t="s">
        <v>150</v>
      </c>
      <c r="AC237" s="124"/>
      <c r="AD237" s="777">
        <f>S237*V237*Y237</f>
        <v>200000</v>
      </c>
      <c r="AE237" s="125" t="s">
        <v>678</v>
      </c>
      <c r="AF237" s="6">
        <v>200000</v>
      </c>
    </row>
    <row r="238" spans="1:32" s="10" customFormat="1" ht="21" customHeight="1">
      <c r="A238" s="40"/>
      <c r="B238" s="40"/>
      <c r="C238" s="53"/>
      <c r="D238" s="146"/>
      <c r="E238" s="152"/>
      <c r="F238" s="152"/>
      <c r="G238" s="152"/>
      <c r="H238" s="152"/>
      <c r="I238" s="152"/>
      <c r="J238" s="152"/>
      <c r="K238" s="152"/>
      <c r="L238" s="152"/>
      <c r="M238" s="121"/>
      <c r="N238" s="76"/>
      <c r="O238" s="399"/>
      <c r="P238" s="399"/>
      <c r="Q238" s="399"/>
      <c r="R238" s="399"/>
      <c r="S238" s="399"/>
      <c r="T238" s="122"/>
      <c r="U238" s="368"/>
      <c r="V238" s="283"/>
      <c r="W238" s="368"/>
      <c r="X238" s="368"/>
      <c r="Y238" s="368"/>
      <c r="Z238" s="368"/>
      <c r="AA238" s="368"/>
      <c r="AB238" s="368"/>
      <c r="AC238" s="368"/>
      <c r="AD238" s="777"/>
      <c r="AE238" s="125"/>
      <c r="AF238" s="6"/>
    </row>
    <row r="239" spans="1:32" s="10" customFormat="1" ht="21" customHeight="1">
      <c r="A239" s="40"/>
      <c r="B239" s="40"/>
      <c r="C239" s="40" t="s">
        <v>79</v>
      </c>
      <c r="D239" s="118">
        <v>22715</v>
      </c>
      <c r="E239" s="97">
        <f>ROUND(AD239/1000,0)</f>
        <v>21905</v>
      </c>
      <c r="F239" s="102">
        <f>SUMIF($AB$240:$AB$246,"보조",$AD$240:$AD$246)/1000</f>
        <v>14400</v>
      </c>
      <c r="G239" s="102">
        <f>SUMIF($AB$240:$AB$246,"7종",$AD$240:$AD$246)/1000</f>
        <v>0</v>
      </c>
      <c r="H239" s="102">
        <f>SUMIF($AB$240:$AB$246,"4종",$AD$240:$AD$246)/1000</f>
        <v>0</v>
      </c>
      <c r="I239" s="102">
        <f>SUMIF($AB$240:$AB$246,"후원",$AD$240:$AD$246)/1000</f>
        <v>100</v>
      </c>
      <c r="J239" s="102">
        <f>SUMIF($AB$240:$AB$246,"입소",$AD$240:$AD$246)/1000</f>
        <v>7405</v>
      </c>
      <c r="K239" s="102">
        <f>SUMIF($AB$240:$AB$246,"법인",$AD$240:$AD$246)/1000</f>
        <v>0</v>
      </c>
      <c r="L239" s="102">
        <f>SUMIF($AB$240:$AB$246,"잡수",$AD$240:$AD$246)/1000</f>
        <v>0</v>
      </c>
      <c r="M239" s="97">
        <f>E239-D239</f>
        <v>-810</v>
      </c>
      <c r="N239" s="62">
        <f>IF(D239=0,0,M239/D239)</f>
        <v>-3.5659255998239048E-2</v>
      </c>
      <c r="O239" s="89" t="s">
        <v>84</v>
      </c>
      <c r="P239" s="85"/>
      <c r="Q239" s="85"/>
      <c r="R239" s="85"/>
      <c r="S239" s="85"/>
      <c r="T239" s="81"/>
      <c r="U239" s="81"/>
      <c r="V239" s="81"/>
      <c r="W239" s="81"/>
      <c r="X239" s="81"/>
      <c r="Y239" s="163" t="s">
        <v>135</v>
      </c>
      <c r="Z239" s="163"/>
      <c r="AA239" s="163"/>
      <c r="AB239" s="163"/>
      <c r="AC239" s="165"/>
      <c r="AD239" s="165">
        <f>SUM(AD240:AD246)</f>
        <v>21905000</v>
      </c>
      <c r="AE239" s="164" t="s">
        <v>25</v>
      </c>
      <c r="AF239" s="6"/>
    </row>
    <row r="240" spans="1:32" s="10" customFormat="1" ht="21" customHeight="1">
      <c r="A240" s="40"/>
      <c r="B240" s="40"/>
      <c r="C240" s="40"/>
      <c r="D240" s="145"/>
      <c r="E240" s="97"/>
      <c r="F240" s="97"/>
      <c r="G240" s="97"/>
      <c r="H240" s="97"/>
      <c r="I240" s="97"/>
      <c r="J240" s="97"/>
      <c r="K240" s="97"/>
      <c r="L240" s="97"/>
      <c r="M240" s="97"/>
      <c r="N240" s="62"/>
      <c r="O240" s="369" t="s">
        <v>282</v>
      </c>
      <c r="P240" s="369"/>
      <c r="Q240" s="369"/>
      <c r="R240" s="369"/>
      <c r="S240" s="368">
        <v>600000</v>
      </c>
      <c r="T240" s="289" t="s">
        <v>254</v>
      </c>
      <c r="U240" s="289" t="s">
        <v>26</v>
      </c>
      <c r="V240" s="368">
        <v>12</v>
      </c>
      <c r="W240" s="368" t="s">
        <v>258</v>
      </c>
      <c r="X240" s="283"/>
      <c r="Y240" s="397"/>
      <c r="Z240" s="382"/>
      <c r="AA240" s="398" t="s">
        <v>259</v>
      </c>
      <c r="AB240" s="368" t="s">
        <v>262</v>
      </c>
      <c r="AC240" s="368"/>
      <c r="AD240" s="777">
        <f>S240*V240</f>
        <v>7200000</v>
      </c>
      <c r="AE240" s="125" t="s">
        <v>25</v>
      </c>
      <c r="AF240" s="6">
        <v>7200000</v>
      </c>
    </row>
    <row r="241" spans="1:32" s="10" customFormat="1" ht="21" customHeight="1">
      <c r="A241" s="40"/>
      <c r="B241" s="40"/>
      <c r="C241" s="40"/>
      <c r="D241" s="145"/>
      <c r="E241" s="97"/>
      <c r="F241" s="97"/>
      <c r="G241" s="97"/>
      <c r="H241" s="97"/>
      <c r="I241" s="97"/>
      <c r="J241" s="97"/>
      <c r="K241" s="97"/>
      <c r="L241" s="97"/>
      <c r="M241" s="97"/>
      <c r="N241" s="62"/>
      <c r="O241" s="564"/>
      <c r="P241" s="564"/>
      <c r="Q241" s="564"/>
      <c r="R241" s="564"/>
      <c r="S241" s="728">
        <v>500000</v>
      </c>
      <c r="T241" s="289" t="s">
        <v>788</v>
      </c>
      <c r="U241" s="289" t="s">
        <v>26</v>
      </c>
      <c r="V241" s="728">
        <v>12</v>
      </c>
      <c r="W241" s="728" t="s">
        <v>816</v>
      </c>
      <c r="X241" s="397"/>
      <c r="Y241" s="397"/>
      <c r="Z241" s="382"/>
      <c r="AA241" s="398" t="s">
        <v>792</v>
      </c>
      <c r="AB241" s="728" t="s">
        <v>815</v>
      </c>
      <c r="AC241" s="728"/>
      <c r="AD241" s="777">
        <f>S241*V241</f>
        <v>6000000</v>
      </c>
      <c r="AE241" s="125" t="s">
        <v>25</v>
      </c>
      <c r="AF241" s="6">
        <v>6000000</v>
      </c>
    </row>
    <row r="242" spans="1:32" s="10" customFormat="1" ht="21" customHeight="1">
      <c r="A242" s="40"/>
      <c r="B242" s="40"/>
      <c r="C242" s="40"/>
      <c r="D242" s="145"/>
      <c r="E242" s="97"/>
      <c r="F242" s="97"/>
      <c r="G242" s="97"/>
      <c r="H242" s="97"/>
      <c r="I242" s="97"/>
      <c r="J242" s="97"/>
      <c r="K242" s="97"/>
      <c r="L242" s="97"/>
      <c r="M242" s="97"/>
      <c r="N242" s="62"/>
      <c r="O242" s="773" t="s">
        <v>969</v>
      </c>
      <c r="P242" s="369"/>
      <c r="Q242" s="369"/>
      <c r="R242" s="369"/>
      <c r="S242" s="728">
        <v>600000</v>
      </c>
      <c r="T242" s="289" t="s">
        <v>25</v>
      </c>
      <c r="U242" s="729" t="s">
        <v>26</v>
      </c>
      <c r="V242" s="728">
        <v>12</v>
      </c>
      <c r="W242" s="729" t="s">
        <v>29</v>
      </c>
      <c r="X242" s="729"/>
      <c r="Y242" s="728"/>
      <c r="Z242" s="728"/>
      <c r="AA242" s="728" t="s">
        <v>792</v>
      </c>
      <c r="AB242" s="728" t="s">
        <v>809</v>
      </c>
      <c r="AC242" s="728"/>
      <c r="AD242" s="777">
        <f>S242*V242</f>
        <v>7200000</v>
      </c>
      <c r="AE242" s="125" t="s">
        <v>788</v>
      </c>
      <c r="AF242" s="6">
        <v>7200000</v>
      </c>
    </row>
    <row r="243" spans="1:32" s="10" customFormat="1" ht="21" customHeight="1">
      <c r="A243" s="40"/>
      <c r="B243" s="40"/>
      <c r="C243" s="40"/>
      <c r="D243" s="145"/>
      <c r="E243" s="97"/>
      <c r="F243" s="97"/>
      <c r="G243" s="97"/>
      <c r="H243" s="97"/>
      <c r="I243" s="97"/>
      <c r="J243" s="97"/>
      <c r="K243" s="97"/>
      <c r="L243" s="97"/>
      <c r="M243" s="97"/>
      <c r="N243" s="62"/>
      <c r="O243" s="554"/>
      <c r="P243" s="554"/>
      <c r="Q243" s="554"/>
      <c r="R243" s="554"/>
      <c r="S243" s="728"/>
      <c r="T243" s="289"/>
      <c r="U243" s="729"/>
      <c r="V243" s="728"/>
      <c r="W243" s="729"/>
      <c r="X243" s="729"/>
      <c r="Y243" s="728" t="s">
        <v>817</v>
      </c>
      <c r="Z243" s="728"/>
      <c r="AA243" s="728"/>
      <c r="AB243" s="728" t="s">
        <v>809</v>
      </c>
      <c r="AC243" s="728"/>
      <c r="AD243" s="777">
        <v>0</v>
      </c>
      <c r="AE243" s="125" t="s">
        <v>788</v>
      </c>
      <c r="AF243" s="6">
        <v>810000</v>
      </c>
    </row>
    <row r="244" spans="1:32" s="10" customFormat="1" ht="21" customHeight="1">
      <c r="A244" s="40"/>
      <c r="B244" s="40"/>
      <c r="C244" s="40"/>
      <c r="D244" s="145"/>
      <c r="E244" s="97"/>
      <c r="F244" s="97"/>
      <c r="G244" s="97"/>
      <c r="H244" s="97"/>
      <c r="I244" s="97"/>
      <c r="J244" s="97"/>
      <c r="K244" s="97"/>
      <c r="L244" s="97"/>
      <c r="M244" s="97"/>
      <c r="N244" s="62"/>
      <c r="O244" s="369"/>
      <c r="P244" s="369"/>
      <c r="Q244" s="369"/>
      <c r="R244" s="369"/>
      <c r="S244" s="728"/>
      <c r="T244" s="289"/>
      <c r="U244" s="729"/>
      <c r="V244" s="728"/>
      <c r="W244" s="729"/>
      <c r="X244" s="728"/>
      <c r="Y244" s="728"/>
      <c r="Z244" s="728"/>
      <c r="AA244" s="728"/>
      <c r="AB244" s="728" t="s">
        <v>815</v>
      </c>
      <c r="AC244" s="728"/>
      <c r="AD244" s="777">
        <v>1405000</v>
      </c>
      <c r="AE244" s="125" t="s">
        <v>788</v>
      </c>
      <c r="AF244" s="6">
        <v>1405000</v>
      </c>
    </row>
    <row r="245" spans="1:32" s="10" customFormat="1" ht="21" customHeight="1">
      <c r="A245" s="40"/>
      <c r="B245" s="40"/>
      <c r="C245" s="40"/>
      <c r="D245" s="145"/>
      <c r="E245" s="97"/>
      <c r="F245" s="97"/>
      <c r="G245" s="97"/>
      <c r="H245" s="97"/>
      <c r="I245" s="97"/>
      <c r="J245" s="97"/>
      <c r="K245" s="97"/>
      <c r="L245" s="97"/>
      <c r="M245" s="97"/>
      <c r="N245" s="62"/>
      <c r="O245" s="420" t="s">
        <v>295</v>
      </c>
      <c r="P245" s="369"/>
      <c r="Q245" s="369"/>
      <c r="R245" s="369"/>
      <c r="S245" s="728"/>
      <c r="T245" s="289"/>
      <c r="U245" s="729"/>
      <c r="V245" s="728"/>
      <c r="W245" s="729"/>
      <c r="X245" s="728"/>
      <c r="Y245" s="728"/>
      <c r="Z245" s="728"/>
      <c r="AA245" s="728"/>
      <c r="AB245" s="745" t="s">
        <v>150</v>
      </c>
      <c r="AC245" s="745"/>
      <c r="AD245" s="777">
        <v>100000</v>
      </c>
      <c r="AE245" s="125" t="s">
        <v>56</v>
      </c>
      <c r="AF245" s="6">
        <v>100000</v>
      </c>
    </row>
    <row r="246" spans="1:32" s="10" customFormat="1" ht="21" customHeight="1">
      <c r="A246" s="40"/>
      <c r="B246" s="40"/>
      <c r="C246" s="40"/>
      <c r="D246" s="145"/>
      <c r="E246" s="97"/>
      <c r="F246" s="97"/>
      <c r="G246" s="97"/>
      <c r="H246" s="97"/>
      <c r="I246" s="97"/>
      <c r="J246" s="97"/>
      <c r="K246" s="97"/>
      <c r="L246" s="97"/>
      <c r="M246" s="97"/>
      <c r="N246" s="62"/>
      <c r="O246" s="369"/>
      <c r="P246" s="369"/>
      <c r="Q246" s="369"/>
      <c r="R246" s="369"/>
      <c r="S246" s="728"/>
      <c r="T246" s="289"/>
      <c r="U246" s="729"/>
      <c r="V246" s="728"/>
      <c r="W246" s="729"/>
      <c r="X246" s="728"/>
      <c r="Y246" s="728"/>
      <c r="Z246" s="728"/>
      <c r="AA246" s="728"/>
      <c r="AB246" s="728"/>
      <c r="AC246" s="728"/>
      <c r="AD246" s="777"/>
      <c r="AE246" s="125"/>
      <c r="AF246" s="6"/>
    </row>
    <row r="247" spans="1:32" s="10" customFormat="1" ht="21" customHeight="1">
      <c r="A247" s="40"/>
      <c r="B247" s="30" t="s">
        <v>85</v>
      </c>
      <c r="C247" s="159" t="s">
        <v>139</v>
      </c>
      <c r="D247" s="160">
        <f>SUM(D248,D253,D267,D274,D283,D294,D306,D312,D316,D320,D332,D340,D349)</f>
        <v>121007</v>
      </c>
      <c r="E247" s="160">
        <f>SUM(E248,E253,E267,E274,E283,E294,E306,E312,E316,E320,E332,E340,E349)</f>
        <v>108371</v>
      </c>
      <c r="F247" s="160">
        <f>SUM(F248,F253,F267,F274,F283,F294,F306,F312,F316,F320,F332,F340,F349)</f>
        <v>800</v>
      </c>
      <c r="G247" s="160">
        <f>SUM(G248,G253,G267,G274,G283,G294,G306,G312,G316,G320,G332,G340,G349)</f>
        <v>2200</v>
      </c>
      <c r="H247" s="160">
        <f>SUM(H248,H253,H267,H274,H283,H294,H306,H312,H316,H320,,H332,H340,H349)</f>
        <v>0</v>
      </c>
      <c r="I247" s="160">
        <f>SUM(I248,I253,I267,I274,I283,I294,I306,I312,I316,I320,I332,I340,I349)</f>
        <v>79105</v>
      </c>
      <c r="J247" s="160">
        <f>SUM(J248,J253,J267,J274,J283,J294,J306,J312,J316,J320,J332,J340,J349)</f>
        <v>25306</v>
      </c>
      <c r="K247" s="160">
        <f>SUM(K248,K253,K267,K274,K283,K294,K306,K312,K316,K320,K332,K340,K349)</f>
        <v>0</v>
      </c>
      <c r="L247" s="160">
        <f>SUM(L248,L253,L267,L274,L283,L294,L306,L312,L316,L320,L332,L340,L349)</f>
        <v>960</v>
      </c>
      <c r="M247" s="160">
        <f>E247-D247</f>
        <v>-12636</v>
      </c>
      <c r="N247" s="161">
        <f>IF(D247=0,0,M247/D247)</f>
        <v>-0.10442371102498203</v>
      </c>
      <c r="O247" s="162"/>
      <c r="P247" s="162"/>
      <c r="Q247" s="162"/>
      <c r="R247" s="162"/>
      <c r="S247" s="162"/>
      <c r="T247" s="163"/>
      <c r="U247" s="163"/>
      <c r="V247" s="163"/>
      <c r="W247" s="163"/>
      <c r="X247" s="163"/>
      <c r="Y247" s="163" t="s">
        <v>28</v>
      </c>
      <c r="Z247" s="163"/>
      <c r="AA247" s="163"/>
      <c r="AB247" s="163"/>
      <c r="AC247" s="165"/>
      <c r="AD247" s="165">
        <f>SUM(AD248,AD253,AD267,AD274,AD283,AD294,AD306,AD312,AD316,AD320,AD332,AD340,AD349)</f>
        <v>108371000</v>
      </c>
      <c r="AE247" s="164" t="s">
        <v>25</v>
      </c>
      <c r="AF247" s="6"/>
    </row>
    <row r="248" spans="1:32" s="13" customFormat="1" ht="24" customHeight="1">
      <c r="A248" s="40"/>
      <c r="B248" s="40" t="s">
        <v>298</v>
      </c>
      <c r="C248" s="30" t="s">
        <v>297</v>
      </c>
      <c r="D248" s="442">
        <v>17013</v>
      </c>
      <c r="E248" s="97">
        <f>ROUND(AD248/1000,0)</f>
        <v>11513</v>
      </c>
      <c r="F248" s="102">
        <f>SUMIF($AB$249:$AB$252,"보조",$AD$249:$AD$252)/1000</f>
        <v>0</v>
      </c>
      <c r="G248" s="102">
        <f>SUMIF($AB$249:$AB$252,"7종",$AD$249:$AD$252)/1000</f>
        <v>0</v>
      </c>
      <c r="H248" s="102">
        <f>SUMIF($AB$249:$AB$252,"4종",$AD$249:$AD$252)/1000</f>
        <v>0</v>
      </c>
      <c r="I248" s="102">
        <f>SUMIF($AB$249:$AB$252,"후원",$AD$249:$AD$252)/1000</f>
        <v>11046</v>
      </c>
      <c r="J248" s="102">
        <f>SUMIF($AB$249:$AB$252,"입소",$AD$249:$AD$252)/1000</f>
        <v>467</v>
      </c>
      <c r="K248" s="102">
        <f>SUMIF($AB$249:$AB$252,"법인",$AD$249:$AD$252)/1000</f>
        <v>0</v>
      </c>
      <c r="L248" s="102">
        <f>SUMIF($AB$249:$AB$252,"잡수",$AD$249:$AD$252)/1000</f>
        <v>0</v>
      </c>
      <c r="M248" s="97">
        <f>E248-D248</f>
        <v>-5500</v>
      </c>
      <c r="N248" s="62">
        <f>IF(D248=0,0,M248/D248)</f>
        <v>-0.32328219596778934</v>
      </c>
      <c r="O248" s="430"/>
      <c r="P248" s="151"/>
      <c r="Q248" s="151"/>
      <c r="R248" s="151"/>
      <c r="S248" s="151"/>
      <c r="T248" s="80"/>
      <c r="U248" s="80"/>
      <c r="V248" s="80"/>
      <c r="W248" s="133" t="s">
        <v>128</v>
      </c>
      <c r="X248" s="133"/>
      <c r="Y248" s="133"/>
      <c r="Z248" s="133"/>
      <c r="AA248" s="133"/>
      <c r="AB248" s="133"/>
      <c r="AC248" s="134"/>
      <c r="AD248" s="134">
        <f>SUM(AD249:AD252)</f>
        <v>11513000</v>
      </c>
      <c r="AE248" s="135" t="s">
        <v>25</v>
      </c>
      <c r="AF248" s="785"/>
    </row>
    <row r="249" spans="1:32" s="13" customFormat="1" ht="24" customHeight="1">
      <c r="A249" s="40"/>
      <c r="B249" s="40"/>
      <c r="C249" s="40" t="s">
        <v>298</v>
      </c>
      <c r="D249" s="148"/>
      <c r="E249" s="97"/>
      <c r="F249" s="97"/>
      <c r="G249" s="97"/>
      <c r="H249" s="97"/>
      <c r="I249" s="97"/>
      <c r="J249" s="97"/>
      <c r="K249" s="97"/>
      <c r="L249" s="97"/>
      <c r="M249" s="97"/>
      <c r="N249" s="62"/>
      <c r="O249" s="729" t="s">
        <v>836</v>
      </c>
      <c r="P249" s="729"/>
      <c r="Q249" s="729"/>
      <c r="R249" s="729"/>
      <c r="S249" s="729"/>
      <c r="T249" s="728"/>
      <c r="U249" s="728"/>
      <c r="V249" s="728"/>
      <c r="W249" s="728"/>
      <c r="X249" s="728"/>
      <c r="Y249" s="728"/>
      <c r="Z249" s="728"/>
      <c r="AA249" s="728"/>
      <c r="AB249" s="728" t="s">
        <v>794</v>
      </c>
      <c r="AC249" s="727"/>
      <c r="AD249" s="776">
        <v>5300000</v>
      </c>
      <c r="AE249" s="125" t="s">
        <v>788</v>
      </c>
      <c r="AF249" s="785">
        <v>10800000</v>
      </c>
    </row>
    <row r="250" spans="1:32" s="13" customFormat="1" ht="24" customHeight="1">
      <c r="A250" s="40"/>
      <c r="B250" s="40"/>
      <c r="C250" s="40"/>
      <c r="D250" s="148"/>
      <c r="E250" s="97"/>
      <c r="F250" s="97"/>
      <c r="G250" s="97"/>
      <c r="H250" s="97"/>
      <c r="I250" s="97"/>
      <c r="J250" s="97"/>
      <c r="K250" s="97"/>
      <c r="L250" s="97"/>
      <c r="M250" s="97"/>
      <c r="N250" s="62"/>
      <c r="O250" s="729" t="s">
        <v>844</v>
      </c>
      <c r="P250" s="729"/>
      <c r="Q250" s="729"/>
      <c r="R250" s="729"/>
      <c r="S250" s="728"/>
      <c r="T250" s="728"/>
      <c r="U250" s="729"/>
      <c r="V250" s="728"/>
      <c r="W250" s="728"/>
      <c r="X250" s="728"/>
      <c r="Y250" s="728"/>
      <c r="Z250" s="728"/>
      <c r="AA250" s="728"/>
      <c r="AB250" s="728" t="s">
        <v>815</v>
      </c>
      <c r="AC250" s="728"/>
      <c r="AD250" s="777">
        <v>467000</v>
      </c>
      <c r="AE250" s="125" t="s">
        <v>25</v>
      </c>
      <c r="AF250" s="785">
        <v>467000</v>
      </c>
    </row>
    <row r="251" spans="1:32" s="13" customFormat="1" ht="24" customHeight="1">
      <c r="A251" s="40"/>
      <c r="B251" s="40"/>
      <c r="C251" s="40"/>
      <c r="D251" s="145"/>
      <c r="E251" s="97"/>
      <c r="F251" s="97"/>
      <c r="G251" s="97"/>
      <c r="H251" s="97"/>
      <c r="I251" s="97"/>
      <c r="J251" s="97"/>
      <c r="K251" s="97"/>
      <c r="L251" s="97"/>
      <c r="M251" s="97"/>
      <c r="N251" s="62"/>
      <c r="O251" s="736" t="s">
        <v>848</v>
      </c>
      <c r="P251" s="729"/>
      <c r="Q251" s="729"/>
      <c r="R251" s="729"/>
      <c r="S251" s="728"/>
      <c r="T251" s="289"/>
      <c r="U251" s="289"/>
      <c r="V251" s="728"/>
      <c r="W251" s="729"/>
      <c r="X251" s="728"/>
      <c r="Y251" s="399"/>
      <c r="Z251" s="399"/>
      <c r="AA251" s="399"/>
      <c r="AB251" s="728" t="s">
        <v>794</v>
      </c>
      <c r="AC251" s="399"/>
      <c r="AD251" s="431">
        <v>5746000</v>
      </c>
      <c r="AE251" s="401" t="s">
        <v>788</v>
      </c>
      <c r="AF251" s="785">
        <v>5746000</v>
      </c>
    </row>
    <row r="252" spans="1:32" s="13" customFormat="1" ht="24" customHeight="1">
      <c r="A252" s="40"/>
      <c r="B252" s="40"/>
      <c r="C252" s="53"/>
      <c r="D252" s="146"/>
      <c r="E252" s="99"/>
      <c r="F252" s="99"/>
      <c r="G252" s="99"/>
      <c r="H252" s="99"/>
      <c r="I252" s="99"/>
      <c r="J252" s="99"/>
      <c r="K252" s="99"/>
      <c r="L252" s="99"/>
      <c r="M252" s="99"/>
      <c r="N252" s="76"/>
      <c r="O252" s="731"/>
      <c r="P252" s="731"/>
      <c r="Q252" s="731"/>
      <c r="R252" s="731"/>
      <c r="S252" s="730"/>
      <c r="T252" s="730"/>
      <c r="U252" s="731"/>
      <c r="V252" s="730"/>
      <c r="W252" s="730"/>
      <c r="X252" s="730"/>
      <c r="Y252" s="730"/>
      <c r="Z252" s="730"/>
      <c r="AA252" s="730"/>
      <c r="AB252" s="730"/>
      <c r="AC252" s="730"/>
      <c r="AD252" s="778"/>
      <c r="AE252" s="393"/>
      <c r="AF252" s="785"/>
    </row>
    <row r="253" spans="1:32" s="13" customFormat="1" ht="24" customHeight="1">
      <c r="A253" s="40"/>
      <c r="B253" s="40"/>
      <c r="C253" s="30" t="s">
        <v>299</v>
      </c>
      <c r="D253" s="147">
        <v>11260</v>
      </c>
      <c r="E253" s="97">
        <f>ROUND(AD253/1000,0)</f>
        <v>11540</v>
      </c>
      <c r="F253" s="102">
        <f>SUMIF($AB$254:$AB$266,"보조",$AD$254:$AD$266)/1000</f>
        <v>800</v>
      </c>
      <c r="G253" s="102">
        <f>SUMIF($AB$254:$AB$266,"7종",$AD$254:$AD$266)/1000</f>
        <v>0</v>
      </c>
      <c r="H253" s="102">
        <f>SUMIF($AB$254:$AB$266,"4종",$AD$254:$AD$266)/1000</f>
        <v>0</v>
      </c>
      <c r="I253" s="102">
        <f>SUMIF($AB$254:$AB$266,"후원",$AD$254:$AD$266)/1000</f>
        <v>6800</v>
      </c>
      <c r="J253" s="102">
        <f>SUMIF($AB$254:$AB$266,"입소",$AD$254:$AD$266)/1000</f>
        <v>3940</v>
      </c>
      <c r="K253" s="102">
        <f>SUMIF($AB$254:$AB$266,"법인",$AD$254:$AD$266)/1000</f>
        <v>0</v>
      </c>
      <c r="L253" s="102">
        <f>SUMIF($AB$254:$AB$266,"잡수",$AD$254:$AD$266)/1000</f>
        <v>0</v>
      </c>
      <c r="M253" s="97">
        <f>E253-D253</f>
        <v>280</v>
      </c>
      <c r="N253" s="62">
        <f>IF(D253=0,0,M253/D253)</f>
        <v>2.4866785079928951E-2</v>
      </c>
      <c r="O253" s="280"/>
      <c r="P253" s="297"/>
      <c r="Q253" s="297"/>
      <c r="R253" s="435"/>
      <c r="S253" s="435"/>
      <c r="T253" s="435"/>
      <c r="U253" s="435"/>
      <c r="V253" s="435"/>
      <c r="W253" s="436" t="s">
        <v>128</v>
      </c>
      <c r="X253" s="436"/>
      <c r="Y253" s="436"/>
      <c r="Z253" s="436"/>
      <c r="AA253" s="436"/>
      <c r="AB253" s="436"/>
      <c r="AC253" s="437"/>
      <c r="AD253" s="437">
        <f>SUM(AD254:AD266)</f>
        <v>11540000</v>
      </c>
      <c r="AE253" s="438" t="s">
        <v>25</v>
      </c>
      <c r="AF253" s="785"/>
    </row>
    <row r="254" spans="1:32" s="13" customFormat="1" ht="24" customHeight="1">
      <c r="A254" s="40"/>
      <c r="B254" s="40"/>
      <c r="C254" s="40" t="s">
        <v>298</v>
      </c>
      <c r="D254" s="148"/>
      <c r="E254" s="97"/>
      <c r="F254" s="97"/>
      <c r="G254" s="97"/>
      <c r="H254" s="97"/>
      <c r="I254" s="97"/>
      <c r="J254" s="97"/>
      <c r="K254" s="97"/>
      <c r="L254" s="97"/>
      <c r="M254" s="97"/>
      <c r="N254" s="62"/>
      <c r="O254" s="741" t="s">
        <v>901</v>
      </c>
      <c r="P254" s="427"/>
      <c r="Q254" s="427"/>
      <c r="R254" s="427"/>
      <c r="S254" s="427"/>
      <c r="T254" s="426"/>
      <c r="U254" s="426"/>
      <c r="V254" s="426"/>
      <c r="W254" s="426"/>
      <c r="X254" s="426"/>
      <c r="Y254" s="426"/>
      <c r="Z254" s="426"/>
      <c r="AA254" s="426"/>
      <c r="AB254" s="426"/>
      <c r="AC254" s="124"/>
      <c r="AD254" s="776"/>
      <c r="AE254" s="125"/>
      <c r="AF254" s="785"/>
    </row>
    <row r="255" spans="1:32" s="13" customFormat="1" ht="24" customHeight="1">
      <c r="A255" s="40"/>
      <c r="B255" s="40"/>
      <c r="C255" s="40"/>
      <c r="D255" s="148"/>
      <c r="E255" s="97"/>
      <c r="F255" s="97"/>
      <c r="G255" s="97"/>
      <c r="H255" s="97"/>
      <c r="I255" s="97"/>
      <c r="J255" s="97"/>
      <c r="K255" s="97"/>
      <c r="L255" s="97"/>
      <c r="M255" s="97"/>
      <c r="N255" s="62"/>
      <c r="O255" s="429" t="s">
        <v>321</v>
      </c>
      <c r="P255" s="394"/>
      <c r="Q255" s="394"/>
      <c r="R255" s="390"/>
      <c r="S255" s="428">
        <v>30000</v>
      </c>
      <c r="T255" s="289" t="s">
        <v>56</v>
      </c>
      <c r="U255" s="289" t="s">
        <v>26</v>
      </c>
      <c r="V255" s="428">
        <v>4</v>
      </c>
      <c r="W255" s="429" t="s">
        <v>322</v>
      </c>
      <c r="X255" s="428"/>
      <c r="Y255" s="400"/>
      <c r="Z255" s="400" t="s">
        <v>53</v>
      </c>
      <c r="AA255" s="400"/>
      <c r="AB255" s="557" t="s">
        <v>577</v>
      </c>
      <c r="AC255" s="557"/>
      <c r="AD255" s="747">
        <v>120000</v>
      </c>
      <c r="AE255" s="401" t="s">
        <v>644</v>
      </c>
      <c r="AF255" s="785">
        <v>120000</v>
      </c>
    </row>
    <row r="256" spans="1:32" s="13" customFormat="1" ht="24" customHeight="1">
      <c r="A256" s="40"/>
      <c r="B256" s="40"/>
      <c r="C256" s="40"/>
      <c r="D256" s="148"/>
      <c r="E256" s="97"/>
      <c r="F256" s="97"/>
      <c r="G256" s="97"/>
      <c r="H256" s="97"/>
      <c r="I256" s="97"/>
      <c r="J256" s="97"/>
      <c r="K256" s="97"/>
      <c r="L256" s="97"/>
      <c r="M256" s="97"/>
      <c r="N256" s="62"/>
      <c r="O256" s="429" t="s">
        <v>323</v>
      </c>
      <c r="P256" s="394"/>
      <c r="Q256" s="394"/>
      <c r="R256" s="390"/>
      <c r="S256" s="428">
        <v>100000</v>
      </c>
      <c r="T256" s="289" t="s">
        <v>56</v>
      </c>
      <c r="U256" s="289" t="s">
        <v>26</v>
      </c>
      <c r="V256" s="403">
        <v>4</v>
      </c>
      <c r="W256" s="289" t="s">
        <v>26</v>
      </c>
      <c r="X256" s="289">
        <v>2</v>
      </c>
      <c r="Y256" s="400" t="s">
        <v>324</v>
      </c>
      <c r="Z256" s="400" t="s">
        <v>53</v>
      </c>
      <c r="AA256" s="400"/>
      <c r="AB256" s="269" t="s">
        <v>577</v>
      </c>
      <c r="AC256" s="557"/>
      <c r="AD256" s="747">
        <v>800000</v>
      </c>
      <c r="AE256" s="401" t="s">
        <v>644</v>
      </c>
      <c r="AF256" s="785">
        <v>800000</v>
      </c>
    </row>
    <row r="257" spans="1:33" s="13" customFormat="1" ht="24" customHeight="1">
      <c r="A257" s="40"/>
      <c r="B257" s="40"/>
      <c r="C257" s="40"/>
      <c r="D257" s="148"/>
      <c r="E257" s="97"/>
      <c r="F257" s="97"/>
      <c r="G257" s="97"/>
      <c r="H257" s="97"/>
      <c r="I257" s="97"/>
      <c r="J257" s="97"/>
      <c r="K257" s="97"/>
      <c r="L257" s="97"/>
      <c r="M257" s="97"/>
      <c r="N257" s="62"/>
      <c r="O257" s="510" t="s">
        <v>513</v>
      </c>
      <c r="P257" s="394"/>
      <c r="Q257" s="394"/>
      <c r="R257" s="390"/>
      <c r="S257" s="390"/>
      <c r="T257" s="390"/>
      <c r="U257" s="390"/>
      <c r="V257" s="390"/>
      <c r="W257" s="395"/>
      <c r="X257" s="395"/>
      <c r="Y257" s="395"/>
      <c r="Z257" s="395"/>
      <c r="AA257" s="395"/>
      <c r="AB257" s="557" t="s">
        <v>577</v>
      </c>
      <c r="AC257" s="558"/>
      <c r="AD257" s="776">
        <v>300000</v>
      </c>
      <c r="AE257" s="125" t="s">
        <v>644</v>
      </c>
      <c r="AF257" s="785">
        <v>300000</v>
      </c>
    </row>
    <row r="258" spans="1:33" s="13" customFormat="1" ht="24" customHeight="1">
      <c r="A258" s="40"/>
      <c r="B258" s="40"/>
      <c r="C258" s="40"/>
      <c r="D258" s="148"/>
      <c r="E258" s="97"/>
      <c r="F258" s="97"/>
      <c r="G258" s="97"/>
      <c r="H258" s="97"/>
      <c r="I258" s="97"/>
      <c r="J258" s="97"/>
      <c r="K258" s="97"/>
      <c r="L258" s="97"/>
      <c r="M258" s="97"/>
      <c r="N258" s="62"/>
      <c r="O258" s="514" t="s">
        <v>516</v>
      </c>
      <c r="P258" s="252"/>
      <c r="Q258" s="252"/>
      <c r="R258" s="248"/>
      <c r="S258" s="248"/>
      <c r="T258" s="248"/>
      <c r="U258" s="248"/>
      <c r="V258" s="248"/>
      <c r="W258" s="253"/>
      <c r="X258" s="253"/>
      <c r="Y258" s="253"/>
      <c r="Z258" s="253"/>
      <c r="AA258" s="253"/>
      <c r="AB258" s="557" t="s">
        <v>577</v>
      </c>
      <c r="AC258" s="558"/>
      <c r="AD258" s="776">
        <v>30000</v>
      </c>
      <c r="AE258" s="125" t="s">
        <v>644</v>
      </c>
      <c r="AF258" s="785">
        <v>30000</v>
      </c>
    </row>
    <row r="259" spans="1:33" s="13" customFormat="1" ht="24" customHeight="1">
      <c r="A259" s="40"/>
      <c r="B259" s="40"/>
      <c r="C259" s="40"/>
      <c r="D259" s="148"/>
      <c r="E259" s="97"/>
      <c r="F259" s="97"/>
      <c r="G259" s="97"/>
      <c r="H259" s="97"/>
      <c r="I259" s="97"/>
      <c r="J259" s="97"/>
      <c r="K259" s="97"/>
      <c r="L259" s="97"/>
      <c r="M259" s="97"/>
      <c r="N259" s="62"/>
      <c r="O259" s="534" t="s">
        <v>547</v>
      </c>
      <c r="P259" s="394"/>
      <c r="Q259" s="394"/>
      <c r="R259" s="390"/>
      <c r="S259" s="428">
        <v>100000</v>
      </c>
      <c r="T259" s="289" t="s">
        <v>56</v>
      </c>
      <c r="U259" s="289" t="s">
        <v>26</v>
      </c>
      <c r="V259" s="404">
        <v>3</v>
      </c>
      <c r="W259" s="289" t="s">
        <v>26</v>
      </c>
      <c r="X259" s="289">
        <v>4</v>
      </c>
      <c r="Y259" s="400" t="s">
        <v>64</v>
      </c>
      <c r="Z259" s="400" t="s">
        <v>53</v>
      </c>
      <c r="AA259" s="400"/>
      <c r="AB259" s="269" t="s">
        <v>577</v>
      </c>
      <c r="AC259" s="557"/>
      <c r="AD259" s="747">
        <v>1600000</v>
      </c>
      <c r="AE259" s="401" t="s">
        <v>644</v>
      </c>
      <c r="AF259" s="785">
        <v>1600000</v>
      </c>
    </row>
    <row r="260" spans="1:33" s="13" customFormat="1" ht="24" customHeight="1">
      <c r="A260" s="40"/>
      <c r="B260" s="40"/>
      <c r="C260" s="40"/>
      <c r="D260" s="148"/>
      <c r="E260" s="97"/>
      <c r="F260" s="97"/>
      <c r="G260" s="97"/>
      <c r="H260" s="97"/>
      <c r="I260" s="97"/>
      <c r="J260" s="97"/>
      <c r="K260" s="97"/>
      <c r="L260" s="97"/>
      <c r="M260" s="97"/>
      <c r="N260" s="62"/>
      <c r="O260" s="429"/>
      <c r="P260" s="834" t="s">
        <v>517</v>
      </c>
      <c r="Q260" s="834"/>
      <c r="R260" s="834"/>
      <c r="S260" s="513">
        <v>100000</v>
      </c>
      <c r="T260" s="289" t="s">
        <v>518</v>
      </c>
      <c r="U260" s="289" t="s">
        <v>26</v>
      </c>
      <c r="V260" s="404">
        <v>1</v>
      </c>
      <c r="W260" s="289" t="s">
        <v>26</v>
      </c>
      <c r="X260" s="289">
        <v>8</v>
      </c>
      <c r="Y260" s="400" t="s">
        <v>519</v>
      </c>
      <c r="Z260" s="400" t="s">
        <v>520</v>
      </c>
      <c r="AA260" s="400"/>
      <c r="AB260" s="513" t="s">
        <v>521</v>
      </c>
      <c r="AC260" s="400"/>
      <c r="AD260" s="747">
        <v>800000</v>
      </c>
      <c r="AE260" s="401" t="s">
        <v>644</v>
      </c>
      <c r="AF260" s="785">
        <v>800000</v>
      </c>
    </row>
    <row r="261" spans="1:33" s="13" customFormat="1" ht="24" customHeight="1">
      <c r="A261" s="40"/>
      <c r="B261" s="40"/>
      <c r="C261" s="40"/>
      <c r="D261" s="148"/>
      <c r="E261" s="97"/>
      <c r="F261" s="97"/>
      <c r="G261" s="97"/>
      <c r="H261" s="97"/>
      <c r="I261" s="97"/>
      <c r="J261" s="97"/>
      <c r="K261" s="97"/>
      <c r="L261" s="97"/>
      <c r="M261" s="97"/>
      <c r="N261" s="62"/>
      <c r="O261" s="729" t="s">
        <v>818</v>
      </c>
      <c r="P261" s="729"/>
      <c r="Q261" s="729"/>
      <c r="R261" s="729"/>
      <c r="S261" s="729"/>
      <c r="T261" s="728"/>
      <c r="U261" s="728"/>
      <c r="V261" s="728"/>
      <c r="W261" s="728"/>
      <c r="X261" s="728"/>
      <c r="Y261" s="728"/>
      <c r="Z261" s="728"/>
      <c r="AA261" s="728"/>
      <c r="AB261" s="728" t="s">
        <v>815</v>
      </c>
      <c r="AC261" s="727"/>
      <c r="AD261" s="776">
        <v>1450000</v>
      </c>
      <c r="AE261" s="125" t="s">
        <v>788</v>
      </c>
      <c r="AF261" s="785">
        <v>1450000</v>
      </c>
      <c r="AG261" s="14"/>
    </row>
    <row r="262" spans="1:33" s="13" customFormat="1" ht="24" customHeight="1">
      <c r="A262" s="40"/>
      <c r="B262" s="40"/>
      <c r="C262" s="40"/>
      <c r="D262" s="148"/>
      <c r="E262" s="97"/>
      <c r="F262" s="97"/>
      <c r="G262" s="97"/>
      <c r="H262" s="97"/>
      <c r="I262" s="97"/>
      <c r="J262" s="97"/>
      <c r="K262" s="97"/>
      <c r="L262" s="97"/>
      <c r="M262" s="97"/>
      <c r="N262" s="62"/>
      <c r="O262" s="729" t="s">
        <v>819</v>
      </c>
      <c r="P262" s="729"/>
      <c r="Q262" s="729"/>
      <c r="R262" s="729"/>
      <c r="S262" s="729"/>
      <c r="T262" s="728"/>
      <c r="U262" s="728"/>
      <c r="V262" s="728"/>
      <c r="W262" s="728"/>
      <c r="X262" s="728"/>
      <c r="Y262" s="728"/>
      <c r="Z262" s="728"/>
      <c r="AA262" s="728"/>
      <c r="AB262" s="728" t="s">
        <v>815</v>
      </c>
      <c r="AC262" s="727"/>
      <c r="AD262" s="776">
        <v>1380000</v>
      </c>
      <c r="AE262" s="125" t="s">
        <v>788</v>
      </c>
      <c r="AF262" s="785">
        <v>1380000</v>
      </c>
      <c r="AG262" s="14"/>
    </row>
    <row r="263" spans="1:33" s="13" customFormat="1" ht="24" customHeight="1">
      <c r="A263" s="40"/>
      <c r="B263" s="40"/>
      <c r="C263" s="40"/>
      <c r="D263" s="148"/>
      <c r="E263" s="97"/>
      <c r="F263" s="97"/>
      <c r="G263" s="97"/>
      <c r="H263" s="97"/>
      <c r="I263" s="97"/>
      <c r="J263" s="97"/>
      <c r="K263" s="97"/>
      <c r="L263" s="97"/>
      <c r="M263" s="97"/>
      <c r="N263" s="62"/>
      <c r="O263" s="566" t="s">
        <v>640</v>
      </c>
      <c r="P263" s="545"/>
      <c r="Q263" s="545"/>
      <c r="R263" s="545"/>
      <c r="S263" s="545"/>
      <c r="T263" s="544"/>
      <c r="U263" s="544"/>
      <c r="V263" s="544"/>
      <c r="W263" s="544"/>
      <c r="X263" s="544"/>
      <c r="Y263" s="544"/>
      <c r="Z263" s="544"/>
      <c r="AA263" s="544"/>
      <c r="AB263" s="544" t="s">
        <v>574</v>
      </c>
      <c r="AC263" s="124"/>
      <c r="AD263" s="776">
        <v>270000</v>
      </c>
      <c r="AE263" s="125" t="s">
        <v>644</v>
      </c>
      <c r="AF263" s="785">
        <v>240000</v>
      </c>
      <c r="AG263" s="14"/>
    </row>
    <row r="264" spans="1:33" s="13" customFormat="1" ht="24" customHeight="1">
      <c r="A264" s="40"/>
      <c r="B264" s="40"/>
      <c r="C264" s="40"/>
      <c r="D264" s="148"/>
      <c r="E264" s="97"/>
      <c r="F264" s="97"/>
      <c r="G264" s="97"/>
      <c r="H264" s="97"/>
      <c r="I264" s="97"/>
      <c r="J264" s="97"/>
      <c r="K264" s="97"/>
      <c r="L264" s="97"/>
      <c r="M264" s="97"/>
      <c r="N264" s="62"/>
      <c r="O264" s="767"/>
      <c r="P264" s="767"/>
      <c r="Q264" s="767"/>
      <c r="R264" s="767"/>
      <c r="S264" s="767"/>
      <c r="T264" s="766"/>
      <c r="U264" s="766"/>
      <c r="V264" s="766"/>
      <c r="W264" s="766"/>
      <c r="X264" s="766"/>
      <c r="Y264" s="766"/>
      <c r="Z264" s="766"/>
      <c r="AA264" s="766"/>
      <c r="AB264" s="766" t="s">
        <v>150</v>
      </c>
      <c r="AC264" s="765"/>
      <c r="AD264" s="776">
        <v>250000</v>
      </c>
      <c r="AE264" s="125" t="s">
        <v>56</v>
      </c>
      <c r="AF264" s="785">
        <v>0</v>
      </c>
      <c r="AG264" s="14"/>
    </row>
    <row r="265" spans="1:33" s="13" customFormat="1" ht="24" customHeight="1">
      <c r="A265" s="40"/>
      <c r="B265" s="40"/>
      <c r="C265" s="40"/>
      <c r="D265" s="148"/>
      <c r="E265" s="97"/>
      <c r="F265" s="97"/>
      <c r="G265" s="97"/>
      <c r="H265" s="97"/>
      <c r="I265" s="97"/>
      <c r="J265" s="97"/>
      <c r="K265" s="97"/>
      <c r="L265" s="97"/>
      <c r="M265" s="97"/>
      <c r="N265" s="62"/>
      <c r="O265" s="736" t="s">
        <v>845</v>
      </c>
      <c r="P265" s="736"/>
      <c r="Q265" s="736"/>
      <c r="R265" s="736"/>
      <c r="S265" s="736"/>
      <c r="T265" s="735"/>
      <c r="U265" s="735"/>
      <c r="V265" s="735"/>
      <c r="W265" s="735"/>
      <c r="X265" s="735"/>
      <c r="Y265" s="735"/>
      <c r="Z265" s="735"/>
      <c r="AA265" s="735"/>
      <c r="AB265" s="740" t="s">
        <v>895</v>
      </c>
      <c r="AC265" s="734"/>
      <c r="AD265" s="776">
        <v>3700000</v>
      </c>
      <c r="AE265" s="125" t="s">
        <v>846</v>
      </c>
      <c r="AF265" s="785">
        <v>3700000</v>
      </c>
      <c r="AG265" s="14"/>
    </row>
    <row r="266" spans="1:33" s="13" customFormat="1" ht="24" customHeight="1">
      <c r="A266" s="40"/>
      <c r="B266" s="40"/>
      <c r="C266" s="53"/>
      <c r="D266" s="149"/>
      <c r="E266" s="99"/>
      <c r="F266" s="99"/>
      <c r="G266" s="99"/>
      <c r="H266" s="99"/>
      <c r="I266" s="99"/>
      <c r="J266" s="99"/>
      <c r="K266" s="99"/>
      <c r="L266" s="99"/>
      <c r="M266" s="99"/>
      <c r="N266" s="76"/>
      <c r="O266" s="737" t="s">
        <v>847</v>
      </c>
      <c r="P266" s="425"/>
      <c r="Q266" s="425"/>
      <c r="R266" s="425"/>
      <c r="S266" s="425"/>
      <c r="T266" s="424"/>
      <c r="U266" s="424"/>
      <c r="V266" s="424"/>
      <c r="W266" s="424"/>
      <c r="X266" s="424"/>
      <c r="Y266" s="424"/>
      <c r="Z266" s="424"/>
      <c r="AA266" s="424"/>
      <c r="AB266" s="742" t="s">
        <v>896</v>
      </c>
      <c r="AC266" s="402"/>
      <c r="AD266" s="402">
        <v>840000</v>
      </c>
      <c r="AE266" s="125" t="s">
        <v>846</v>
      </c>
      <c r="AF266" s="785">
        <v>840000</v>
      </c>
      <c r="AG266" s="14"/>
    </row>
    <row r="267" spans="1:33" s="13" customFormat="1" ht="24" customHeight="1">
      <c r="A267" s="40"/>
      <c r="B267" s="40"/>
      <c r="C267" s="30" t="s">
        <v>300</v>
      </c>
      <c r="D267" s="442">
        <v>1321</v>
      </c>
      <c r="E267" s="101">
        <f>ROUND(AD267/1000,0)</f>
        <v>1035</v>
      </c>
      <c r="F267" s="102">
        <f>SUMIF($AB$268:$AB$273,"보조",$AD$268:$AD$273)/1000</f>
        <v>0</v>
      </c>
      <c r="G267" s="102">
        <f>SUMIF($AB$268:$AB$273,"7종",$AD$268:$AD$273)/1000</f>
        <v>0</v>
      </c>
      <c r="H267" s="102">
        <f>SUMIF($AB$268:$AB$273,"4종",$AD$268:$AD$273)/1000</f>
        <v>0</v>
      </c>
      <c r="I267" s="102">
        <f>SUMIF($AB$268:$AB$273,"후원",$AD$268:$AD$273)/1000</f>
        <v>725</v>
      </c>
      <c r="J267" s="102">
        <f>SUMIF($AB$268:$AB$273,"입소",$AD$268:$AD$273)/1000</f>
        <v>310</v>
      </c>
      <c r="K267" s="102">
        <f>SUMIF($AB$268:$AB$273,"법인",$AD$268:$AD$273)/1000</f>
        <v>0</v>
      </c>
      <c r="L267" s="102">
        <f>SUMIF($AB$268:$AB$273,"잡수",$AD$268:$AD$273)/1000</f>
        <v>0</v>
      </c>
      <c r="M267" s="101">
        <f>E267-D267</f>
        <v>-286</v>
      </c>
      <c r="N267" s="109">
        <f>IF(D267=0,0,M267/D267)</f>
        <v>-0.21650264950794854</v>
      </c>
      <c r="O267" s="280"/>
      <c r="P267" s="297"/>
      <c r="Q267" s="297"/>
      <c r="R267" s="435"/>
      <c r="S267" s="435"/>
      <c r="T267" s="435"/>
      <c r="U267" s="435"/>
      <c r="V267" s="435"/>
      <c r="W267" s="436" t="s">
        <v>128</v>
      </c>
      <c r="X267" s="436"/>
      <c r="Y267" s="436"/>
      <c r="Z267" s="436"/>
      <c r="AA267" s="436"/>
      <c r="AB267" s="436"/>
      <c r="AC267" s="437"/>
      <c r="AD267" s="437">
        <f>SUM(AD268:AD272)</f>
        <v>1035000</v>
      </c>
      <c r="AE267" s="438" t="s">
        <v>25</v>
      </c>
      <c r="AF267" s="785"/>
      <c r="AG267" s="14"/>
    </row>
    <row r="268" spans="1:33" s="13" customFormat="1" ht="24" customHeight="1">
      <c r="A268" s="40"/>
      <c r="B268" s="40"/>
      <c r="C268" s="40" t="s">
        <v>298</v>
      </c>
      <c r="D268" s="148"/>
      <c r="E268" s="97"/>
      <c r="F268" s="97"/>
      <c r="G268" s="97"/>
      <c r="H268" s="97"/>
      <c r="I268" s="97"/>
      <c r="J268" s="97"/>
      <c r="K268" s="97"/>
      <c r="L268" s="97"/>
      <c r="M268" s="97"/>
      <c r="N268" s="62"/>
      <c r="O268" s="427" t="s">
        <v>301</v>
      </c>
      <c r="P268" s="394"/>
      <c r="Q268" s="394"/>
      <c r="R268" s="390"/>
      <c r="S268" s="390"/>
      <c r="T268" s="390"/>
      <c r="U268" s="390"/>
      <c r="V268" s="390"/>
      <c r="W268" s="426"/>
      <c r="X268" s="426"/>
      <c r="Y268" s="426"/>
      <c r="Z268" s="426"/>
      <c r="AA268" s="426"/>
      <c r="AB268" s="269" t="s">
        <v>577</v>
      </c>
      <c r="AC268" s="272"/>
      <c r="AD268" s="776">
        <v>200000</v>
      </c>
      <c r="AE268" s="125" t="s">
        <v>644</v>
      </c>
      <c r="AF268" s="785">
        <v>200000</v>
      </c>
      <c r="AG268" s="14"/>
    </row>
    <row r="269" spans="1:33" s="13" customFormat="1" ht="24" customHeight="1">
      <c r="A269" s="40"/>
      <c r="B269" s="40"/>
      <c r="C269" s="40"/>
      <c r="D269" s="148"/>
      <c r="E269" s="97"/>
      <c r="F269" s="97"/>
      <c r="G269" s="97"/>
      <c r="H269" s="97"/>
      <c r="I269" s="97"/>
      <c r="J269" s="97"/>
      <c r="K269" s="97"/>
      <c r="L269" s="97"/>
      <c r="M269" s="97"/>
      <c r="N269" s="62"/>
      <c r="O269" s="729" t="s">
        <v>820</v>
      </c>
      <c r="P269" s="394"/>
      <c r="Q269" s="394"/>
      <c r="R269" s="390"/>
      <c r="S269" s="390"/>
      <c r="T269" s="390"/>
      <c r="U269" s="390"/>
      <c r="V269" s="390"/>
      <c r="W269" s="728"/>
      <c r="X269" s="728"/>
      <c r="Y269" s="728"/>
      <c r="Z269" s="728"/>
      <c r="AA269" s="728"/>
      <c r="AB269" s="728" t="s">
        <v>794</v>
      </c>
      <c r="AC269" s="727"/>
      <c r="AD269" s="776">
        <v>525000</v>
      </c>
      <c r="AE269" s="125" t="s">
        <v>788</v>
      </c>
      <c r="AF269" s="785">
        <v>525000</v>
      </c>
      <c r="AG269" s="14"/>
    </row>
    <row r="270" spans="1:33" s="13" customFormat="1" ht="24" customHeight="1">
      <c r="A270" s="40"/>
      <c r="B270" s="40"/>
      <c r="C270" s="40"/>
      <c r="D270" s="145"/>
      <c r="E270" s="97"/>
      <c r="F270" s="97"/>
      <c r="G270" s="97"/>
      <c r="H270" s="97"/>
      <c r="I270" s="97"/>
      <c r="J270" s="97"/>
      <c r="K270" s="97"/>
      <c r="L270" s="97"/>
      <c r="M270" s="97"/>
      <c r="N270" s="62"/>
      <c r="O270" s="729" t="s">
        <v>821</v>
      </c>
      <c r="P270" s="729"/>
      <c r="Q270" s="729"/>
      <c r="R270" s="729"/>
      <c r="S270" s="728"/>
      <c r="T270" s="728"/>
      <c r="U270" s="729"/>
      <c r="V270" s="728"/>
      <c r="W270" s="728"/>
      <c r="X270" s="728"/>
      <c r="Y270" s="728"/>
      <c r="Z270" s="728"/>
      <c r="AA270" s="728"/>
      <c r="AB270" s="728" t="s">
        <v>815</v>
      </c>
      <c r="AC270" s="728"/>
      <c r="AD270" s="777">
        <v>70000</v>
      </c>
      <c r="AE270" s="125" t="s">
        <v>25</v>
      </c>
      <c r="AF270" s="785">
        <v>70000</v>
      </c>
      <c r="AG270" s="14"/>
    </row>
    <row r="271" spans="1:33" s="13" customFormat="1" ht="24" customHeight="1">
      <c r="A271" s="40"/>
      <c r="B271" s="40"/>
      <c r="C271" s="40"/>
      <c r="D271" s="145"/>
      <c r="E271" s="97"/>
      <c r="F271" s="97"/>
      <c r="G271" s="97"/>
      <c r="H271" s="97"/>
      <c r="I271" s="97"/>
      <c r="J271" s="97"/>
      <c r="K271" s="97"/>
      <c r="L271" s="97"/>
      <c r="M271" s="97"/>
      <c r="N271" s="62"/>
      <c r="O271" s="729" t="s">
        <v>822</v>
      </c>
      <c r="P271" s="729"/>
      <c r="Q271" s="729"/>
      <c r="R271" s="729"/>
      <c r="S271" s="728"/>
      <c r="T271" s="728"/>
      <c r="U271" s="729"/>
      <c r="V271" s="728"/>
      <c r="W271" s="728"/>
      <c r="X271" s="728"/>
      <c r="Y271" s="728"/>
      <c r="Z271" s="728"/>
      <c r="AA271" s="728"/>
      <c r="AB271" s="728" t="s">
        <v>815</v>
      </c>
      <c r="AC271" s="728"/>
      <c r="AD271" s="777">
        <v>240000</v>
      </c>
      <c r="AE271" s="125" t="s">
        <v>788</v>
      </c>
      <c r="AF271" s="785">
        <v>240000</v>
      </c>
    </row>
    <row r="272" spans="1:33" s="13" customFormat="1" ht="24" customHeight="1">
      <c r="A272" s="40"/>
      <c r="B272" s="40"/>
      <c r="C272" s="40"/>
      <c r="D272" s="145"/>
      <c r="E272" s="97"/>
      <c r="F272" s="97"/>
      <c r="G272" s="97"/>
      <c r="H272" s="97"/>
      <c r="I272" s="97"/>
      <c r="J272" s="97"/>
      <c r="K272" s="97"/>
      <c r="L272" s="97"/>
      <c r="M272" s="97"/>
      <c r="N272" s="62"/>
      <c r="O272" s="729" t="s">
        <v>823</v>
      </c>
      <c r="P272" s="729"/>
      <c r="Q272" s="729"/>
      <c r="R272" s="729"/>
      <c r="S272" s="729"/>
      <c r="T272" s="728"/>
      <c r="U272" s="728"/>
      <c r="V272" s="728"/>
      <c r="W272" s="728"/>
      <c r="X272" s="728"/>
      <c r="Y272" s="728"/>
      <c r="Z272" s="728"/>
      <c r="AA272" s="728"/>
      <c r="AB272" s="728" t="s">
        <v>794</v>
      </c>
      <c r="AC272" s="727"/>
      <c r="AD272" s="777">
        <v>0</v>
      </c>
      <c r="AE272" s="125" t="s">
        <v>25</v>
      </c>
      <c r="AF272" s="785">
        <v>286000</v>
      </c>
    </row>
    <row r="273" spans="1:32" s="13" customFormat="1" ht="24" customHeight="1">
      <c r="A273" s="40"/>
      <c r="B273" s="40"/>
      <c r="C273" s="53"/>
      <c r="D273" s="146"/>
      <c r="E273" s="99"/>
      <c r="F273" s="99"/>
      <c r="G273" s="99"/>
      <c r="H273" s="99"/>
      <c r="I273" s="99"/>
      <c r="J273" s="99"/>
      <c r="K273" s="99"/>
      <c r="L273" s="99"/>
      <c r="M273" s="99"/>
      <c r="N273" s="76"/>
      <c r="O273" s="425"/>
      <c r="P273" s="425"/>
      <c r="Q273" s="425"/>
      <c r="R273" s="425"/>
      <c r="S273" s="425"/>
      <c r="T273" s="424"/>
      <c r="U273" s="424"/>
      <c r="V273" s="424"/>
      <c r="W273" s="424"/>
      <c r="X273" s="424"/>
      <c r="Y273" s="424"/>
      <c r="Z273" s="424"/>
      <c r="AA273" s="424"/>
      <c r="AB273" s="424"/>
      <c r="AC273" s="402"/>
      <c r="AD273" s="439"/>
      <c r="AE273" s="393"/>
      <c r="AF273" s="785"/>
    </row>
    <row r="274" spans="1:32" s="13" customFormat="1" ht="24" customHeight="1">
      <c r="A274" s="40"/>
      <c r="B274" s="40"/>
      <c r="C274" s="30" t="s">
        <v>302</v>
      </c>
      <c r="D274" s="147">
        <v>4278</v>
      </c>
      <c r="E274" s="101">
        <f>ROUND(AD274/1000,0)</f>
        <v>3028</v>
      </c>
      <c r="F274" s="102">
        <f>SUMIF($AB$275:$AB$282,"보조",$AD$275:$AD$282)/1000</f>
        <v>0</v>
      </c>
      <c r="G274" s="102">
        <f>SUMIF($AB$275:$AB$282,"7종",$AD$275:$AD$282)/1000</f>
        <v>0</v>
      </c>
      <c r="H274" s="102">
        <f>SUMIF($AB$275:$AB$282,"4종",$AD$275:$AD$282)/1000</f>
        <v>0</v>
      </c>
      <c r="I274" s="102">
        <f>SUMIF($AB$275:$AB$282,"후원",$AD$275:$AD$282)/1000</f>
        <v>2068</v>
      </c>
      <c r="J274" s="102">
        <f>SUMIF($AB$275:$AB$282,"입소",$AD$275:$AD$282)/1000</f>
        <v>0</v>
      </c>
      <c r="K274" s="102">
        <f>SUMIF($AB$275:$AB$282,"법인",$AD$275:$AD$282)/1000</f>
        <v>0</v>
      </c>
      <c r="L274" s="102">
        <f>SUMIF($AB$275:$AB$282,"잡수",$AD$275:$AD$282)/1000</f>
        <v>960</v>
      </c>
      <c r="M274" s="101">
        <f>E274-D274</f>
        <v>-1250</v>
      </c>
      <c r="N274" s="109">
        <f>IF(D274=0,0,M274/D274)</f>
        <v>-0.29219261337073399</v>
      </c>
      <c r="O274" s="280"/>
      <c r="P274" s="297"/>
      <c r="Q274" s="297"/>
      <c r="R274" s="435"/>
      <c r="S274" s="435"/>
      <c r="T274" s="435"/>
      <c r="U274" s="435"/>
      <c r="V274" s="435"/>
      <c r="W274" s="436" t="s">
        <v>128</v>
      </c>
      <c r="X274" s="436"/>
      <c r="Y274" s="436"/>
      <c r="Z274" s="436"/>
      <c r="AA274" s="436"/>
      <c r="AB274" s="436"/>
      <c r="AC274" s="437"/>
      <c r="AD274" s="437">
        <f>SUM(AD275:AD282)</f>
        <v>3028000</v>
      </c>
      <c r="AE274" s="438" t="s">
        <v>25</v>
      </c>
      <c r="AF274" s="785"/>
    </row>
    <row r="275" spans="1:32" s="13" customFormat="1" ht="24" customHeight="1">
      <c r="A275" s="40"/>
      <c r="B275" s="40"/>
      <c r="C275" s="40" t="s">
        <v>303</v>
      </c>
      <c r="D275" s="145"/>
      <c r="E275" s="97"/>
      <c r="F275" s="97"/>
      <c r="G275" s="97"/>
      <c r="H275" s="97"/>
      <c r="I275" s="97"/>
      <c r="J275" s="97"/>
      <c r="K275" s="97"/>
      <c r="L275" s="97"/>
      <c r="M275" s="97"/>
      <c r="N275" s="62"/>
      <c r="O275" s="399" t="s">
        <v>709</v>
      </c>
      <c r="P275" s="399"/>
      <c r="Q275" s="399"/>
      <c r="R275" s="399"/>
      <c r="S275" s="624"/>
      <c r="T275" s="289"/>
      <c r="U275" s="289"/>
      <c r="V275" s="624"/>
      <c r="W275" s="625"/>
      <c r="X275" s="624"/>
      <c r="Y275" s="399"/>
      <c r="Z275" s="399"/>
      <c r="AA275" s="399"/>
      <c r="AB275" s="399" t="s">
        <v>708</v>
      </c>
      <c r="AC275" s="399"/>
      <c r="AD275" s="431">
        <v>0</v>
      </c>
      <c r="AE275" s="401" t="s">
        <v>686</v>
      </c>
      <c r="AF275" s="785">
        <v>1000000</v>
      </c>
    </row>
    <row r="276" spans="1:32" s="13" customFormat="1" ht="24" customHeight="1">
      <c r="A276" s="40"/>
      <c r="B276" s="40"/>
      <c r="C276" s="40"/>
      <c r="D276" s="145"/>
      <c r="E276" s="97"/>
      <c r="F276" s="97"/>
      <c r="G276" s="97"/>
      <c r="H276" s="97"/>
      <c r="I276" s="97"/>
      <c r="J276" s="97"/>
      <c r="K276" s="97"/>
      <c r="L276" s="97"/>
      <c r="M276" s="97"/>
      <c r="N276" s="62"/>
      <c r="O276" s="399"/>
      <c r="P276" s="399"/>
      <c r="Q276" s="399"/>
      <c r="R276" s="399"/>
      <c r="S276" s="766"/>
      <c r="T276" s="289"/>
      <c r="U276" s="289"/>
      <c r="V276" s="766"/>
      <c r="W276" s="767"/>
      <c r="X276" s="766"/>
      <c r="Y276" s="399"/>
      <c r="Z276" s="399"/>
      <c r="AA276" s="399"/>
      <c r="AB276" s="399" t="s">
        <v>930</v>
      </c>
      <c r="AC276" s="399"/>
      <c r="AD276" s="431">
        <v>108000</v>
      </c>
      <c r="AE276" s="401" t="s">
        <v>931</v>
      </c>
      <c r="AF276" s="785">
        <v>0</v>
      </c>
    </row>
    <row r="277" spans="1:32" s="13" customFormat="1" ht="24" customHeight="1">
      <c r="A277" s="40"/>
      <c r="B277" s="40"/>
      <c r="C277" s="40"/>
      <c r="D277" s="145"/>
      <c r="E277" s="97"/>
      <c r="F277" s="97"/>
      <c r="G277" s="97"/>
      <c r="H277" s="97"/>
      <c r="I277" s="97"/>
      <c r="J277" s="97"/>
      <c r="K277" s="97"/>
      <c r="L277" s="97"/>
      <c r="M277" s="97"/>
      <c r="N277" s="62"/>
      <c r="O277" s="399" t="s">
        <v>632</v>
      </c>
      <c r="P277" s="399"/>
      <c r="Q277" s="399"/>
      <c r="R277" s="399"/>
      <c r="S277" s="563"/>
      <c r="T277" s="289"/>
      <c r="U277" s="289"/>
      <c r="V277" s="563"/>
      <c r="W277" s="564"/>
      <c r="X277" s="563"/>
      <c r="Y277" s="399"/>
      <c r="Z277" s="399"/>
      <c r="AA277" s="399"/>
      <c r="AB277" s="399" t="s">
        <v>622</v>
      </c>
      <c r="AC277" s="399"/>
      <c r="AD277" s="431">
        <v>260000</v>
      </c>
      <c r="AE277" s="401" t="s">
        <v>644</v>
      </c>
      <c r="AF277" s="785">
        <v>260000</v>
      </c>
    </row>
    <row r="278" spans="1:32" s="13" customFormat="1" ht="24" customHeight="1">
      <c r="A278" s="40"/>
      <c r="B278" s="40"/>
      <c r="C278" s="40"/>
      <c r="D278" s="145"/>
      <c r="E278" s="97"/>
      <c r="F278" s="97"/>
      <c r="G278" s="97"/>
      <c r="H278" s="97"/>
      <c r="I278" s="97"/>
      <c r="J278" s="97"/>
      <c r="K278" s="97"/>
      <c r="L278" s="97"/>
      <c r="M278" s="97"/>
      <c r="N278" s="62"/>
      <c r="O278" s="399" t="s">
        <v>630</v>
      </c>
      <c r="P278" s="399"/>
      <c r="Q278" s="399"/>
      <c r="R278" s="399"/>
      <c r="S278" s="563"/>
      <c r="T278" s="289"/>
      <c r="U278" s="289"/>
      <c r="V278" s="563"/>
      <c r="W278" s="564"/>
      <c r="X278" s="563"/>
      <c r="Y278" s="399"/>
      <c r="Z278" s="399"/>
      <c r="AA278" s="399"/>
      <c r="AB278" s="399" t="s">
        <v>622</v>
      </c>
      <c r="AC278" s="399"/>
      <c r="AD278" s="431">
        <v>1700000</v>
      </c>
      <c r="AE278" s="401" t="s">
        <v>644</v>
      </c>
      <c r="AF278" s="785">
        <v>1700000</v>
      </c>
    </row>
    <row r="279" spans="1:32" s="13" customFormat="1" ht="24" customHeight="1">
      <c r="A279" s="40"/>
      <c r="B279" s="40"/>
      <c r="C279" s="40"/>
      <c r="D279" s="145"/>
      <c r="E279" s="97"/>
      <c r="F279" s="97"/>
      <c r="G279" s="97"/>
      <c r="H279" s="97"/>
      <c r="I279" s="97"/>
      <c r="J279" s="97"/>
      <c r="K279" s="97"/>
      <c r="L279" s="97"/>
      <c r="M279" s="97"/>
      <c r="N279" s="62"/>
      <c r="O279" s="399" t="s">
        <v>824</v>
      </c>
      <c r="P279" s="399"/>
      <c r="Q279" s="399"/>
      <c r="R279" s="399"/>
      <c r="S279" s="728"/>
      <c r="T279" s="289"/>
      <c r="U279" s="289"/>
      <c r="V279" s="728"/>
      <c r="W279" s="729"/>
      <c r="X279" s="728"/>
      <c r="Y279" s="399"/>
      <c r="Z279" s="399"/>
      <c r="AA279" s="399"/>
      <c r="AB279" s="399" t="s">
        <v>794</v>
      </c>
      <c r="AC279" s="399"/>
      <c r="AD279" s="431">
        <v>0</v>
      </c>
      <c r="AE279" s="401" t="s">
        <v>788</v>
      </c>
      <c r="AF279" s="785">
        <v>150000</v>
      </c>
    </row>
    <row r="280" spans="1:32" s="13" customFormat="1" ht="24" customHeight="1">
      <c r="A280" s="40"/>
      <c r="B280" s="40"/>
      <c r="C280" s="40"/>
      <c r="D280" s="145"/>
      <c r="E280" s="97"/>
      <c r="F280" s="97"/>
      <c r="G280" s="97"/>
      <c r="H280" s="97"/>
      <c r="I280" s="97"/>
      <c r="J280" s="97"/>
      <c r="K280" s="97"/>
      <c r="L280" s="97"/>
      <c r="M280" s="97"/>
      <c r="N280" s="62"/>
      <c r="O280" s="399" t="s">
        <v>825</v>
      </c>
      <c r="P280" s="399"/>
      <c r="Q280" s="399"/>
      <c r="R280" s="399"/>
      <c r="S280" s="728"/>
      <c r="T280" s="289"/>
      <c r="U280" s="289"/>
      <c r="V280" s="728"/>
      <c r="W280" s="729"/>
      <c r="X280" s="728"/>
      <c r="Y280" s="399"/>
      <c r="Z280" s="399"/>
      <c r="AA280" s="399"/>
      <c r="AB280" s="399" t="s">
        <v>796</v>
      </c>
      <c r="AC280" s="399"/>
      <c r="AD280" s="431">
        <v>0</v>
      </c>
      <c r="AE280" s="401" t="s">
        <v>788</v>
      </c>
      <c r="AF280" s="785">
        <v>130000</v>
      </c>
    </row>
    <row r="281" spans="1:32" s="13" customFormat="1" ht="24" customHeight="1">
      <c r="A281" s="40"/>
      <c r="B281" s="40"/>
      <c r="C281" s="40"/>
      <c r="D281" s="145"/>
      <c r="E281" s="97"/>
      <c r="F281" s="97"/>
      <c r="G281" s="97"/>
      <c r="H281" s="97"/>
      <c r="I281" s="97"/>
      <c r="J281" s="97"/>
      <c r="K281" s="97"/>
      <c r="L281" s="97"/>
      <c r="M281" s="97"/>
      <c r="N281" s="62"/>
      <c r="O281" s="399" t="s">
        <v>849</v>
      </c>
      <c r="P281" s="399"/>
      <c r="Q281" s="399"/>
      <c r="R281" s="399"/>
      <c r="S281" s="735"/>
      <c r="T281" s="289"/>
      <c r="U281" s="289"/>
      <c r="V281" s="735"/>
      <c r="W281" s="736"/>
      <c r="X281" s="735"/>
      <c r="Y281" s="399"/>
      <c r="Z281" s="399"/>
      <c r="AA281" s="399"/>
      <c r="AB281" s="399" t="s">
        <v>89</v>
      </c>
      <c r="AC281" s="399"/>
      <c r="AD281" s="431">
        <v>0</v>
      </c>
      <c r="AE281" s="401" t="s">
        <v>846</v>
      </c>
      <c r="AF281" s="785">
        <v>78000</v>
      </c>
    </row>
    <row r="282" spans="1:32" s="13" customFormat="1" ht="24" customHeight="1">
      <c r="A282" s="40"/>
      <c r="B282" s="40"/>
      <c r="C282" s="53"/>
      <c r="D282" s="146"/>
      <c r="E282" s="99"/>
      <c r="F282" s="99"/>
      <c r="G282" s="99"/>
      <c r="H282" s="99"/>
      <c r="I282" s="99"/>
      <c r="J282" s="99"/>
      <c r="K282" s="99"/>
      <c r="L282" s="99"/>
      <c r="M282" s="99"/>
      <c r="N282" s="76"/>
      <c r="O282" s="432" t="s">
        <v>850</v>
      </c>
      <c r="P282" s="432"/>
      <c r="Q282" s="432"/>
      <c r="R282" s="432"/>
      <c r="S282" s="730"/>
      <c r="T282" s="392"/>
      <c r="U282" s="392"/>
      <c r="V282" s="730"/>
      <c r="W282" s="731"/>
      <c r="X282" s="730"/>
      <c r="Y282" s="432"/>
      <c r="Z282" s="432"/>
      <c r="AA282" s="432"/>
      <c r="AB282" s="432" t="s">
        <v>796</v>
      </c>
      <c r="AC282" s="432"/>
      <c r="AD282" s="433">
        <v>960000</v>
      </c>
      <c r="AE282" s="434" t="s">
        <v>788</v>
      </c>
      <c r="AF282" s="785">
        <v>960000</v>
      </c>
    </row>
    <row r="283" spans="1:32" s="13" customFormat="1" ht="24" customHeight="1">
      <c r="A283" s="40"/>
      <c r="B283" s="40"/>
      <c r="C283" s="30" t="s">
        <v>304</v>
      </c>
      <c r="D283" s="147">
        <v>13830</v>
      </c>
      <c r="E283" s="101">
        <f>ROUND(AD283/1000,0)</f>
        <v>10830</v>
      </c>
      <c r="F283" s="102">
        <f>SUMIF($AB$284:$AB$290,"보조",$AD$284:$AD$290)/1000</f>
        <v>0</v>
      </c>
      <c r="G283" s="102">
        <f>SUMIF($AB$284:$AB$290,"7종",$AD$284:$AD$290)/1000</f>
        <v>0</v>
      </c>
      <c r="H283" s="102">
        <f>SUMIF($AB$284:$AB$290,"4종",$AD$284:$AD$290)/1000</f>
        <v>0</v>
      </c>
      <c r="I283" s="102">
        <f>SUMIF($AB$284:$AB$293,"후원",$AD$284:$AD$293)/1000</f>
        <v>10830</v>
      </c>
      <c r="J283" s="102">
        <f>SUMIF($AB$284:$AB$290,"입소",$AD$284:$AD$290)/1000</f>
        <v>0</v>
      </c>
      <c r="K283" s="102">
        <f>SUMIF($AB$284:$AB$290,"법인",$AD$284:$AD$290)/1000</f>
        <v>0</v>
      </c>
      <c r="L283" s="102">
        <f>SUMIF($AB$284:$AB$290,"잡수",$AD$284:$AD$290)/1000</f>
        <v>0</v>
      </c>
      <c r="M283" s="645">
        <f>E283-D283</f>
        <v>-3000</v>
      </c>
      <c r="N283" s="109">
        <f>IF(D283=0,0,M283/D283)</f>
        <v>-0.21691973969631237</v>
      </c>
      <c r="O283" s="280"/>
      <c r="P283" s="297"/>
      <c r="Q283" s="297"/>
      <c r="R283" s="435"/>
      <c r="S283" s="435"/>
      <c r="T283" s="435"/>
      <c r="U283" s="435"/>
      <c r="V283" s="435"/>
      <c r="W283" s="436" t="s">
        <v>128</v>
      </c>
      <c r="X283" s="436"/>
      <c r="Y283" s="436"/>
      <c r="Z283" s="436"/>
      <c r="AA283" s="436"/>
      <c r="AB283" s="436"/>
      <c r="AC283" s="437"/>
      <c r="AD283" s="437">
        <f>SUM(AD284:AD293)</f>
        <v>10830000</v>
      </c>
      <c r="AE283" s="438" t="s">
        <v>25</v>
      </c>
      <c r="AF283" s="785"/>
    </row>
    <row r="284" spans="1:32" s="13" customFormat="1" ht="24" customHeight="1">
      <c r="A284" s="40"/>
      <c r="B284" s="40"/>
      <c r="C284" s="40" t="s">
        <v>298</v>
      </c>
      <c r="D284" s="145"/>
      <c r="E284" s="97"/>
      <c r="F284" s="97"/>
      <c r="G284" s="97"/>
      <c r="H284" s="97"/>
      <c r="I284" s="97"/>
      <c r="J284" s="97"/>
      <c r="K284" s="97"/>
      <c r="L284" s="97"/>
      <c r="M284" s="97"/>
      <c r="N284" s="62"/>
      <c r="O284" s="566" t="s">
        <v>633</v>
      </c>
      <c r="P284" s="399"/>
      <c r="Q284" s="399"/>
      <c r="R284" s="399"/>
      <c r="S284" s="399"/>
      <c r="T284" s="399"/>
      <c r="U284" s="399"/>
      <c r="V284" s="399"/>
      <c r="W284" s="399"/>
      <c r="X284" s="399"/>
      <c r="Y284" s="399"/>
      <c r="Z284" s="399"/>
      <c r="AA284" s="399"/>
      <c r="AB284" s="399" t="s">
        <v>622</v>
      </c>
      <c r="AC284" s="399"/>
      <c r="AD284" s="431">
        <v>1000000</v>
      </c>
      <c r="AE284" s="401" t="s">
        <v>644</v>
      </c>
      <c r="AF284" s="785">
        <v>1900000</v>
      </c>
    </row>
    <row r="285" spans="1:32" s="13" customFormat="1" ht="24" customHeight="1">
      <c r="A285" s="40"/>
      <c r="B285" s="40"/>
      <c r="C285" s="40"/>
      <c r="D285" s="145"/>
      <c r="E285" s="97"/>
      <c r="F285" s="97"/>
      <c r="G285" s="97"/>
      <c r="H285" s="97"/>
      <c r="I285" s="97"/>
      <c r="J285" s="97"/>
      <c r="K285" s="97"/>
      <c r="L285" s="97"/>
      <c r="M285" s="97"/>
      <c r="N285" s="62"/>
      <c r="O285" s="729" t="s">
        <v>717</v>
      </c>
      <c r="P285" s="399"/>
      <c r="Q285" s="399"/>
      <c r="R285" s="399"/>
      <c r="S285" s="399"/>
      <c r="T285" s="399"/>
      <c r="U285" s="399"/>
      <c r="V285" s="399"/>
      <c r="W285" s="399"/>
      <c r="X285" s="399"/>
      <c r="Y285" s="399"/>
      <c r="Z285" s="399"/>
      <c r="AA285" s="399"/>
      <c r="AB285" s="399" t="s">
        <v>150</v>
      </c>
      <c r="AC285" s="399"/>
      <c r="AD285" s="431">
        <v>2500000</v>
      </c>
      <c r="AE285" s="401" t="s">
        <v>56</v>
      </c>
      <c r="AF285" s="786">
        <v>2500000</v>
      </c>
    </row>
    <row r="286" spans="1:32" s="13" customFormat="1" ht="24" customHeight="1">
      <c r="A286" s="40"/>
      <c r="B286" s="40"/>
      <c r="C286" s="40"/>
      <c r="D286" s="145"/>
      <c r="E286" s="97"/>
      <c r="F286" s="97"/>
      <c r="G286" s="97"/>
      <c r="H286" s="97"/>
      <c r="I286" s="97"/>
      <c r="J286" s="97"/>
      <c r="K286" s="97"/>
      <c r="L286" s="97"/>
      <c r="M286" s="97"/>
      <c r="N286" s="62"/>
      <c r="O286" s="741" t="s">
        <v>876</v>
      </c>
      <c r="P286" s="399"/>
      <c r="Q286" s="399"/>
      <c r="R286" s="399"/>
      <c r="S286" s="399"/>
      <c r="T286" s="399"/>
      <c r="U286" s="399"/>
      <c r="V286" s="399"/>
      <c r="W286" s="399"/>
      <c r="X286" s="399"/>
      <c r="Y286" s="399"/>
      <c r="Z286" s="399"/>
      <c r="AA286" s="399"/>
      <c r="AB286" s="399" t="s">
        <v>150</v>
      </c>
      <c r="AC286" s="399"/>
      <c r="AD286" s="431"/>
      <c r="AE286" s="401" t="s">
        <v>56</v>
      </c>
      <c r="AF286" s="786">
        <v>2100000</v>
      </c>
    </row>
    <row r="287" spans="1:32" s="13" customFormat="1" ht="24" customHeight="1">
      <c r="A287" s="40"/>
      <c r="B287" s="40"/>
      <c r="C287" s="40"/>
      <c r="D287" s="145"/>
      <c r="E287" s="97"/>
      <c r="F287" s="97"/>
      <c r="G287" s="97"/>
      <c r="H287" s="97"/>
      <c r="I287" s="97"/>
      <c r="J287" s="97"/>
      <c r="K287" s="97"/>
      <c r="L287" s="97"/>
      <c r="M287" s="97"/>
      <c r="N287" s="62"/>
      <c r="O287" s="729" t="s">
        <v>305</v>
      </c>
      <c r="P287" s="399"/>
      <c r="Q287" s="399"/>
      <c r="R287" s="399"/>
      <c r="S287" s="399"/>
      <c r="T287" s="399"/>
      <c r="U287" s="399"/>
      <c r="V287" s="399"/>
      <c r="W287" s="399"/>
      <c r="X287" s="399"/>
      <c r="Y287" s="399" t="s">
        <v>536</v>
      </c>
      <c r="Z287" s="399"/>
      <c r="AA287" s="399"/>
      <c r="AB287" s="399" t="s">
        <v>150</v>
      </c>
      <c r="AC287" s="399"/>
      <c r="AD287" s="431">
        <v>1800000</v>
      </c>
      <c r="AE287" s="401" t="s">
        <v>56</v>
      </c>
      <c r="AF287" s="786">
        <v>1800000</v>
      </c>
    </row>
    <row r="288" spans="1:32" s="13" customFormat="1" ht="24" customHeight="1">
      <c r="A288" s="40"/>
      <c r="B288" s="40"/>
      <c r="C288" s="40"/>
      <c r="D288" s="145"/>
      <c r="E288" s="97"/>
      <c r="F288" s="97"/>
      <c r="G288" s="97"/>
      <c r="H288" s="97"/>
      <c r="I288" s="97"/>
      <c r="J288" s="97"/>
      <c r="K288" s="97"/>
      <c r="L288" s="97"/>
      <c r="M288" s="97"/>
      <c r="N288" s="62"/>
      <c r="O288" s="741" t="s">
        <v>877</v>
      </c>
      <c r="P288" s="399"/>
      <c r="Q288" s="399"/>
      <c r="R288" s="399"/>
      <c r="S288" s="399"/>
      <c r="T288" s="399"/>
      <c r="U288" s="399"/>
      <c r="V288" s="399"/>
      <c r="W288" s="399"/>
      <c r="X288" s="399"/>
      <c r="Y288" s="399" t="s">
        <v>536</v>
      </c>
      <c r="Z288" s="399"/>
      <c r="AA288" s="399"/>
      <c r="AB288" s="399" t="s">
        <v>150</v>
      </c>
      <c r="AC288" s="399"/>
      <c r="AD288" s="431">
        <v>1000000</v>
      </c>
      <c r="AE288" s="401" t="s">
        <v>56</v>
      </c>
      <c r="AF288" s="786">
        <v>1000000</v>
      </c>
    </row>
    <row r="289" spans="1:32" s="13" customFormat="1" ht="24" customHeight="1">
      <c r="A289" s="40"/>
      <c r="B289" s="40"/>
      <c r="C289" s="40"/>
      <c r="D289" s="145"/>
      <c r="E289" s="97"/>
      <c r="F289" s="97"/>
      <c r="G289" s="97"/>
      <c r="H289" s="97"/>
      <c r="I289" s="97"/>
      <c r="J289" s="97"/>
      <c r="K289" s="97"/>
      <c r="L289" s="97"/>
      <c r="M289" s="97"/>
      <c r="N289" s="62"/>
      <c r="O289" s="729" t="s">
        <v>681</v>
      </c>
      <c r="P289" s="729"/>
      <c r="Q289" s="729"/>
      <c r="R289" s="729"/>
      <c r="S289" s="729"/>
      <c r="T289" s="728"/>
      <c r="U289" s="728"/>
      <c r="V289" s="728"/>
      <c r="W289" s="728"/>
      <c r="X289" s="728"/>
      <c r="Y289" s="728"/>
      <c r="Z289" s="728"/>
      <c r="AA289" s="728"/>
      <c r="AB289" s="728" t="s">
        <v>150</v>
      </c>
      <c r="AC289" s="727"/>
      <c r="AD289" s="748">
        <v>2000000</v>
      </c>
      <c r="AE289" s="125" t="s">
        <v>56</v>
      </c>
      <c r="AF289" s="786">
        <v>2000000</v>
      </c>
    </row>
    <row r="290" spans="1:32" s="13" customFormat="1" ht="24" customHeight="1">
      <c r="A290" s="40"/>
      <c r="B290" s="40"/>
      <c r="C290" s="40"/>
      <c r="D290" s="145"/>
      <c r="E290" s="97"/>
      <c r="F290" s="97"/>
      <c r="G290" s="97"/>
      <c r="H290" s="97"/>
      <c r="I290" s="97"/>
      <c r="J290" s="97"/>
      <c r="K290" s="97"/>
      <c r="L290" s="97"/>
      <c r="M290" s="97"/>
      <c r="N290" s="62"/>
      <c r="O290" s="277" t="s">
        <v>716</v>
      </c>
      <c r="P290" s="729"/>
      <c r="Q290" s="729"/>
      <c r="R290" s="729"/>
      <c r="S290" s="729"/>
      <c r="T290" s="728"/>
      <c r="U290" s="728"/>
      <c r="V290" s="728"/>
      <c r="W290" s="728"/>
      <c r="X290" s="728"/>
      <c r="Y290" s="728"/>
      <c r="Z290" s="728"/>
      <c r="AA290" s="728"/>
      <c r="AB290" s="728" t="s">
        <v>150</v>
      </c>
      <c r="AC290" s="727"/>
      <c r="AD290" s="748">
        <v>300000</v>
      </c>
      <c r="AE290" s="125" t="s">
        <v>56</v>
      </c>
      <c r="AF290" s="786">
        <v>300000</v>
      </c>
    </row>
    <row r="291" spans="1:32" s="13" customFormat="1" ht="24" customHeight="1">
      <c r="A291" s="40"/>
      <c r="B291" s="40"/>
      <c r="C291" s="40"/>
      <c r="D291" s="145"/>
      <c r="E291" s="97"/>
      <c r="F291" s="97"/>
      <c r="G291" s="97"/>
      <c r="H291" s="97"/>
      <c r="I291" s="97"/>
      <c r="J291" s="97"/>
      <c r="K291" s="97"/>
      <c r="L291" s="97"/>
      <c r="M291" s="97"/>
      <c r="N291" s="62"/>
      <c r="O291" s="277" t="s">
        <v>934</v>
      </c>
      <c r="P291" s="741"/>
      <c r="Q291" s="741"/>
      <c r="R291" s="741"/>
      <c r="S291" s="741"/>
      <c r="T291" s="740"/>
      <c r="U291" s="740"/>
      <c r="V291" s="740"/>
      <c r="W291" s="740"/>
      <c r="X291" s="740"/>
      <c r="Y291" s="740"/>
      <c r="Z291" s="740"/>
      <c r="AA291" s="740"/>
      <c r="AB291" s="740" t="s">
        <v>150</v>
      </c>
      <c r="AC291" s="739"/>
      <c r="AD291" s="748">
        <v>1500000</v>
      </c>
      <c r="AE291" s="125" t="s">
        <v>879</v>
      </c>
      <c r="AF291" s="786">
        <v>1500000</v>
      </c>
    </row>
    <row r="292" spans="1:32" s="13" customFormat="1" ht="24" customHeight="1">
      <c r="A292" s="40"/>
      <c r="B292" s="40"/>
      <c r="C292" s="40"/>
      <c r="D292" s="145"/>
      <c r="E292" s="97"/>
      <c r="F292" s="97"/>
      <c r="G292" s="97"/>
      <c r="H292" s="97"/>
      <c r="I292" s="97"/>
      <c r="J292" s="97"/>
      <c r="K292" s="97"/>
      <c r="L292" s="97"/>
      <c r="M292" s="97"/>
      <c r="N292" s="62"/>
      <c r="O292" s="277" t="s">
        <v>878</v>
      </c>
      <c r="P292" s="741"/>
      <c r="Q292" s="741"/>
      <c r="R292" s="741"/>
      <c r="S292" s="741"/>
      <c r="T292" s="740"/>
      <c r="U292" s="740"/>
      <c r="V292" s="740"/>
      <c r="W292" s="740"/>
      <c r="X292" s="740"/>
      <c r="Y292" s="740"/>
      <c r="Z292" s="740"/>
      <c r="AA292" s="740"/>
      <c r="AB292" s="740" t="s">
        <v>895</v>
      </c>
      <c r="AC292" s="739"/>
      <c r="AD292" s="748">
        <v>280000</v>
      </c>
      <c r="AE292" s="125" t="s">
        <v>879</v>
      </c>
      <c r="AF292" s="786">
        <v>280000</v>
      </c>
    </row>
    <row r="293" spans="1:32" s="13" customFormat="1" ht="24" customHeight="1">
      <c r="A293" s="40"/>
      <c r="B293" s="40"/>
      <c r="C293" s="53"/>
      <c r="D293" s="146"/>
      <c r="E293" s="99"/>
      <c r="F293" s="99"/>
      <c r="G293" s="99"/>
      <c r="H293" s="99"/>
      <c r="I293" s="99"/>
      <c r="J293" s="99"/>
      <c r="K293" s="99"/>
      <c r="L293" s="99"/>
      <c r="M293" s="99"/>
      <c r="N293" s="76"/>
      <c r="O293" s="278" t="s">
        <v>935</v>
      </c>
      <c r="P293" s="731"/>
      <c r="Q293" s="731"/>
      <c r="R293" s="731"/>
      <c r="S293" s="731"/>
      <c r="T293" s="730"/>
      <c r="U293" s="730"/>
      <c r="V293" s="730"/>
      <c r="W293" s="730"/>
      <c r="X293" s="730"/>
      <c r="Y293" s="730"/>
      <c r="Z293" s="730"/>
      <c r="AA293" s="730"/>
      <c r="AB293" s="730" t="s">
        <v>150</v>
      </c>
      <c r="AC293" s="402"/>
      <c r="AD293" s="439">
        <v>450000</v>
      </c>
      <c r="AE293" s="393" t="s">
        <v>56</v>
      </c>
      <c r="AF293" s="786">
        <v>450000</v>
      </c>
    </row>
    <row r="294" spans="1:32" s="13" customFormat="1" ht="24" customHeight="1">
      <c r="A294" s="40"/>
      <c r="B294" s="40"/>
      <c r="C294" s="30" t="s">
        <v>306</v>
      </c>
      <c r="D294" s="147">
        <v>18763</v>
      </c>
      <c r="E294" s="101">
        <f>ROUND(AD294/1000,0)</f>
        <v>19213</v>
      </c>
      <c r="F294" s="102">
        <f>SUMIF($AB$295:$AB$305,"보조",$AD$295:$AD$305)/1000</f>
        <v>0</v>
      </c>
      <c r="G294" s="102">
        <f>SUMIF($AB$295:$AB$305,"7종",$AD$295:$AD$305)/1000</f>
        <v>0</v>
      </c>
      <c r="H294" s="102">
        <f>SUMIF($AB$295:$AB$305,"4종",$AD$295:$AD$305)/1000</f>
        <v>0</v>
      </c>
      <c r="I294" s="102">
        <f>SUMIF($AB$295:$AB$305,"후원",$AD$295:$AD$305)/1000</f>
        <v>14182</v>
      </c>
      <c r="J294" s="102">
        <f>SUMIF($AB$295:$AB$305,"입소",$AD$295:$AD$305)/1000</f>
        <v>5031</v>
      </c>
      <c r="K294" s="102">
        <f>SUMIF($AB$295:$AB$305,"법인",$AD$295:$AD$305)/1000</f>
        <v>0</v>
      </c>
      <c r="L294" s="102">
        <f>SUMIF($AB$295:$AB$305,"잡수",$AD$295:$AD$305)/1000</f>
        <v>0</v>
      </c>
      <c r="M294" s="174">
        <f>E294-D294</f>
        <v>450</v>
      </c>
      <c r="N294" s="109">
        <f>IF(D294=0,0,M294/D294)</f>
        <v>2.3983371529073177E-2</v>
      </c>
      <c r="O294" s="301"/>
      <c r="P294" s="301"/>
      <c r="Q294" s="301"/>
      <c r="R294" s="301"/>
      <c r="S294" s="301"/>
      <c r="T294" s="285"/>
      <c r="U294" s="285"/>
      <c r="V294" s="285"/>
      <c r="W294" s="436" t="s">
        <v>128</v>
      </c>
      <c r="X294" s="436"/>
      <c r="Y294" s="436"/>
      <c r="Z294" s="436"/>
      <c r="AA294" s="436"/>
      <c r="AB294" s="436"/>
      <c r="AC294" s="437"/>
      <c r="AD294" s="437">
        <f>SUM(AD295:AD304)</f>
        <v>19213000</v>
      </c>
      <c r="AE294" s="438" t="s">
        <v>25</v>
      </c>
      <c r="AF294" s="785"/>
    </row>
    <row r="295" spans="1:32" s="13" customFormat="1" ht="24" customHeight="1">
      <c r="A295" s="40"/>
      <c r="B295" s="40"/>
      <c r="C295" s="40" t="s">
        <v>298</v>
      </c>
      <c r="D295" s="145"/>
      <c r="E295" s="97"/>
      <c r="F295" s="97"/>
      <c r="G295" s="97"/>
      <c r="H295" s="97"/>
      <c r="I295" s="97"/>
      <c r="J295" s="97"/>
      <c r="K295" s="97"/>
      <c r="L295" s="97"/>
      <c r="M295" s="97"/>
      <c r="N295" s="62"/>
      <c r="O295" s="736" t="s">
        <v>851</v>
      </c>
      <c r="P295" s="729"/>
      <c r="Q295" s="729"/>
      <c r="R295" s="729"/>
      <c r="S295" s="729"/>
      <c r="T295" s="728"/>
      <c r="U295" s="728"/>
      <c r="V295" s="728"/>
      <c r="W295" s="728"/>
      <c r="X295" s="728"/>
      <c r="Y295" s="728"/>
      <c r="Z295" s="728"/>
      <c r="AA295" s="728"/>
      <c r="AB295" s="728" t="s">
        <v>815</v>
      </c>
      <c r="AC295" s="727"/>
      <c r="AD295" s="748">
        <v>1488000</v>
      </c>
      <c r="AE295" s="125" t="s">
        <v>788</v>
      </c>
      <c r="AF295" s="786">
        <v>1488000</v>
      </c>
    </row>
    <row r="296" spans="1:32" s="13" customFormat="1" ht="24" customHeight="1">
      <c r="A296" s="40"/>
      <c r="B296" s="40"/>
      <c r="C296" s="40"/>
      <c r="D296" s="145"/>
      <c r="E296" s="97"/>
      <c r="F296" s="97"/>
      <c r="G296" s="97"/>
      <c r="H296" s="97"/>
      <c r="I296" s="97"/>
      <c r="J296" s="97"/>
      <c r="K296" s="97"/>
      <c r="L296" s="97"/>
      <c r="M296" s="97"/>
      <c r="N296" s="62"/>
      <c r="O296" s="736" t="s">
        <v>852</v>
      </c>
      <c r="P296" s="729"/>
      <c r="Q296" s="729"/>
      <c r="R296" s="729"/>
      <c r="S296" s="729"/>
      <c r="T296" s="728"/>
      <c r="U296" s="728"/>
      <c r="V296" s="728"/>
      <c r="W296" s="728"/>
      <c r="X296" s="728"/>
      <c r="Y296" s="728"/>
      <c r="Z296" s="728"/>
      <c r="AA296" s="728"/>
      <c r="AB296" s="728" t="s">
        <v>815</v>
      </c>
      <c r="AC296" s="727"/>
      <c r="AD296" s="748">
        <v>1993000</v>
      </c>
      <c r="AE296" s="125" t="s">
        <v>788</v>
      </c>
      <c r="AF296" s="786">
        <v>1993000</v>
      </c>
    </row>
    <row r="297" spans="1:32" s="13" customFormat="1" ht="24" customHeight="1">
      <c r="A297" s="40"/>
      <c r="B297" s="40"/>
      <c r="C297" s="40"/>
      <c r="D297" s="145"/>
      <c r="E297" s="97"/>
      <c r="F297" s="97"/>
      <c r="G297" s="97"/>
      <c r="H297" s="97"/>
      <c r="I297" s="97"/>
      <c r="J297" s="97"/>
      <c r="K297" s="97"/>
      <c r="L297" s="97"/>
      <c r="M297" s="97"/>
      <c r="N297" s="62"/>
      <c r="O297" s="399" t="s">
        <v>853</v>
      </c>
      <c r="P297" s="394"/>
      <c r="Q297" s="394"/>
      <c r="R297" s="390"/>
      <c r="S297" s="390"/>
      <c r="T297" s="390"/>
      <c r="U297" s="390"/>
      <c r="V297" s="390"/>
      <c r="W297" s="728"/>
      <c r="X297" s="728"/>
      <c r="Y297" s="728"/>
      <c r="Z297" s="728"/>
      <c r="AA297" s="728"/>
      <c r="AB297" s="728" t="s">
        <v>794</v>
      </c>
      <c r="AC297" s="727"/>
      <c r="AD297" s="776">
        <v>1837000</v>
      </c>
      <c r="AE297" s="125" t="s">
        <v>788</v>
      </c>
      <c r="AF297" s="786">
        <v>1837000</v>
      </c>
    </row>
    <row r="298" spans="1:32" s="13" customFormat="1" ht="24" customHeight="1">
      <c r="A298" s="40"/>
      <c r="B298" s="40"/>
      <c r="C298" s="40"/>
      <c r="D298" s="145"/>
      <c r="E298" s="97"/>
      <c r="F298" s="97"/>
      <c r="G298" s="97"/>
      <c r="H298" s="97"/>
      <c r="I298" s="97"/>
      <c r="J298" s="97"/>
      <c r="K298" s="97"/>
      <c r="L298" s="97"/>
      <c r="M298" s="97"/>
      <c r="N298" s="62"/>
      <c r="O298" s="399" t="s">
        <v>866</v>
      </c>
      <c r="P298" s="394"/>
      <c r="Q298" s="394"/>
      <c r="R298" s="390"/>
      <c r="S298" s="390"/>
      <c r="T298" s="390"/>
      <c r="U298" s="390"/>
      <c r="V298" s="390"/>
      <c r="W298" s="735"/>
      <c r="X298" s="735"/>
      <c r="Y298" s="735"/>
      <c r="Z298" s="735"/>
      <c r="AA298" s="735"/>
      <c r="AB298" s="735" t="s">
        <v>870</v>
      </c>
      <c r="AC298" s="734"/>
      <c r="AD298" s="776">
        <v>0</v>
      </c>
      <c r="AE298" s="125" t="s">
        <v>846</v>
      </c>
      <c r="AF298" s="786">
        <v>9000000</v>
      </c>
    </row>
    <row r="299" spans="1:32" s="13" customFormat="1" ht="24" customHeight="1">
      <c r="A299" s="40"/>
      <c r="B299" s="40"/>
      <c r="C299" s="40"/>
      <c r="D299" s="145"/>
      <c r="E299" s="97"/>
      <c r="F299" s="97"/>
      <c r="G299" s="97"/>
      <c r="H299" s="97"/>
      <c r="I299" s="97"/>
      <c r="J299" s="97"/>
      <c r="K299" s="97"/>
      <c r="L299" s="97"/>
      <c r="M299" s="97"/>
      <c r="N299" s="62"/>
      <c r="O299" s="399" t="s">
        <v>867</v>
      </c>
      <c r="P299" s="394"/>
      <c r="Q299" s="394"/>
      <c r="R299" s="390"/>
      <c r="S299" s="390"/>
      <c r="T299" s="390"/>
      <c r="U299" s="390"/>
      <c r="V299" s="390"/>
      <c r="W299" s="728"/>
      <c r="X299" s="728"/>
      <c r="Y299" s="728"/>
      <c r="Z299" s="728"/>
      <c r="AA299" s="728"/>
      <c r="AB299" s="728" t="s">
        <v>815</v>
      </c>
      <c r="AC299" s="727"/>
      <c r="AD299" s="776">
        <v>1500000</v>
      </c>
      <c r="AE299" s="125" t="s">
        <v>788</v>
      </c>
      <c r="AF299" s="786">
        <v>1500000</v>
      </c>
    </row>
    <row r="300" spans="1:32" s="13" customFormat="1" ht="24" customHeight="1">
      <c r="A300" s="40"/>
      <c r="B300" s="40"/>
      <c r="C300" s="40"/>
      <c r="D300" s="145"/>
      <c r="E300" s="97"/>
      <c r="F300" s="97"/>
      <c r="G300" s="97"/>
      <c r="H300" s="97"/>
      <c r="I300" s="97"/>
      <c r="J300" s="97"/>
      <c r="K300" s="97"/>
      <c r="L300" s="97"/>
      <c r="M300" s="97"/>
      <c r="N300" s="62"/>
      <c r="O300" s="399" t="s">
        <v>868</v>
      </c>
      <c r="P300" s="394"/>
      <c r="Q300" s="394"/>
      <c r="R300" s="390"/>
      <c r="S300" s="390"/>
      <c r="T300" s="390"/>
      <c r="U300" s="390"/>
      <c r="V300" s="390"/>
      <c r="W300" s="728"/>
      <c r="X300" s="728"/>
      <c r="Y300" s="728"/>
      <c r="Z300" s="728"/>
      <c r="AA300" s="728"/>
      <c r="AB300" s="399" t="s">
        <v>794</v>
      </c>
      <c r="AC300" s="399"/>
      <c r="AD300" s="776">
        <v>2817000</v>
      </c>
      <c r="AE300" s="401" t="s">
        <v>788</v>
      </c>
      <c r="AF300" s="786">
        <v>2817000</v>
      </c>
    </row>
    <row r="301" spans="1:32" s="13" customFormat="1" ht="24" customHeight="1">
      <c r="A301" s="40"/>
      <c r="B301" s="40"/>
      <c r="C301" s="40"/>
      <c r="D301" s="145"/>
      <c r="E301" s="97"/>
      <c r="F301" s="97"/>
      <c r="G301" s="97"/>
      <c r="H301" s="97"/>
      <c r="I301" s="97"/>
      <c r="J301" s="97"/>
      <c r="K301" s="97"/>
      <c r="L301" s="97"/>
      <c r="M301" s="97"/>
      <c r="N301" s="62"/>
      <c r="O301" s="399"/>
      <c r="P301" s="394"/>
      <c r="Q301" s="394"/>
      <c r="R301" s="390"/>
      <c r="S301" s="390"/>
      <c r="T301" s="390"/>
      <c r="U301" s="390"/>
      <c r="V301" s="390"/>
      <c r="W301" s="766"/>
      <c r="X301" s="766"/>
      <c r="Y301" s="766"/>
      <c r="Z301" s="766"/>
      <c r="AA301" s="766"/>
      <c r="AB301" s="399" t="s">
        <v>938</v>
      </c>
      <c r="AC301" s="399"/>
      <c r="AD301" s="776">
        <v>50000</v>
      </c>
      <c r="AE301" s="401" t="s">
        <v>931</v>
      </c>
      <c r="AF301" s="786">
        <v>0</v>
      </c>
    </row>
    <row r="302" spans="1:32" s="13" customFormat="1" ht="24" customHeight="1">
      <c r="A302" s="40"/>
      <c r="B302" s="40"/>
      <c r="C302" s="40"/>
      <c r="D302" s="145"/>
      <c r="E302" s="97"/>
      <c r="F302" s="97"/>
      <c r="G302" s="97"/>
      <c r="H302" s="97"/>
      <c r="I302" s="97"/>
      <c r="J302" s="97"/>
      <c r="K302" s="97"/>
      <c r="L302" s="97"/>
      <c r="M302" s="97"/>
      <c r="N302" s="62"/>
      <c r="O302" s="399" t="s">
        <v>869</v>
      </c>
      <c r="P302" s="399"/>
      <c r="Q302" s="399"/>
      <c r="R302" s="399"/>
      <c r="S302" s="399"/>
      <c r="T302" s="399"/>
      <c r="U302" s="399"/>
      <c r="V302" s="399"/>
      <c r="W302" s="399"/>
      <c r="X302" s="399"/>
      <c r="Y302" s="399"/>
      <c r="Z302" s="399"/>
      <c r="AA302" s="399"/>
      <c r="AB302" s="399" t="s">
        <v>150</v>
      </c>
      <c r="AC302" s="399"/>
      <c r="AD302" s="776">
        <v>128000</v>
      </c>
      <c r="AE302" s="401" t="s">
        <v>56</v>
      </c>
      <c r="AF302" s="786">
        <v>128000</v>
      </c>
    </row>
    <row r="303" spans="1:32" s="13" customFormat="1" ht="24" customHeight="1">
      <c r="A303" s="40"/>
      <c r="B303" s="40"/>
      <c r="C303" s="40"/>
      <c r="D303" s="145"/>
      <c r="E303" s="97"/>
      <c r="F303" s="97"/>
      <c r="G303" s="97"/>
      <c r="H303" s="97"/>
      <c r="I303" s="97"/>
      <c r="J303" s="97"/>
      <c r="K303" s="97"/>
      <c r="L303" s="97"/>
      <c r="M303" s="97"/>
      <c r="N303" s="62"/>
      <c r="O303" s="399" t="s">
        <v>932</v>
      </c>
      <c r="P303" s="399"/>
      <c r="Q303" s="399"/>
      <c r="R303" s="399"/>
      <c r="S303" s="399"/>
      <c r="T303" s="399"/>
      <c r="U303" s="399"/>
      <c r="V303" s="399"/>
      <c r="W303" s="399"/>
      <c r="X303" s="399"/>
      <c r="Y303" s="399" t="s">
        <v>929</v>
      </c>
      <c r="Z303" s="399"/>
      <c r="AA303" s="399"/>
      <c r="AB303" s="399" t="s">
        <v>933</v>
      </c>
      <c r="AC303" s="399"/>
      <c r="AD303" s="776">
        <v>7300000</v>
      </c>
      <c r="AE303" s="401" t="s">
        <v>931</v>
      </c>
      <c r="AF303" s="786">
        <v>0</v>
      </c>
    </row>
    <row r="304" spans="1:32" s="13" customFormat="1" ht="24" customHeight="1">
      <c r="A304" s="40"/>
      <c r="B304" s="40"/>
      <c r="C304" s="40"/>
      <c r="D304" s="145"/>
      <c r="E304" s="97"/>
      <c r="F304" s="97"/>
      <c r="G304" s="97"/>
      <c r="H304" s="97"/>
      <c r="I304" s="97"/>
      <c r="J304" s="97"/>
      <c r="K304" s="97"/>
      <c r="L304" s="97"/>
      <c r="M304" s="97"/>
      <c r="N304" s="62"/>
      <c r="O304" s="399"/>
      <c r="P304" s="399"/>
      <c r="Q304" s="399"/>
      <c r="R304" s="399"/>
      <c r="S304" s="399"/>
      <c r="T304" s="399"/>
      <c r="U304" s="399"/>
      <c r="V304" s="399"/>
      <c r="W304" s="399"/>
      <c r="X304" s="399"/>
      <c r="Y304" s="399"/>
      <c r="Z304" s="399"/>
      <c r="AA304" s="399"/>
      <c r="AB304" s="399" t="s">
        <v>930</v>
      </c>
      <c r="AC304" s="399"/>
      <c r="AD304" s="776">
        <v>2100000</v>
      </c>
      <c r="AE304" s="401" t="s">
        <v>931</v>
      </c>
      <c r="AF304" s="786">
        <v>0</v>
      </c>
    </row>
    <row r="305" spans="1:32" s="13" customFormat="1" ht="24" customHeight="1">
      <c r="A305" s="40"/>
      <c r="B305" s="40"/>
      <c r="C305" s="53"/>
      <c r="D305" s="146"/>
      <c r="E305" s="99"/>
      <c r="F305" s="99"/>
      <c r="G305" s="99"/>
      <c r="H305" s="99"/>
      <c r="I305" s="99"/>
      <c r="J305" s="99"/>
      <c r="K305" s="99"/>
      <c r="L305" s="99"/>
      <c r="M305" s="99"/>
      <c r="N305" s="76"/>
      <c r="O305" s="432"/>
      <c r="P305" s="432"/>
      <c r="Q305" s="432"/>
      <c r="R305" s="432"/>
      <c r="S305" s="432"/>
      <c r="T305" s="432"/>
      <c r="U305" s="432"/>
      <c r="V305" s="432"/>
      <c r="W305" s="432"/>
      <c r="X305" s="432"/>
      <c r="Y305" s="432"/>
      <c r="Z305" s="432"/>
      <c r="AA305" s="432"/>
      <c r="AB305" s="432"/>
      <c r="AC305" s="432"/>
      <c r="AD305" s="433"/>
      <c r="AE305" s="434"/>
      <c r="AF305" s="785"/>
    </row>
    <row r="306" spans="1:32" s="13" customFormat="1" ht="24" customHeight="1">
      <c r="A306" s="40"/>
      <c r="B306" s="40"/>
      <c r="C306" s="110" t="s">
        <v>646</v>
      </c>
      <c r="D306" s="147">
        <v>7970</v>
      </c>
      <c r="E306" s="101">
        <f>ROUND(AD306/1000,0)</f>
        <v>7225</v>
      </c>
      <c r="F306" s="102">
        <f>SUMIF($AB$307:$AB$311,"보조",$AD$307:$AD$311)/1000</f>
        <v>0</v>
      </c>
      <c r="G306" s="102">
        <f>SUMIF($AB$307:$AB$311,"7종",$AD$307:$AD$311)/1000</f>
        <v>2200</v>
      </c>
      <c r="H306" s="102">
        <f>SUMIF($AB$307:$AB$311,"4종",$AD$307:$AD$311)/1000</f>
        <v>0</v>
      </c>
      <c r="I306" s="102">
        <f>SUMIF($AB$307:$AB$311,"후원",$AD$307:$AD$311)/1000</f>
        <v>2752</v>
      </c>
      <c r="J306" s="102">
        <f>SUMIF($AB$307:$AB$311,"입소",$AD$307:$AD$311)/1000</f>
        <v>2273</v>
      </c>
      <c r="K306" s="102">
        <f>SUMIF($AB$307:$AB$311,"법인",$AD$307:$AD$311)/1000</f>
        <v>0</v>
      </c>
      <c r="L306" s="102">
        <f>SUMIF($AB$307:$AB$311,"잡수",$AD$307:$AD$311)/1000</f>
        <v>0</v>
      </c>
      <c r="M306" s="174">
        <f>E306-D306</f>
        <v>-745</v>
      </c>
      <c r="N306" s="109">
        <f>IF(D306=0,0,M306/D306)</f>
        <v>-9.3475533249686327E-2</v>
      </c>
      <c r="O306" s="440"/>
      <c r="P306" s="440"/>
      <c r="Q306" s="440"/>
      <c r="R306" s="440"/>
      <c r="S306" s="440"/>
      <c r="T306" s="440"/>
      <c r="U306" s="440"/>
      <c r="V306" s="440"/>
      <c r="W306" s="436" t="s">
        <v>128</v>
      </c>
      <c r="X306" s="436"/>
      <c r="Y306" s="436"/>
      <c r="Z306" s="436"/>
      <c r="AA306" s="436"/>
      <c r="AB306" s="436"/>
      <c r="AC306" s="437"/>
      <c r="AD306" s="437">
        <f>SUM(AD307:AD311)</f>
        <v>7225000</v>
      </c>
      <c r="AE306" s="438" t="s">
        <v>25</v>
      </c>
      <c r="AF306" s="785"/>
    </row>
    <row r="307" spans="1:32" s="13" customFormat="1" ht="24" customHeight="1">
      <c r="A307" s="40"/>
      <c r="B307" s="40"/>
      <c r="C307" s="40" t="s">
        <v>854</v>
      </c>
      <c r="D307" s="145"/>
      <c r="E307" s="97"/>
      <c r="F307" s="97"/>
      <c r="G307" s="97"/>
      <c r="H307" s="97"/>
      <c r="I307" s="97"/>
      <c r="J307" s="97"/>
      <c r="K307" s="97"/>
      <c r="L307" s="97"/>
      <c r="M307" s="97"/>
      <c r="N307" s="62"/>
      <c r="O307" s="399" t="s">
        <v>855</v>
      </c>
      <c r="P307" s="399"/>
      <c r="Q307" s="399"/>
      <c r="R307" s="399"/>
      <c r="S307" s="728"/>
      <c r="T307" s="289" t="s">
        <v>788</v>
      </c>
      <c r="U307" s="289" t="s">
        <v>26</v>
      </c>
      <c r="V307" s="728"/>
      <c r="W307" s="729" t="s">
        <v>790</v>
      </c>
      <c r="X307" s="728"/>
      <c r="Y307" s="399" t="s">
        <v>814</v>
      </c>
      <c r="Z307" s="399"/>
      <c r="AA307" s="399"/>
      <c r="AB307" s="399" t="s">
        <v>794</v>
      </c>
      <c r="AC307" s="399"/>
      <c r="AD307" s="431">
        <v>2752000</v>
      </c>
      <c r="AE307" s="401" t="s">
        <v>788</v>
      </c>
      <c r="AF307" s="785">
        <v>2492000</v>
      </c>
    </row>
    <row r="308" spans="1:32" s="13" customFormat="1" ht="24" customHeight="1">
      <c r="A308" s="40"/>
      <c r="B308" s="40"/>
      <c r="C308" s="40"/>
      <c r="D308" s="145"/>
      <c r="E308" s="97"/>
      <c r="F308" s="97"/>
      <c r="G308" s="97"/>
      <c r="H308" s="97"/>
      <c r="I308" s="97"/>
      <c r="J308" s="97"/>
      <c r="K308" s="97"/>
      <c r="L308" s="97"/>
      <c r="M308" s="97"/>
      <c r="N308" s="62"/>
      <c r="O308" s="399"/>
      <c r="P308" s="399"/>
      <c r="Q308" s="399"/>
      <c r="R308" s="399"/>
      <c r="S308" s="735"/>
      <c r="T308" s="289"/>
      <c r="U308" s="289"/>
      <c r="V308" s="735"/>
      <c r="W308" s="736"/>
      <c r="X308" s="735"/>
      <c r="Y308" s="399"/>
      <c r="Z308" s="399"/>
      <c r="AA308" s="399"/>
      <c r="AB308" s="399" t="s">
        <v>897</v>
      </c>
      <c r="AC308" s="399"/>
      <c r="AD308" s="431">
        <v>1203000</v>
      </c>
      <c r="AE308" s="401" t="s">
        <v>846</v>
      </c>
      <c r="AF308" s="785">
        <v>1068000</v>
      </c>
    </row>
    <row r="309" spans="1:32" s="13" customFormat="1" ht="24" customHeight="1">
      <c r="A309" s="40"/>
      <c r="B309" s="40"/>
      <c r="C309" s="40"/>
      <c r="D309" s="145"/>
      <c r="E309" s="97"/>
      <c r="F309" s="97"/>
      <c r="G309" s="97"/>
      <c r="H309" s="97"/>
      <c r="I309" s="97"/>
      <c r="J309" s="97"/>
      <c r="K309" s="97"/>
      <c r="L309" s="97"/>
      <c r="M309" s="97"/>
      <c r="N309" s="62"/>
      <c r="O309" s="399" t="s">
        <v>856</v>
      </c>
      <c r="P309" s="399"/>
      <c r="Q309" s="399"/>
      <c r="R309" s="399"/>
      <c r="S309" s="735"/>
      <c r="T309" s="289"/>
      <c r="U309" s="289"/>
      <c r="V309" s="735"/>
      <c r="W309" s="736"/>
      <c r="X309" s="735"/>
      <c r="Y309" s="399"/>
      <c r="Z309" s="399"/>
      <c r="AA309" s="399"/>
      <c r="AB309" s="399" t="s">
        <v>894</v>
      </c>
      <c r="AC309" s="399"/>
      <c r="AD309" s="431">
        <v>2200000</v>
      </c>
      <c r="AE309" s="401" t="s">
        <v>846</v>
      </c>
      <c r="AF309" s="785">
        <v>3024000</v>
      </c>
    </row>
    <row r="310" spans="1:32" s="13" customFormat="1" ht="24" customHeight="1">
      <c r="A310" s="40"/>
      <c r="B310" s="40"/>
      <c r="C310" s="40"/>
      <c r="D310" s="145"/>
      <c r="E310" s="97"/>
      <c r="F310" s="97"/>
      <c r="G310" s="97"/>
      <c r="H310" s="97"/>
      <c r="I310" s="97"/>
      <c r="J310" s="97"/>
      <c r="K310" s="97"/>
      <c r="L310" s="97"/>
      <c r="M310" s="97"/>
      <c r="N310" s="62"/>
      <c r="O310" s="399"/>
      <c r="P310" s="399"/>
      <c r="Q310" s="399"/>
      <c r="R310" s="399"/>
      <c r="S310" s="735"/>
      <c r="T310" s="289"/>
      <c r="U310" s="289"/>
      <c r="V310" s="735"/>
      <c r="W310" s="736"/>
      <c r="X310" s="735"/>
      <c r="Y310" s="399"/>
      <c r="Z310" s="399"/>
      <c r="AA310" s="399"/>
      <c r="AB310" s="399" t="s">
        <v>897</v>
      </c>
      <c r="AC310" s="399"/>
      <c r="AD310" s="431">
        <v>980000</v>
      </c>
      <c r="AE310" s="401" t="s">
        <v>846</v>
      </c>
      <c r="AF310" s="785">
        <v>1296000</v>
      </c>
    </row>
    <row r="311" spans="1:32" s="13" customFormat="1" ht="24" customHeight="1">
      <c r="A311" s="40"/>
      <c r="B311" s="40"/>
      <c r="C311" s="53"/>
      <c r="D311" s="146"/>
      <c r="E311" s="99"/>
      <c r="F311" s="99"/>
      <c r="G311" s="99"/>
      <c r="H311" s="99"/>
      <c r="I311" s="99"/>
      <c r="J311" s="99"/>
      <c r="K311" s="99"/>
      <c r="L311" s="99"/>
      <c r="M311" s="99"/>
      <c r="N311" s="76"/>
      <c r="O311" s="432" t="s">
        <v>857</v>
      </c>
      <c r="P311" s="432"/>
      <c r="Q311" s="432"/>
      <c r="R311" s="432"/>
      <c r="S311" s="728"/>
      <c r="T311" s="289" t="s">
        <v>788</v>
      </c>
      <c r="U311" s="289" t="s">
        <v>26</v>
      </c>
      <c r="V311" s="728"/>
      <c r="W311" s="729" t="s">
        <v>790</v>
      </c>
      <c r="X311" s="728"/>
      <c r="Y311" s="399"/>
      <c r="Z311" s="399" t="s">
        <v>792</v>
      </c>
      <c r="AA311" s="399"/>
      <c r="AB311" s="399" t="s">
        <v>815</v>
      </c>
      <c r="AC311" s="399"/>
      <c r="AD311" s="431">
        <v>90000</v>
      </c>
      <c r="AE311" s="401" t="s">
        <v>788</v>
      </c>
      <c r="AF311" s="785">
        <v>90000</v>
      </c>
    </row>
    <row r="312" spans="1:32" s="13" customFormat="1" ht="24" customHeight="1">
      <c r="A312" s="40"/>
      <c r="B312" s="40"/>
      <c r="C312" s="30" t="s">
        <v>307</v>
      </c>
      <c r="D312" s="147">
        <v>0</v>
      </c>
      <c r="E312" s="101">
        <f>ROUND(AD312/1000,0)</f>
        <v>0</v>
      </c>
      <c r="F312" s="102">
        <f>SUMIF($AB$313:$AB$315,"보조",$AD$313:$AD$315)/1000</f>
        <v>0</v>
      </c>
      <c r="G312" s="102">
        <f>SUMIF($AB$313:$AB$315,"7종",$AD$313:$AD$315)/1000</f>
        <v>0</v>
      </c>
      <c r="H312" s="102">
        <f>SUMIF($AB$313:$AB$315,"4종",$AD$313:$AD$315)/1000</f>
        <v>0</v>
      </c>
      <c r="I312" s="102">
        <f>SUMIF($AB$313:$AB$315,"후원",$AD$313:$AD$315)/1000</f>
        <v>0</v>
      </c>
      <c r="J312" s="102">
        <f>SUMIF($AB$313:$AB$315,"입소",$AD$313:$AD$315)/1000</f>
        <v>0</v>
      </c>
      <c r="K312" s="102">
        <f>SUMIF($AB$313:$AB$315,"법인",$AD$313:$AD$315)/1000</f>
        <v>0</v>
      </c>
      <c r="L312" s="102">
        <f>SUMIF($AB$313:$AB$315,"잡수",$AD$313:$AD$315)/1000</f>
        <v>0</v>
      </c>
      <c r="M312" s="101">
        <f>E312-D312</f>
        <v>0</v>
      </c>
      <c r="N312" s="109">
        <f>IF(D312=0,0,M312/D312)</f>
        <v>0</v>
      </c>
      <c r="O312" s="280"/>
      <c r="P312" s="297"/>
      <c r="Q312" s="297"/>
      <c r="R312" s="435"/>
      <c r="S312" s="435"/>
      <c r="T312" s="435"/>
      <c r="U312" s="435"/>
      <c r="V312" s="435"/>
      <c r="W312" s="436" t="s">
        <v>128</v>
      </c>
      <c r="X312" s="436"/>
      <c r="Y312" s="436"/>
      <c r="Z312" s="436"/>
      <c r="AA312" s="436"/>
      <c r="AB312" s="436"/>
      <c r="AC312" s="437"/>
      <c r="AD312" s="437">
        <f>SUM(AD313:AD315)</f>
        <v>0</v>
      </c>
      <c r="AE312" s="438" t="s">
        <v>25</v>
      </c>
      <c r="AF312" s="785"/>
    </row>
    <row r="313" spans="1:32" s="13" customFormat="1" ht="24" customHeight="1">
      <c r="A313" s="40"/>
      <c r="B313" s="40"/>
      <c r="C313" s="40" t="s">
        <v>308</v>
      </c>
      <c r="D313" s="145"/>
      <c r="E313" s="97"/>
      <c r="F313" s="97"/>
      <c r="G313" s="97"/>
      <c r="H313" s="97"/>
      <c r="I313" s="97"/>
      <c r="J313" s="97"/>
      <c r="K313" s="97"/>
      <c r="L313" s="97"/>
      <c r="M313" s="97"/>
      <c r="N313" s="62"/>
      <c r="O313" s="399"/>
      <c r="P313" s="399"/>
      <c r="Q313" s="399"/>
      <c r="R313" s="399"/>
      <c r="S313" s="399"/>
      <c r="T313" s="399"/>
      <c r="U313" s="399"/>
      <c r="V313" s="399"/>
      <c r="W313" s="399"/>
      <c r="X313" s="399"/>
      <c r="Y313" s="399" t="s">
        <v>634</v>
      </c>
      <c r="Z313" s="399"/>
      <c r="AA313" s="399"/>
      <c r="AB313" s="399" t="s">
        <v>622</v>
      </c>
      <c r="AC313" s="399"/>
      <c r="AD313" s="431"/>
      <c r="AE313" s="401" t="s">
        <v>644</v>
      </c>
      <c r="AF313" s="785"/>
    </row>
    <row r="314" spans="1:32" s="13" customFormat="1" ht="24" customHeight="1">
      <c r="A314" s="40"/>
      <c r="B314" s="40"/>
      <c r="C314" s="40" t="s">
        <v>298</v>
      </c>
      <c r="D314" s="145"/>
      <c r="E314" s="97"/>
      <c r="F314" s="97"/>
      <c r="G314" s="97"/>
      <c r="H314" s="97"/>
      <c r="I314" s="97"/>
      <c r="J314" s="97"/>
      <c r="K314" s="97"/>
      <c r="L314" s="97"/>
      <c r="M314" s="97"/>
      <c r="N314" s="62"/>
      <c r="O314" s="399"/>
      <c r="P314" s="399"/>
      <c r="Q314" s="399"/>
      <c r="R314" s="399"/>
      <c r="S314" s="399"/>
      <c r="T314" s="399"/>
      <c r="U314" s="399"/>
      <c r="V314" s="399"/>
      <c r="W314" s="399"/>
      <c r="X314" s="399"/>
      <c r="Y314" s="399"/>
      <c r="Z314" s="399"/>
      <c r="AA314" s="399"/>
      <c r="AB314" s="399"/>
      <c r="AC314" s="399"/>
      <c r="AD314" s="743"/>
      <c r="AE314" s="401" t="s">
        <v>644</v>
      </c>
      <c r="AF314" s="785"/>
    </row>
    <row r="315" spans="1:32" s="13" customFormat="1" ht="24" customHeight="1">
      <c r="A315" s="40"/>
      <c r="B315" s="40"/>
      <c r="C315" s="40"/>
      <c r="D315" s="145"/>
      <c r="E315" s="97"/>
      <c r="F315" s="97"/>
      <c r="G315" s="97"/>
      <c r="H315" s="97"/>
      <c r="I315" s="97"/>
      <c r="J315" s="97"/>
      <c r="K315" s="97"/>
      <c r="L315" s="97"/>
      <c r="M315" s="97"/>
      <c r="N315" s="62"/>
      <c r="O315" s="399"/>
      <c r="P315" s="399"/>
      <c r="Q315" s="399"/>
      <c r="R315" s="399"/>
      <c r="S315" s="399"/>
      <c r="T315" s="399"/>
      <c r="U315" s="399"/>
      <c r="V315" s="399"/>
      <c r="W315" s="399"/>
      <c r="X315" s="399"/>
      <c r="Y315" s="399"/>
      <c r="Z315" s="399"/>
      <c r="AA315" s="399"/>
      <c r="AB315" s="399"/>
      <c r="AC315" s="399"/>
      <c r="AD315" s="431"/>
      <c r="AE315" s="401"/>
      <c r="AF315" s="785"/>
    </row>
    <row r="316" spans="1:32" s="13" customFormat="1" ht="24" customHeight="1">
      <c r="A316" s="40"/>
      <c r="B316" s="40"/>
      <c r="C316" s="110" t="s">
        <v>648</v>
      </c>
      <c r="D316" s="147">
        <v>2080</v>
      </c>
      <c r="E316" s="101">
        <f>ROUND(AD316/1000,0)</f>
        <v>2080</v>
      </c>
      <c r="F316" s="102">
        <f>SUMIF($AB$317:$AB$319,"보조",$AD$317:$AD$319)/1000</f>
        <v>0</v>
      </c>
      <c r="G316" s="102">
        <f>SUMIF($AB$317:$AB$319,"7종",$AD$317:$AD$319)/1000</f>
        <v>0</v>
      </c>
      <c r="H316" s="102">
        <f>SUMIF($AB$317:$AB$319,"4종",$AD$317:$AD$319)/1000</f>
        <v>0</v>
      </c>
      <c r="I316" s="102">
        <f>SUMIF($AB$317:$AB$319,"후원",$AD$317:$AD$319)/1000</f>
        <v>2080</v>
      </c>
      <c r="J316" s="102">
        <f>SUMIF($AB$317:$AB$319,"입소",$AD$317:$AD$319)/1000</f>
        <v>0</v>
      </c>
      <c r="K316" s="102">
        <f>SUMIF($AB$317:$AB$319,"법인",$AD$317:$AD$319)/1000</f>
        <v>0</v>
      </c>
      <c r="L316" s="102">
        <f>SUMIF($AB$317:$AB$319,"잡수",$AD$317:$AD$319)/1000</f>
        <v>0</v>
      </c>
      <c r="M316" s="101">
        <f>E316-D316</f>
        <v>0</v>
      </c>
      <c r="N316" s="109">
        <f>IF(D316=0,0,M316/D316)</f>
        <v>0</v>
      </c>
      <c r="O316" s="280"/>
      <c r="P316" s="297"/>
      <c r="Q316" s="297"/>
      <c r="R316" s="435"/>
      <c r="S316" s="435"/>
      <c r="T316" s="435"/>
      <c r="U316" s="435"/>
      <c r="V316" s="435"/>
      <c r="W316" s="436" t="s">
        <v>128</v>
      </c>
      <c r="X316" s="436"/>
      <c r="Y316" s="436"/>
      <c r="Z316" s="436"/>
      <c r="AA316" s="436"/>
      <c r="AB316" s="436"/>
      <c r="AC316" s="437"/>
      <c r="AD316" s="437">
        <f>SUM(AD317:AD318)</f>
        <v>2080000</v>
      </c>
      <c r="AE316" s="438" t="s">
        <v>25</v>
      </c>
      <c r="AF316" s="785"/>
    </row>
    <row r="317" spans="1:32" s="13" customFormat="1" ht="24" customHeight="1">
      <c r="A317" s="40"/>
      <c r="B317" s="40"/>
      <c r="C317" s="575" t="s">
        <v>647</v>
      </c>
      <c r="D317" s="145"/>
      <c r="E317" s="97"/>
      <c r="F317" s="97"/>
      <c r="G317" s="97"/>
      <c r="H317" s="97"/>
      <c r="I317" s="97"/>
      <c r="J317" s="97"/>
      <c r="K317" s="97"/>
      <c r="L317" s="97"/>
      <c r="M317" s="97"/>
      <c r="N317" s="62"/>
      <c r="O317" s="566" t="s">
        <v>635</v>
      </c>
      <c r="P317" s="394"/>
      <c r="Q317" s="394"/>
      <c r="R317" s="390"/>
      <c r="S317" s="390"/>
      <c r="T317" s="390"/>
      <c r="U317" s="390"/>
      <c r="V317" s="390"/>
      <c r="W317" s="426"/>
      <c r="X317" s="426"/>
      <c r="Y317" s="426"/>
      <c r="Z317" s="426"/>
      <c r="AA317" s="426"/>
      <c r="AB317" s="428" t="s">
        <v>330</v>
      </c>
      <c r="AC317" s="124"/>
      <c r="AD317" s="776">
        <v>1080000</v>
      </c>
      <c r="AE317" s="125" t="s">
        <v>644</v>
      </c>
      <c r="AF317" s="785">
        <v>1080000</v>
      </c>
    </row>
    <row r="318" spans="1:32" s="13" customFormat="1" ht="24" customHeight="1">
      <c r="A318" s="40"/>
      <c r="B318" s="40"/>
      <c r="C318" s="575"/>
      <c r="D318" s="145"/>
      <c r="E318" s="97"/>
      <c r="F318" s="97"/>
      <c r="G318" s="97"/>
      <c r="H318" s="97"/>
      <c r="I318" s="97"/>
      <c r="J318" s="97"/>
      <c r="K318" s="97"/>
      <c r="L318" s="97"/>
      <c r="M318" s="97"/>
      <c r="N318" s="62"/>
      <c r="O318" s="566" t="s">
        <v>636</v>
      </c>
      <c r="P318" s="394"/>
      <c r="Q318" s="394"/>
      <c r="R318" s="390"/>
      <c r="S318" s="390"/>
      <c r="T318" s="390"/>
      <c r="U318" s="390"/>
      <c r="V318" s="390"/>
      <c r="W318" s="544"/>
      <c r="X318" s="544"/>
      <c r="Y318" s="544"/>
      <c r="Z318" s="544"/>
      <c r="AA318" s="544"/>
      <c r="AB318" s="728" t="s">
        <v>794</v>
      </c>
      <c r="AC318" s="727"/>
      <c r="AD318" s="776">
        <v>1000000</v>
      </c>
      <c r="AE318" s="125" t="s">
        <v>788</v>
      </c>
      <c r="AF318" s="785">
        <v>1000000</v>
      </c>
    </row>
    <row r="319" spans="1:32" s="13" customFormat="1" ht="24" customHeight="1">
      <c r="A319" s="40"/>
      <c r="B319" s="40"/>
      <c r="C319" s="53"/>
      <c r="D319" s="146"/>
      <c r="E319" s="99"/>
      <c r="F319" s="99"/>
      <c r="G319" s="99"/>
      <c r="H319" s="99"/>
      <c r="I319" s="99"/>
      <c r="J319" s="99"/>
      <c r="K319" s="99"/>
      <c r="L319" s="99"/>
      <c r="M319" s="99"/>
      <c r="N319" s="76"/>
      <c r="O319" s="425"/>
      <c r="P319" s="284"/>
      <c r="Q319" s="284"/>
      <c r="R319" s="441"/>
      <c r="S319" s="441"/>
      <c r="T319" s="441"/>
      <c r="U319" s="441"/>
      <c r="V319" s="441"/>
      <c r="W319" s="424"/>
      <c r="X319" s="424"/>
      <c r="Y319" s="424"/>
      <c r="Z319" s="424"/>
      <c r="AA319" s="424"/>
      <c r="AB319" s="424"/>
      <c r="AC319" s="402"/>
      <c r="AD319" s="402"/>
      <c r="AE319" s="393"/>
      <c r="AF319" s="785"/>
    </row>
    <row r="320" spans="1:32" s="13" customFormat="1" ht="24" customHeight="1">
      <c r="A320" s="40"/>
      <c r="B320" s="40"/>
      <c r="C320" s="110" t="s">
        <v>858</v>
      </c>
      <c r="D320" s="147">
        <v>37456</v>
      </c>
      <c r="E320" s="101">
        <f>ROUND(AD320/1000,0)</f>
        <v>33071</v>
      </c>
      <c r="F320" s="102">
        <f>SUMIF($AB$321:$AB$329,"보조",$AD$321:$AD$329)/1000</f>
        <v>0</v>
      </c>
      <c r="G320" s="102">
        <f>SUMIF($AB$321:$AB$329,"7종",$AD$321:$AD$329)/1000</f>
        <v>0</v>
      </c>
      <c r="H320" s="102">
        <f>SUMIF($AB$321:$AB$329,"4종",$AD$321:$AD$329)/1000</f>
        <v>0</v>
      </c>
      <c r="I320" s="102">
        <f>SUMIF($AB$321:$AB$330,"후원",$AD$321:$AD$330)/1000</f>
        <v>21690</v>
      </c>
      <c r="J320" s="102">
        <f>SUMIF($AB$321:$AB$329,"입소",$AD$321:$AD$329)/1000</f>
        <v>11381</v>
      </c>
      <c r="K320" s="102">
        <f>SUMIF($AB$321:$AB$330,"법인",$AD$321:$AD$330)/1000</f>
        <v>0</v>
      </c>
      <c r="L320" s="102">
        <f>SUMIF($AB$321:$AB$329,"잡수",$AD$321:$AD$329)/1000</f>
        <v>0</v>
      </c>
      <c r="M320" s="101">
        <f>E320-D320</f>
        <v>-4385</v>
      </c>
      <c r="N320" s="109">
        <f>IF(D320=0,0,M320/D320)</f>
        <v>-0.11707069628363947</v>
      </c>
      <c r="O320" s="301"/>
      <c r="P320" s="297"/>
      <c r="Q320" s="297"/>
      <c r="R320" s="435"/>
      <c r="S320" s="435"/>
      <c r="T320" s="435"/>
      <c r="U320" s="435"/>
      <c r="V320" s="435"/>
      <c r="W320" s="436" t="s">
        <v>128</v>
      </c>
      <c r="X320" s="436"/>
      <c r="Y320" s="436"/>
      <c r="Z320" s="436"/>
      <c r="AA320" s="436"/>
      <c r="AB320" s="436"/>
      <c r="AC320" s="437"/>
      <c r="AD320" s="437">
        <f>SUM(AD321:AD330)</f>
        <v>33071000</v>
      </c>
      <c r="AE320" s="438" t="s">
        <v>25</v>
      </c>
      <c r="AF320" s="785"/>
    </row>
    <row r="321" spans="1:32" s="13" customFormat="1" ht="24" customHeight="1">
      <c r="A321" s="40"/>
      <c r="B321" s="40"/>
      <c r="C321" s="575" t="s">
        <v>859</v>
      </c>
      <c r="D321" s="145"/>
      <c r="E321" s="97"/>
      <c r="F321" s="97"/>
      <c r="G321" s="97"/>
      <c r="H321" s="97"/>
      <c r="I321" s="97"/>
      <c r="J321" s="97"/>
      <c r="K321" s="97"/>
      <c r="L321" s="97"/>
      <c r="M321" s="97"/>
      <c r="N321" s="62"/>
      <c r="O321" s="736" t="s">
        <v>861</v>
      </c>
      <c r="P321" s="394"/>
      <c r="Q321" s="394"/>
      <c r="R321" s="390"/>
      <c r="S321" s="390"/>
      <c r="T321" s="390"/>
      <c r="U321" s="390"/>
      <c r="V321" s="390"/>
      <c r="W321" s="426"/>
      <c r="X321" s="426"/>
      <c r="Y321" s="426"/>
      <c r="Z321" s="426"/>
      <c r="AA321" s="426"/>
      <c r="AB321" s="740" t="s">
        <v>896</v>
      </c>
      <c r="AC321" s="124"/>
      <c r="AD321" s="776">
        <v>3260000</v>
      </c>
      <c r="AE321" s="125" t="s">
        <v>644</v>
      </c>
      <c r="AF321" s="785">
        <v>4772000</v>
      </c>
    </row>
    <row r="322" spans="1:32" s="13" customFormat="1" ht="24" customHeight="1">
      <c r="A322" s="40"/>
      <c r="B322" s="40"/>
      <c r="C322" s="575" t="s">
        <v>860</v>
      </c>
      <c r="D322" s="145"/>
      <c r="E322" s="97"/>
      <c r="F322" s="97"/>
      <c r="G322" s="97"/>
      <c r="H322" s="97"/>
      <c r="I322" s="97"/>
      <c r="J322" s="97"/>
      <c r="K322" s="97"/>
      <c r="L322" s="97"/>
      <c r="M322" s="97"/>
      <c r="N322" s="62"/>
      <c r="O322" s="746" t="s">
        <v>826</v>
      </c>
      <c r="P322" s="394"/>
      <c r="Q322" s="394"/>
      <c r="R322" s="390"/>
      <c r="S322" s="390"/>
      <c r="T322" s="390"/>
      <c r="U322" s="390"/>
      <c r="V322" s="390"/>
      <c r="W322" s="745"/>
      <c r="X322" s="745"/>
      <c r="Y322" s="745"/>
      <c r="Z322" s="745"/>
      <c r="AA322" s="745"/>
      <c r="AB322" s="745" t="s">
        <v>210</v>
      </c>
      <c r="AC322" s="744"/>
      <c r="AD322" s="776">
        <v>3232000</v>
      </c>
      <c r="AE322" s="125" t="s">
        <v>56</v>
      </c>
      <c r="AF322" s="785">
        <v>4774000</v>
      </c>
    </row>
    <row r="323" spans="1:32" s="13" customFormat="1" ht="24" customHeight="1">
      <c r="A323" s="40"/>
      <c r="B323" s="40"/>
      <c r="C323" s="40" t="s">
        <v>854</v>
      </c>
      <c r="D323" s="145"/>
      <c r="E323" s="97"/>
      <c r="F323" s="97"/>
      <c r="G323" s="97"/>
      <c r="H323" s="97"/>
      <c r="I323" s="97"/>
      <c r="J323" s="97"/>
      <c r="K323" s="97"/>
      <c r="L323" s="97"/>
      <c r="M323" s="97"/>
      <c r="N323" s="62"/>
      <c r="O323" s="746" t="s">
        <v>862</v>
      </c>
      <c r="P323" s="394"/>
      <c r="Q323" s="394"/>
      <c r="R323" s="390"/>
      <c r="S323" s="390"/>
      <c r="T323" s="390"/>
      <c r="U323" s="390"/>
      <c r="V323" s="390"/>
      <c r="W323" s="745"/>
      <c r="X323" s="745"/>
      <c r="Y323" s="745"/>
      <c r="Z323" s="745"/>
      <c r="AA323" s="745"/>
      <c r="AB323" s="745" t="s">
        <v>210</v>
      </c>
      <c r="AC323" s="744"/>
      <c r="AD323" s="776">
        <v>3209000</v>
      </c>
      <c r="AE323" s="125" t="s">
        <v>56</v>
      </c>
      <c r="AF323" s="785">
        <v>4700000</v>
      </c>
    </row>
    <row r="324" spans="1:32" s="13" customFormat="1" ht="24" customHeight="1">
      <c r="A324" s="40"/>
      <c r="B324" s="40"/>
      <c r="C324" s="40"/>
      <c r="D324" s="145"/>
      <c r="E324" s="97"/>
      <c r="F324" s="97"/>
      <c r="G324" s="97"/>
      <c r="H324" s="97"/>
      <c r="I324" s="97"/>
      <c r="J324" s="97"/>
      <c r="K324" s="97"/>
      <c r="L324" s="97"/>
      <c r="M324" s="97"/>
      <c r="N324" s="62"/>
      <c r="O324" s="767"/>
      <c r="P324" s="394"/>
      <c r="Q324" s="394"/>
      <c r="R324" s="390"/>
      <c r="S324" s="390"/>
      <c r="T324" s="390"/>
      <c r="U324" s="390"/>
      <c r="V324" s="390"/>
      <c r="W324" s="766"/>
      <c r="X324" s="766"/>
      <c r="Y324" s="766"/>
      <c r="Z324" s="766"/>
      <c r="AA324" s="766"/>
      <c r="AB324" s="766" t="s">
        <v>150</v>
      </c>
      <c r="AC324" s="765"/>
      <c r="AD324" s="776">
        <v>60000</v>
      </c>
      <c r="AE324" s="125" t="s">
        <v>931</v>
      </c>
      <c r="AF324" s="785">
        <v>0</v>
      </c>
    </row>
    <row r="325" spans="1:32" s="13" customFormat="1" ht="24" customHeight="1">
      <c r="A325" s="40"/>
      <c r="B325" s="40"/>
      <c r="C325" s="40"/>
      <c r="D325" s="145"/>
      <c r="E325" s="97"/>
      <c r="F325" s="97"/>
      <c r="G325" s="97"/>
      <c r="H325" s="97"/>
      <c r="I325" s="97"/>
      <c r="J325" s="97"/>
      <c r="K325" s="97"/>
      <c r="L325" s="97"/>
      <c r="M325" s="97"/>
      <c r="N325" s="62"/>
      <c r="O325" s="746" t="s">
        <v>863</v>
      </c>
      <c r="P325" s="394"/>
      <c r="Q325" s="394"/>
      <c r="R325" s="390"/>
      <c r="S325" s="390"/>
      <c r="T325" s="390"/>
      <c r="U325" s="390"/>
      <c r="V325" s="390"/>
      <c r="W325" s="745"/>
      <c r="X325" s="745"/>
      <c r="Y325" s="766" t="s">
        <v>929</v>
      </c>
      <c r="Z325" s="745"/>
      <c r="AA325" s="745"/>
      <c r="AB325" s="745" t="s">
        <v>150</v>
      </c>
      <c r="AC325" s="744"/>
      <c r="AD325" s="776">
        <v>19000000</v>
      </c>
      <c r="AE325" s="125" t="s">
        <v>56</v>
      </c>
      <c r="AF325" s="785">
        <v>18900000</v>
      </c>
    </row>
    <row r="326" spans="1:32" s="13" customFormat="1" ht="24" customHeight="1">
      <c r="A326" s="40"/>
      <c r="B326" s="40"/>
      <c r="C326" s="40"/>
      <c r="D326" s="145"/>
      <c r="E326" s="97"/>
      <c r="F326" s="97"/>
      <c r="G326" s="97"/>
      <c r="H326" s="97"/>
      <c r="I326" s="97"/>
      <c r="J326" s="97"/>
      <c r="K326" s="97"/>
      <c r="L326" s="97"/>
      <c r="M326" s="97"/>
      <c r="N326" s="62"/>
      <c r="O326" s="746"/>
      <c r="P326" s="394"/>
      <c r="Q326" s="394"/>
      <c r="R326" s="390"/>
      <c r="S326" s="390"/>
      <c r="T326" s="390"/>
      <c r="U326" s="390"/>
      <c r="V326" s="390"/>
      <c r="W326" s="745"/>
      <c r="X326" s="745"/>
      <c r="Y326" s="745"/>
      <c r="Z326" s="745"/>
      <c r="AA326" s="745"/>
      <c r="AB326" s="745" t="s">
        <v>150</v>
      </c>
      <c r="AC326" s="744"/>
      <c r="AD326" s="776">
        <v>330000</v>
      </c>
      <c r="AE326" s="125" t="s">
        <v>56</v>
      </c>
      <c r="AF326" s="786">
        <v>330000</v>
      </c>
    </row>
    <row r="327" spans="1:32" s="13" customFormat="1" ht="24" customHeight="1">
      <c r="A327" s="40"/>
      <c r="B327" s="40"/>
      <c r="C327" s="40"/>
      <c r="D327" s="145"/>
      <c r="E327" s="97"/>
      <c r="F327" s="97"/>
      <c r="G327" s="97"/>
      <c r="H327" s="97"/>
      <c r="I327" s="97"/>
      <c r="J327" s="97"/>
      <c r="K327" s="97"/>
      <c r="L327" s="97"/>
      <c r="M327" s="97"/>
      <c r="N327" s="62"/>
      <c r="O327" s="736" t="s">
        <v>864</v>
      </c>
      <c r="P327" s="394"/>
      <c r="Q327" s="394"/>
      <c r="R327" s="390"/>
      <c r="S327" s="390"/>
      <c r="T327" s="390"/>
      <c r="U327" s="390"/>
      <c r="V327" s="390"/>
      <c r="W327" s="728"/>
      <c r="X327" s="728"/>
      <c r="Y327" s="728"/>
      <c r="Z327" s="728"/>
      <c r="AA327" s="728"/>
      <c r="AB327" s="728" t="s">
        <v>794</v>
      </c>
      <c r="AC327" s="727"/>
      <c r="AD327" s="776">
        <v>100000</v>
      </c>
      <c r="AE327" s="125" t="s">
        <v>788</v>
      </c>
      <c r="AF327" s="786">
        <v>100000</v>
      </c>
    </row>
    <row r="328" spans="1:32" s="13" customFormat="1" ht="24" customHeight="1">
      <c r="A328" s="40"/>
      <c r="B328" s="40"/>
      <c r="C328" s="40"/>
      <c r="D328" s="145"/>
      <c r="E328" s="97"/>
      <c r="F328" s="97"/>
      <c r="G328" s="97"/>
      <c r="H328" s="97"/>
      <c r="I328" s="97"/>
      <c r="J328" s="97"/>
      <c r="K328" s="97"/>
      <c r="L328" s="97"/>
      <c r="M328" s="97"/>
      <c r="N328" s="62"/>
      <c r="O328" s="736" t="s">
        <v>865</v>
      </c>
      <c r="P328" s="394"/>
      <c r="Q328" s="394"/>
      <c r="R328" s="390"/>
      <c r="S328" s="390"/>
      <c r="T328" s="390"/>
      <c r="U328" s="390"/>
      <c r="V328" s="390"/>
      <c r="W328" s="735"/>
      <c r="X328" s="735"/>
      <c r="Y328" s="735"/>
      <c r="Z328" s="735"/>
      <c r="AA328" s="735"/>
      <c r="AB328" s="740" t="s">
        <v>150</v>
      </c>
      <c r="AC328" s="734"/>
      <c r="AD328" s="776">
        <v>760000</v>
      </c>
      <c r="AE328" s="125" t="s">
        <v>846</v>
      </c>
      <c r="AF328" s="786">
        <v>760000</v>
      </c>
    </row>
    <row r="329" spans="1:32" s="13" customFormat="1" ht="24" customHeight="1">
      <c r="A329" s="40"/>
      <c r="B329" s="40"/>
      <c r="C329" s="40"/>
      <c r="D329" s="145"/>
      <c r="E329" s="97"/>
      <c r="F329" s="97"/>
      <c r="G329" s="97"/>
      <c r="H329" s="97"/>
      <c r="I329" s="97"/>
      <c r="J329" s="97"/>
      <c r="K329" s="97"/>
      <c r="L329" s="97"/>
      <c r="M329" s="97"/>
      <c r="N329" s="62"/>
      <c r="O329" s="736" t="s">
        <v>871</v>
      </c>
      <c r="P329" s="729"/>
      <c r="Q329" s="729"/>
      <c r="R329" s="729"/>
      <c r="S329" s="728"/>
      <c r="T329" s="289"/>
      <c r="U329" s="289"/>
      <c r="V329" s="728"/>
      <c r="W329" s="729"/>
      <c r="X329" s="728"/>
      <c r="Y329" s="728"/>
      <c r="Z329" s="728"/>
      <c r="AA329" s="728"/>
      <c r="AB329" s="740" t="s">
        <v>898</v>
      </c>
      <c r="AC329" s="728"/>
      <c r="AD329" s="777">
        <v>1680000</v>
      </c>
      <c r="AE329" s="125" t="s">
        <v>846</v>
      </c>
      <c r="AF329" s="785">
        <v>1680000</v>
      </c>
    </row>
    <row r="330" spans="1:32" s="13" customFormat="1" ht="24" customHeight="1">
      <c r="A330" s="40"/>
      <c r="B330" s="40"/>
      <c r="C330" s="40"/>
      <c r="D330" s="145"/>
      <c r="E330" s="97"/>
      <c r="F330" s="97"/>
      <c r="G330" s="97"/>
      <c r="H330" s="97"/>
      <c r="I330" s="97"/>
      <c r="J330" s="97"/>
      <c r="K330" s="97"/>
      <c r="L330" s="97"/>
      <c r="M330" s="97"/>
      <c r="N330" s="62"/>
      <c r="O330" s="729"/>
      <c r="P330" s="729"/>
      <c r="Q330" s="729"/>
      <c r="R330" s="729"/>
      <c r="S330" s="728"/>
      <c r="T330" s="289"/>
      <c r="U330" s="289"/>
      <c r="V330" s="728"/>
      <c r="W330" s="729"/>
      <c r="X330" s="728"/>
      <c r="Y330" s="728"/>
      <c r="Z330" s="728"/>
      <c r="AA330" s="728"/>
      <c r="AB330" s="740" t="s">
        <v>895</v>
      </c>
      <c r="AC330" s="728"/>
      <c r="AD330" s="777">
        <v>1440000</v>
      </c>
      <c r="AE330" s="125" t="s">
        <v>56</v>
      </c>
      <c r="AF330" s="785">
        <v>1440000</v>
      </c>
    </row>
    <row r="331" spans="1:32" s="13" customFormat="1" ht="24" customHeight="1">
      <c r="A331" s="40"/>
      <c r="B331" s="40"/>
      <c r="C331" s="40"/>
      <c r="D331" s="145"/>
      <c r="E331" s="97"/>
      <c r="F331" s="97"/>
      <c r="G331" s="97"/>
      <c r="H331" s="97"/>
      <c r="I331" s="97"/>
      <c r="J331" s="97"/>
      <c r="K331" s="97"/>
      <c r="L331" s="97"/>
      <c r="M331" s="97"/>
      <c r="N331" s="62"/>
      <c r="O331" s="423"/>
      <c r="P331" s="252"/>
      <c r="Q331" s="252"/>
      <c r="R331" s="248"/>
      <c r="S331" s="248"/>
      <c r="T331" s="248"/>
      <c r="U331" s="248"/>
      <c r="V331" s="248"/>
      <c r="W331" s="370"/>
      <c r="X331" s="370"/>
      <c r="Y331" s="370"/>
      <c r="Z331" s="370"/>
      <c r="AA331" s="370"/>
      <c r="AB331" s="569"/>
      <c r="AC331" s="518"/>
      <c r="AD331" s="776"/>
      <c r="AE331" s="125"/>
      <c r="AF331" s="785"/>
    </row>
    <row r="332" spans="1:32" s="13" customFormat="1" ht="24" customHeight="1">
      <c r="A332" s="40"/>
      <c r="B332" s="40"/>
      <c r="C332" s="30" t="s">
        <v>309</v>
      </c>
      <c r="D332" s="147">
        <v>2937</v>
      </c>
      <c r="E332" s="101">
        <f>ROUND(AD332/1000,0)</f>
        <v>2937</v>
      </c>
      <c r="F332" s="102">
        <f>SUMIF($AB$333:$AB$339,"보조",$AD$333:$AD$339)/1000</f>
        <v>0</v>
      </c>
      <c r="G332" s="102">
        <f>SUMIF($AB$333:$AB$339,"7종",$AD$333:$AD$339)/1000</f>
        <v>0</v>
      </c>
      <c r="H332" s="102">
        <f>SUMIF($AB$333:$AB$339,"4종",$AD$333:$AD$339)/1000</f>
        <v>0</v>
      </c>
      <c r="I332" s="102">
        <f>SUMIF($AB$333:$AB$339,"후원",$AD$333:$AD$339)/1000</f>
        <v>2937</v>
      </c>
      <c r="J332" s="102">
        <f>SUMIF($AB$333:$AB$339,"입소",$AD$333:$AD$339)/1000</f>
        <v>0</v>
      </c>
      <c r="K332" s="102">
        <f>SUMIF($AB$333:$AB$339,"법인",$AD$333:$AD$339)/1000</f>
        <v>0</v>
      </c>
      <c r="L332" s="102">
        <f>SUMIF($AB$333:$AB$339,"잡수",$AD$333:$AD$339)/1000</f>
        <v>0</v>
      </c>
      <c r="M332" s="111">
        <f>E332-D332</f>
        <v>0</v>
      </c>
      <c r="N332" s="109">
        <f>IF(D332=0,0,M332/D332)</f>
        <v>0</v>
      </c>
      <c r="O332" s="301"/>
      <c r="P332" s="297"/>
      <c r="Q332" s="297"/>
      <c r="R332" s="435"/>
      <c r="S332" s="435"/>
      <c r="T332" s="435"/>
      <c r="U332" s="435"/>
      <c r="V332" s="435"/>
      <c r="W332" s="436" t="s">
        <v>128</v>
      </c>
      <c r="X332" s="436"/>
      <c r="Y332" s="436"/>
      <c r="Z332" s="436"/>
      <c r="AA332" s="436"/>
      <c r="AB332" s="436"/>
      <c r="AC332" s="437"/>
      <c r="AD332" s="437">
        <f>SUM(AD333:AD339)</f>
        <v>2937000</v>
      </c>
      <c r="AE332" s="438" t="s">
        <v>25</v>
      </c>
      <c r="AF332" s="785"/>
    </row>
    <row r="333" spans="1:32" s="13" customFormat="1" ht="24" customHeight="1">
      <c r="A333" s="40"/>
      <c r="B333" s="40"/>
      <c r="C333" s="40" t="s">
        <v>298</v>
      </c>
      <c r="D333" s="145"/>
      <c r="E333" s="97"/>
      <c r="F333" s="97"/>
      <c r="G333" s="97"/>
      <c r="H333" s="97"/>
      <c r="I333" s="97"/>
      <c r="J333" s="97"/>
      <c r="K333" s="97"/>
      <c r="L333" s="97"/>
      <c r="M333" s="97"/>
      <c r="N333" s="62"/>
      <c r="O333" s="566" t="s">
        <v>639</v>
      </c>
      <c r="P333" s="394"/>
      <c r="Q333" s="394"/>
      <c r="R333" s="390"/>
      <c r="S333" s="390"/>
      <c r="T333" s="390"/>
      <c r="U333" s="390"/>
      <c r="V333" s="390"/>
      <c r="W333" s="563"/>
      <c r="X333" s="563"/>
      <c r="Y333" s="563"/>
      <c r="Z333" s="563"/>
      <c r="AA333" s="563"/>
      <c r="AB333" s="563" t="s">
        <v>622</v>
      </c>
      <c r="AC333" s="124"/>
      <c r="AD333" s="776">
        <v>80000</v>
      </c>
      <c r="AE333" s="125" t="s">
        <v>644</v>
      </c>
      <c r="AF333" s="785">
        <v>80000</v>
      </c>
    </row>
    <row r="334" spans="1:32" s="13" customFormat="1" ht="24" customHeight="1">
      <c r="A334" s="40"/>
      <c r="B334" s="40"/>
      <c r="C334" s="40"/>
      <c r="D334" s="145"/>
      <c r="E334" s="97"/>
      <c r="F334" s="97"/>
      <c r="G334" s="97"/>
      <c r="H334" s="97"/>
      <c r="I334" s="97"/>
      <c r="J334" s="97"/>
      <c r="K334" s="97"/>
      <c r="L334" s="97"/>
      <c r="M334" s="97"/>
      <c r="N334" s="62"/>
      <c r="O334" s="427" t="s">
        <v>310</v>
      </c>
      <c r="P334" s="394"/>
      <c r="Q334" s="394"/>
      <c r="R334" s="390"/>
      <c r="S334" s="390"/>
      <c r="T334" s="390"/>
      <c r="U334" s="390"/>
      <c r="V334" s="390"/>
      <c r="W334" s="426"/>
      <c r="X334" s="426"/>
      <c r="Y334" s="426"/>
      <c r="Z334" s="426"/>
      <c r="AA334" s="426"/>
      <c r="AB334" s="565" t="s">
        <v>150</v>
      </c>
      <c r="AC334" s="124"/>
      <c r="AD334" s="776">
        <v>300000</v>
      </c>
      <c r="AE334" s="125" t="s">
        <v>644</v>
      </c>
      <c r="AF334" s="785">
        <v>300000</v>
      </c>
    </row>
    <row r="335" spans="1:32" s="13" customFormat="1" ht="24" customHeight="1">
      <c r="A335" s="40"/>
      <c r="B335" s="40"/>
      <c r="C335" s="40"/>
      <c r="D335" s="145"/>
      <c r="E335" s="97"/>
      <c r="F335" s="97"/>
      <c r="G335" s="97"/>
      <c r="H335" s="97"/>
      <c r="I335" s="97"/>
      <c r="J335" s="97"/>
      <c r="K335" s="97"/>
      <c r="L335" s="97"/>
      <c r="M335" s="97"/>
      <c r="N335" s="62"/>
      <c r="O335" s="566" t="s">
        <v>637</v>
      </c>
      <c r="P335" s="394"/>
      <c r="Q335" s="394"/>
      <c r="R335" s="390"/>
      <c r="S335" s="390"/>
      <c r="T335" s="390"/>
      <c r="U335" s="390"/>
      <c r="V335" s="390"/>
      <c r="W335" s="428"/>
      <c r="X335" s="428"/>
      <c r="Y335" s="428"/>
      <c r="Z335" s="428"/>
      <c r="AA335" s="428"/>
      <c r="AB335" s="565" t="s">
        <v>150</v>
      </c>
      <c r="AC335" s="124"/>
      <c r="AD335" s="776">
        <v>150000</v>
      </c>
      <c r="AE335" s="125" t="s">
        <v>644</v>
      </c>
      <c r="AF335" s="785">
        <v>150000</v>
      </c>
    </row>
    <row r="336" spans="1:32" s="13" customFormat="1" ht="24" customHeight="1">
      <c r="A336" s="40"/>
      <c r="B336" s="40"/>
      <c r="C336" s="40"/>
      <c r="D336" s="145"/>
      <c r="E336" s="97"/>
      <c r="F336" s="97"/>
      <c r="G336" s="97"/>
      <c r="H336" s="97"/>
      <c r="I336" s="97"/>
      <c r="J336" s="97"/>
      <c r="K336" s="97"/>
      <c r="L336" s="97"/>
      <c r="M336" s="97"/>
      <c r="N336" s="62"/>
      <c r="O336" s="566" t="s">
        <v>638</v>
      </c>
      <c r="P336" s="394"/>
      <c r="Q336" s="394"/>
      <c r="R336" s="390"/>
      <c r="S336" s="390"/>
      <c r="T336" s="390"/>
      <c r="U336" s="390"/>
      <c r="V336" s="390"/>
      <c r="W336" s="426"/>
      <c r="X336" s="426"/>
      <c r="Y336" s="426"/>
      <c r="Z336" s="426"/>
      <c r="AA336" s="426"/>
      <c r="AB336" s="565" t="s">
        <v>150</v>
      </c>
      <c r="AC336" s="124"/>
      <c r="AD336" s="776">
        <v>757000</v>
      </c>
      <c r="AE336" s="125" t="s">
        <v>678</v>
      </c>
      <c r="AF336" s="785">
        <v>757000</v>
      </c>
    </row>
    <row r="337" spans="1:32" s="13" customFormat="1" ht="24" customHeight="1">
      <c r="A337" s="40"/>
      <c r="B337" s="40"/>
      <c r="C337" s="40"/>
      <c r="D337" s="145"/>
      <c r="E337" s="97"/>
      <c r="F337" s="97"/>
      <c r="G337" s="97"/>
      <c r="H337" s="97"/>
      <c r="I337" s="97"/>
      <c r="J337" s="97"/>
      <c r="K337" s="97"/>
      <c r="L337" s="97"/>
      <c r="M337" s="97"/>
      <c r="N337" s="62"/>
      <c r="O337" s="736" t="s">
        <v>872</v>
      </c>
      <c r="P337" s="394"/>
      <c r="Q337" s="394"/>
      <c r="R337" s="390"/>
      <c r="S337" s="390"/>
      <c r="T337" s="390"/>
      <c r="U337" s="390"/>
      <c r="V337" s="390"/>
      <c r="W337" s="735"/>
      <c r="X337" s="735"/>
      <c r="Y337" s="735"/>
      <c r="Z337" s="735"/>
      <c r="AA337" s="735"/>
      <c r="AB337" s="740" t="s">
        <v>150</v>
      </c>
      <c r="AC337" s="734"/>
      <c r="AD337" s="776">
        <v>240000</v>
      </c>
      <c r="AE337" s="125" t="s">
        <v>846</v>
      </c>
      <c r="AF337" s="785">
        <v>240000</v>
      </c>
    </row>
    <row r="338" spans="1:32" s="13" customFormat="1" ht="24" customHeight="1">
      <c r="A338" s="40"/>
      <c r="B338" s="40"/>
      <c r="C338" s="40"/>
      <c r="D338" s="145"/>
      <c r="E338" s="97"/>
      <c r="F338" s="97"/>
      <c r="G338" s="97"/>
      <c r="H338" s="97"/>
      <c r="I338" s="97"/>
      <c r="J338" s="97"/>
      <c r="K338" s="97"/>
      <c r="L338" s="97"/>
      <c r="M338" s="97"/>
      <c r="N338" s="62"/>
      <c r="O338" s="736" t="s">
        <v>874</v>
      </c>
      <c r="P338" s="394"/>
      <c r="Q338" s="394"/>
      <c r="R338" s="390"/>
      <c r="S338" s="390"/>
      <c r="T338" s="390"/>
      <c r="U338" s="390"/>
      <c r="V338" s="390"/>
      <c r="W338" s="735"/>
      <c r="X338" s="735"/>
      <c r="Y338" s="735"/>
      <c r="Z338" s="735"/>
      <c r="AA338" s="735"/>
      <c r="AB338" s="740" t="s">
        <v>895</v>
      </c>
      <c r="AC338" s="734"/>
      <c r="AD338" s="776">
        <v>1250000</v>
      </c>
      <c r="AE338" s="125" t="s">
        <v>846</v>
      </c>
      <c r="AF338" s="785">
        <v>1250000</v>
      </c>
    </row>
    <row r="339" spans="1:32" s="13" customFormat="1" ht="24" customHeight="1">
      <c r="A339" s="40"/>
      <c r="B339" s="40"/>
      <c r="C339" s="53"/>
      <c r="D339" s="146"/>
      <c r="E339" s="99"/>
      <c r="F339" s="99"/>
      <c r="G339" s="99"/>
      <c r="H339" s="99"/>
      <c r="I339" s="99"/>
      <c r="J339" s="99"/>
      <c r="K339" s="99"/>
      <c r="L339" s="99"/>
      <c r="M339" s="99"/>
      <c r="N339" s="76"/>
      <c r="O339" s="737" t="s">
        <v>873</v>
      </c>
      <c r="P339" s="284"/>
      <c r="Q339" s="284"/>
      <c r="R339" s="441"/>
      <c r="S339" s="441"/>
      <c r="T339" s="441"/>
      <c r="U339" s="441"/>
      <c r="V339" s="441"/>
      <c r="W339" s="730"/>
      <c r="X339" s="730"/>
      <c r="Y339" s="730"/>
      <c r="Z339" s="730"/>
      <c r="AA339" s="730"/>
      <c r="AB339" s="742" t="s">
        <v>895</v>
      </c>
      <c r="AC339" s="402"/>
      <c r="AD339" s="402">
        <v>160000</v>
      </c>
      <c r="AE339" s="125" t="s">
        <v>788</v>
      </c>
      <c r="AF339" s="785">
        <v>160000</v>
      </c>
    </row>
    <row r="340" spans="1:32" s="13" customFormat="1" ht="24" customHeight="1">
      <c r="A340" s="40"/>
      <c r="B340" s="40"/>
      <c r="C340" s="30" t="s">
        <v>311</v>
      </c>
      <c r="D340" s="147">
        <v>3910</v>
      </c>
      <c r="E340" s="101">
        <f>ROUND(AD340/1000,0)</f>
        <v>5710</v>
      </c>
      <c r="F340" s="102">
        <f>SUMIF($AB$341:$AB$348,"보조",$AD$341:$AD$348)/1000</f>
        <v>0</v>
      </c>
      <c r="G340" s="102">
        <f>SUMIF($AB$341:$AB$348,"7종",$AD$341:$AD$348)/1000</f>
        <v>0</v>
      </c>
      <c r="H340" s="102">
        <f>SUMIF($AB$341:$AB$348,"4종",$AD$341:$AD$348)/1000</f>
        <v>0</v>
      </c>
      <c r="I340" s="102">
        <f>SUMIF($AB$341:$AB$348,"후원",$AD$341:$AD$348)/1000</f>
        <v>3910</v>
      </c>
      <c r="J340" s="102">
        <f>SUMIF($AB$341:$AB$348,"입소",$AD$341:$AD$348)/1000</f>
        <v>1800</v>
      </c>
      <c r="K340" s="102">
        <f>SUMIF($AB$341:$AB$348,"법인",$AD$341:$AD$348)/1000</f>
        <v>0</v>
      </c>
      <c r="L340" s="102">
        <f>SUMIF($AB$341:$AB$348,"잡수",$AD$341:$AD$348)/1000</f>
        <v>0</v>
      </c>
      <c r="M340" s="101">
        <f>E340-D340</f>
        <v>1800</v>
      </c>
      <c r="N340" s="109">
        <f>IF(D340=0,0,M340/D340)</f>
        <v>0.46035805626598464</v>
      </c>
      <c r="O340" s="301"/>
      <c r="P340" s="297"/>
      <c r="Q340" s="297"/>
      <c r="R340" s="435"/>
      <c r="S340" s="435"/>
      <c r="T340" s="435"/>
      <c r="U340" s="435"/>
      <c r="V340" s="435"/>
      <c r="W340" s="436" t="s">
        <v>827</v>
      </c>
      <c r="X340" s="436"/>
      <c r="Y340" s="436"/>
      <c r="Z340" s="436"/>
      <c r="AA340" s="436"/>
      <c r="AB340" s="436"/>
      <c r="AC340" s="437"/>
      <c r="AD340" s="437">
        <f>SUM(AD341:AD348)</f>
        <v>5710000</v>
      </c>
      <c r="AE340" s="438" t="s">
        <v>25</v>
      </c>
      <c r="AF340" s="785"/>
    </row>
    <row r="341" spans="1:32" s="13" customFormat="1" ht="24" customHeight="1">
      <c r="A341" s="40"/>
      <c r="B341" s="40"/>
      <c r="C341" s="40" t="s">
        <v>308</v>
      </c>
      <c r="D341" s="145"/>
      <c r="E341" s="97"/>
      <c r="F341" s="97"/>
      <c r="G341" s="97"/>
      <c r="H341" s="97"/>
      <c r="I341" s="97"/>
      <c r="J341" s="97"/>
      <c r="K341" s="97"/>
      <c r="L341" s="97"/>
      <c r="M341" s="97"/>
      <c r="N341" s="62"/>
      <c r="O341" s="729" t="s">
        <v>828</v>
      </c>
      <c r="P341" s="394"/>
      <c r="Q341" s="394"/>
      <c r="R341" s="390"/>
      <c r="S341" s="390"/>
      <c r="T341" s="390"/>
      <c r="U341" s="390"/>
      <c r="V341" s="390"/>
      <c r="W341" s="728"/>
      <c r="X341" s="728"/>
      <c r="Y341" s="728"/>
      <c r="Z341" s="728"/>
      <c r="AA341" s="728"/>
      <c r="AB341" s="766" t="s">
        <v>942</v>
      </c>
      <c r="AC341" s="727"/>
      <c r="AD341" s="776">
        <v>1110000</v>
      </c>
      <c r="AE341" s="125" t="s">
        <v>788</v>
      </c>
      <c r="AF341" s="787">
        <v>1110000</v>
      </c>
    </row>
    <row r="342" spans="1:32" s="13" customFormat="1" ht="24" customHeight="1">
      <c r="A342" s="40"/>
      <c r="B342" s="40"/>
      <c r="C342" s="40" t="s">
        <v>298</v>
      </c>
      <c r="D342" s="145"/>
      <c r="E342" s="97"/>
      <c r="F342" s="97"/>
      <c r="G342" s="97"/>
      <c r="H342" s="97"/>
      <c r="I342" s="97"/>
      <c r="J342" s="97"/>
      <c r="K342" s="97"/>
      <c r="L342" s="97"/>
      <c r="M342" s="97"/>
      <c r="N342" s="62"/>
      <c r="O342" s="729" t="s">
        <v>829</v>
      </c>
      <c r="P342" s="394"/>
      <c r="Q342" s="394"/>
      <c r="R342" s="390"/>
      <c r="S342" s="390"/>
      <c r="T342" s="390"/>
      <c r="U342" s="390"/>
      <c r="V342" s="390"/>
      <c r="W342" s="728"/>
      <c r="X342" s="728"/>
      <c r="Y342" s="728"/>
      <c r="Z342" s="728"/>
      <c r="AA342" s="728"/>
      <c r="AB342" s="728" t="s">
        <v>794</v>
      </c>
      <c r="AC342" s="727"/>
      <c r="AD342" s="776">
        <v>570000</v>
      </c>
      <c r="AE342" s="125" t="s">
        <v>788</v>
      </c>
      <c r="AF342" s="785">
        <v>570000</v>
      </c>
    </row>
    <row r="343" spans="1:32" s="13" customFormat="1" ht="24" customHeight="1">
      <c r="A343" s="40"/>
      <c r="B343" s="40"/>
      <c r="C343" s="40"/>
      <c r="D343" s="145"/>
      <c r="E343" s="97"/>
      <c r="F343" s="97"/>
      <c r="G343" s="97"/>
      <c r="H343" s="97"/>
      <c r="I343" s="97"/>
      <c r="J343" s="97"/>
      <c r="K343" s="97"/>
      <c r="L343" s="97"/>
      <c r="M343" s="97"/>
      <c r="N343" s="62"/>
      <c r="O343" s="736" t="s">
        <v>875</v>
      </c>
      <c r="P343" s="394"/>
      <c r="Q343" s="394"/>
      <c r="R343" s="390"/>
      <c r="S343" s="390"/>
      <c r="T343" s="390"/>
      <c r="U343" s="390"/>
      <c r="V343" s="390"/>
      <c r="W343" s="728"/>
      <c r="X343" s="728"/>
      <c r="Y343" s="728"/>
      <c r="Z343" s="728"/>
      <c r="AA343" s="728"/>
      <c r="AB343" s="728" t="s">
        <v>794</v>
      </c>
      <c r="AC343" s="727"/>
      <c r="AD343" s="776">
        <v>1220000</v>
      </c>
      <c r="AE343" s="125" t="s">
        <v>788</v>
      </c>
      <c r="AF343" s="785">
        <v>1220000</v>
      </c>
    </row>
    <row r="344" spans="1:32" s="13" customFormat="1" ht="24" customHeight="1">
      <c r="A344" s="40"/>
      <c r="B344" s="40"/>
      <c r="C344" s="40"/>
      <c r="D344" s="145"/>
      <c r="E344" s="97"/>
      <c r="F344" s="97"/>
      <c r="G344" s="97"/>
      <c r="H344" s="97"/>
      <c r="I344" s="97"/>
      <c r="J344" s="97"/>
      <c r="K344" s="97"/>
      <c r="L344" s="97"/>
      <c r="M344" s="97"/>
      <c r="N344" s="62"/>
      <c r="O344" s="729" t="s">
        <v>830</v>
      </c>
      <c r="P344" s="394"/>
      <c r="Q344" s="394"/>
      <c r="R344" s="390"/>
      <c r="S344" s="390"/>
      <c r="T344" s="390"/>
      <c r="U344" s="390"/>
      <c r="V344" s="390"/>
      <c r="W344" s="728"/>
      <c r="X344" s="728"/>
      <c r="Y344" s="728"/>
      <c r="Z344" s="728"/>
      <c r="AA344" s="728"/>
      <c r="AB344" s="766" t="s">
        <v>150</v>
      </c>
      <c r="AC344" s="727"/>
      <c r="AD344" s="776">
        <v>480000</v>
      </c>
      <c r="AE344" s="125" t="s">
        <v>788</v>
      </c>
      <c r="AF344" s="787">
        <v>480000</v>
      </c>
    </row>
    <row r="345" spans="1:32" s="13" customFormat="1" ht="24" customHeight="1">
      <c r="A345" s="40"/>
      <c r="B345" s="40"/>
      <c r="C345" s="40"/>
      <c r="D345" s="145"/>
      <c r="E345" s="97"/>
      <c r="F345" s="97"/>
      <c r="G345" s="97"/>
      <c r="H345" s="97"/>
      <c r="I345" s="97"/>
      <c r="J345" s="97"/>
      <c r="K345" s="97"/>
      <c r="L345" s="97"/>
      <c r="M345" s="97"/>
      <c r="N345" s="62"/>
      <c r="O345" s="767" t="s">
        <v>631</v>
      </c>
      <c r="P345" s="394"/>
      <c r="Q345" s="394"/>
      <c r="R345" s="390"/>
      <c r="S345" s="390"/>
      <c r="T345" s="390"/>
      <c r="U345" s="390"/>
      <c r="V345" s="390"/>
      <c r="W345" s="766"/>
      <c r="X345" s="766"/>
      <c r="Y345" s="766"/>
      <c r="Z345" s="766"/>
      <c r="AA345" s="766"/>
      <c r="AB345" s="766" t="s">
        <v>150</v>
      </c>
      <c r="AC345" s="765"/>
      <c r="AD345" s="776">
        <v>530000</v>
      </c>
      <c r="AE345" s="125" t="s">
        <v>56</v>
      </c>
      <c r="AF345" s="787">
        <v>530000</v>
      </c>
    </row>
    <row r="346" spans="1:32" s="13" customFormat="1" ht="24" customHeight="1">
      <c r="A346" s="40"/>
      <c r="B346" s="40"/>
      <c r="C346" s="40"/>
      <c r="D346" s="145"/>
      <c r="E346" s="97"/>
      <c r="F346" s="97"/>
      <c r="G346" s="97"/>
      <c r="H346" s="97"/>
      <c r="I346" s="97"/>
      <c r="J346" s="97"/>
      <c r="K346" s="97"/>
      <c r="L346" s="97"/>
      <c r="M346" s="97"/>
      <c r="N346" s="62"/>
      <c r="O346" s="767" t="s">
        <v>936</v>
      </c>
      <c r="P346" s="394"/>
      <c r="Q346" s="394"/>
      <c r="R346" s="390"/>
      <c r="S346" s="390"/>
      <c r="T346" s="390"/>
      <c r="U346" s="390"/>
      <c r="V346" s="390"/>
      <c r="W346" s="766"/>
      <c r="X346" s="766"/>
      <c r="Y346" s="766"/>
      <c r="Z346" s="766"/>
      <c r="AA346" s="766"/>
      <c r="AB346" s="766" t="s">
        <v>937</v>
      </c>
      <c r="AC346" s="765"/>
      <c r="AD346" s="776">
        <v>1800000</v>
      </c>
      <c r="AE346" s="125" t="s">
        <v>931</v>
      </c>
      <c r="AF346" s="785">
        <v>0</v>
      </c>
    </row>
    <row r="347" spans="1:32" s="13" customFormat="1" ht="24" customHeight="1">
      <c r="A347" s="40"/>
      <c r="B347" s="40"/>
      <c r="C347" s="40"/>
      <c r="D347" s="145"/>
      <c r="E347" s="97"/>
      <c r="F347" s="97"/>
      <c r="G347" s="97"/>
      <c r="H347" s="97"/>
      <c r="I347" s="97"/>
      <c r="J347" s="97"/>
      <c r="K347" s="97"/>
      <c r="L347" s="97"/>
      <c r="M347" s="97"/>
      <c r="N347" s="62"/>
      <c r="O347" s="767"/>
      <c r="P347" s="394"/>
      <c r="Q347" s="394"/>
      <c r="R347" s="390"/>
      <c r="S347" s="390"/>
      <c r="T347" s="390"/>
      <c r="U347" s="390"/>
      <c r="V347" s="390"/>
      <c r="W347" s="766"/>
      <c r="X347" s="766"/>
      <c r="Y347" s="766"/>
      <c r="Z347" s="766"/>
      <c r="AA347" s="766"/>
      <c r="AB347" s="766" t="s">
        <v>930</v>
      </c>
      <c r="AC347" s="765"/>
      <c r="AD347" s="776"/>
      <c r="AE347" s="125" t="s">
        <v>931</v>
      </c>
      <c r="AF347" s="785">
        <v>0</v>
      </c>
    </row>
    <row r="348" spans="1:32" s="13" customFormat="1" ht="24" customHeight="1">
      <c r="A348" s="40"/>
      <c r="B348" s="40"/>
      <c r="C348" s="40"/>
      <c r="D348" s="145"/>
      <c r="E348" s="97"/>
      <c r="F348" s="97"/>
      <c r="G348" s="97"/>
      <c r="H348" s="97"/>
      <c r="I348" s="97"/>
      <c r="J348" s="97"/>
      <c r="K348" s="97"/>
      <c r="L348" s="97"/>
      <c r="M348" s="97"/>
      <c r="N348" s="62"/>
      <c r="O348" s="564"/>
      <c r="P348" s="394"/>
      <c r="Q348" s="394"/>
      <c r="R348" s="390"/>
      <c r="S348" s="390"/>
      <c r="T348" s="390"/>
      <c r="U348" s="390"/>
      <c r="V348" s="390"/>
      <c r="W348" s="563"/>
      <c r="X348" s="563"/>
      <c r="Y348" s="563"/>
      <c r="Z348" s="563"/>
      <c r="AA348" s="563"/>
      <c r="AB348" s="583"/>
      <c r="AC348" s="124"/>
      <c r="AD348" s="776"/>
      <c r="AE348" s="125"/>
      <c r="AF348" s="785"/>
    </row>
    <row r="349" spans="1:32" s="13" customFormat="1" ht="24" customHeight="1">
      <c r="A349" s="40"/>
      <c r="B349" s="40"/>
      <c r="C349" s="30" t="s">
        <v>312</v>
      </c>
      <c r="D349" s="147">
        <v>189</v>
      </c>
      <c r="E349" s="101">
        <f>ROUND(AD349/1000,0)</f>
        <v>189</v>
      </c>
      <c r="F349" s="102">
        <f>SUMIF($AB$350:$AB$354,"보조",$AD$350:$AD$354)/1000</f>
        <v>0</v>
      </c>
      <c r="G349" s="102">
        <f>SUMIF($AB$350:$AB$354,"7종",$AD$350:$AD$354)/1000</f>
        <v>0</v>
      </c>
      <c r="H349" s="102">
        <f>SUMIF($AB$350:$AB$354,"4종",$AD$350:$AD$354)/1000</f>
        <v>0</v>
      </c>
      <c r="I349" s="102">
        <f>SUMIF($AB$350:$AB$354,"후원",$AD$350:$AD$354)/1000</f>
        <v>85</v>
      </c>
      <c r="J349" s="102">
        <f>SUMIF($AB$350:$AB$354,"입소",$AD$350:$AD$354)/1000</f>
        <v>104</v>
      </c>
      <c r="K349" s="102">
        <f>SUMIF($AB$350:$AB$354,"법인",$AD$350:$AD$354)/1000</f>
        <v>0</v>
      </c>
      <c r="L349" s="102">
        <f>SUMIF($AB$350:$AB$354,"잡수",$AD$350:$AD$354)/1000</f>
        <v>0</v>
      </c>
      <c r="M349" s="101">
        <f>E349-D349</f>
        <v>0</v>
      </c>
      <c r="N349" s="109">
        <f>IF(D349=0,0,M349/D349)</f>
        <v>0</v>
      </c>
      <c r="O349" s="280"/>
      <c r="P349" s="297"/>
      <c r="Q349" s="297"/>
      <c r="R349" s="435"/>
      <c r="S349" s="435"/>
      <c r="T349" s="435"/>
      <c r="U349" s="435"/>
      <c r="V349" s="435"/>
      <c r="W349" s="436" t="s">
        <v>128</v>
      </c>
      <c r="X349" s="436"/>
      <c r="Y349" s="436"/>
      <c r="Z349" s="436"/>
      <c r="AA349" s="436"/>
      <c r="AB349" s="436"/>
      <c r="AC349" s="437"/>
      <c r="AD349" s="437">
        <f>SUM(AD350:AD353)</f>
        <v>189000</v>
      </c>
      <c r="AE349" s="438" t="s">
        <v>25</v>
      </c>
      <c r="AF349" s="785"/>
    </row>
    <row r="350" spans="1:32" s="13" customFormat="1" ht="24" customHeight="1">
      <c r="A350" s="40"/>
      <c r="B350" s="40"/>
      <c r="C350" s="40" t="s">
        <v>308</v>
      </c>
      <c r="D350" s="145"/>
      <c r="E350" s="97"/>
      <c r="F350" s="97"/>
      <c r="G350" s="97"/>
      <c r="H350" s="97"/>
      <c r="I350" s="97"/>
      <c r="J350" s="97"/>
      <c r="K350" s="97"/>
      <c r="L350" s="97"/>
      <c r="M350" s="97"/>
      <c r="N350" s="62"/>
      <c r="O350" s="534" t="s">
        <v>557</v>
      </c>
      <c r="P350" s="394"/>
      <c r="Q350" s="394"/>
      <c r="R350" s="390"/>
      <c r="S350" s="390"/>
      <c r="T350" s="390"/>
      <c r="U350" s="390"/>
      <c r="V350" s="390"/>
      <c r="W350" s="533"/>
      <c r="X350" s="533"/>
      <c r="Y350" s="533"/>
      <c r="Z350" s="533"/>
      <c r="AA350" s="533"/>
      <c r="AB350" s="533" t="s">
        <v>558</v>
      </c>
      <c r="AC350" s="124"/>
      <c r="AD350" s="776">
        <v>0</v>
      </c>
      <c r="AE350" s="125" t="s">
        <v>543</v>
      </c>
      <c r="AF350" s="785"/>
    </row>
    <row r="351" spans="1:32" s="13" customFormat="1" ht="24" customHeight="1">
      <c r="A351" s="40"/>
      <c r="B351" s="40"/>
      <c r="C351" s="40"/>
      <c r="D351" s="145"/>
      <c r="E351" s="97"/>
      <c r="F351" s="97"/>
      <c r="G351" s="97"/>
      <c r="H351" s="97"/>
      <c r="I351" s="97"/>
      <c r="J351" s="97"/>
      <c r="K351" s="97"/>
      <c r="L351" s="97"/>
      <c r="M351" s="97"/>
      <c r="N351" s="62"/>
      <c r="O351" s="534" t="s">
        <v>559</v>
      </c>
      <c r="P351" s="394"/>
      <c r="Q351" s="394"/>
      <c r="R351" s="390"/>
      <c r="S351" s="533">
        <v>15000</v>
      </c>
      <c r="T351" s="289" t="s">
        <v>543</v>
      </c>
      <c r="U351" s="289" t="s">
        <v>26</v>
      </c>
      <c r="V351" s="533">
        <v>4</v>
      </c>
      <c r="W351" s="534" t="s">
        <v>554</v>
      </c>
      <c r="X351" s="533"/>
      <c r="Y351" s="399"/>
      <c r="Z351" s="399" t="s">
        <v>545</v>
      </c>
      <c r="AA351" s="399"/>
      <c r="AB351" s="399" t="s">
        <v>150</v>
      </c>
      <c r="AC351" s="399"/>
      <c r="AD351" s="431">
        <f>S351*V351</f>
        <v>60000</v>
      </c>
      <c r="AE351" s="125" t="s">
        <v>56</v>
      </c>
      <c r="AF351" s="785">
        <v>60000</v>
      </c>
    </row>
    <row r="352" spans="1:32" s="13" customFormat="1" ht="24" customHeight="1">
      <c r="A352" s="40"/>
      <c r="B352" s="40"/>
      <c r="C352" s="40"/>
      <c r="D352" s="145"/>
      <c r="E352" s="97"/>
      <c r="F352" s="97"/>
      <c r="G352" s="97"/>
      <c r="H352" s="97"/>
      <c r="I352" s="97"/>
      <c r="J352" s="97"/>
      <c r="K352" s="97"/>
      <c r="L352" s="97"/>
      <c r="M352" s="97"/>
      <c r="N352" s="62"/>
      <c r="O352" s="741" t="s">
        <v>881</v>
      </c>
      <c r="P352" s="394"/>
      <c r="Q352" s="394"/>
      <c r="R352" s="390"/>
      <c r="S352" s="533"/>
      <c r="T352" s="289"/>
      <c r="U352" s="289"/>
      <c r="V352" s="533"/>
      <c r="W352" s="534"/>
      <c r="X352" s="533"/>
      <c r="Y352" s="399"/>
      <c r="Z352" s="399"/>
      <c r="AA352" s="399"/>
      <c r="AB352" s="399" t="s">
        <v>558</v>
      </c>
      <c r="AC352" s="399"/>
      <c r="AD352" s="431">
        <v>104000</v>
      </c>
      <c r="AE352" s="125" t="s">
        <v>56</v>
      </c>
      <c r="AF352" s="785">
        <v>104000</v>
      </c>
    </row>
    <row r="353" spans="1:32" s="13" customFormat="1" ht="24" customHeight="1">
      <c r="A353" s="40"/>
      <c r="B353" s="40"/>
      <c r="C353" s="40"/>
      <c r="D353" s="145"/>
      <c r="E353" s="97"/>
      <c r="F353" s="97"/>
      <c r="G353" s="97"/>
      <c r="H353" s="97"/>
      <c r="I353" s="97"/>
      <c r="J353" s="97"/>
      <c r="K353" s="97"/>
      <c r="L353" s="97"/>
      <c r="M353" s="97"/>
      <c r="N353" s="62"/>
      <c r="O353" s="566" t="s">
        <v>641</v>
      </c>
      <c r="P353" s="394"/>
      <c r="Q353" s="394"/>
      <c r="R353" s="390"/>
      <c r="S353" s="426"/>
      <c r="T353" s="289"/>
      <c r="U353" s="289"/>
      <c r="V353" s="426"/>
      <c r="W353" s="427"/>
      <c r="X353" s="426"/>
      <c r="Y353" s="399"/>
      <c r="Z353" s="399"/>
      <c r="AA353" s="399"/>
      <c r="AB353" s="399" t="s">
        <v>150</v>
      </c>
      <c r="AC353" s="399"/>
      <c r="AD353" s="431">
        <v>25000</v>
      </c>
      <c r="AE353" s="125" t="s">
        <v>56</v>
      </c>
      <c r="AF353" s="785">
        <v>25000</v>
      </c>
    </row>
    <row r="354" spans="1:32" s="13" customFormat="1" ht="24" customHeight="1">
      <c r="A354" s="40"/>
      <c r="B354" s="40"/>
      <c r="C354" s="53"/>
      <c r="D354" s="146"/>
      <c r="E354" s="99"/>
      <c r="F354" s="99"/>
      <c r="G354" s="99"/>
      <c r="H354" s="99"/>
      <c r="I354" s="99"/>
      <c r="J354" s="99"/>
      <c r="K354" s="99"/>
      <c r="L354" s="99"/>
      <c r="M354" s="99"/>
      <c r="N354" s="76"/>
      <c r="O354" s="425"/>
      <c r="P354" s="284"/>
      <c r="Q354" s="284"/>
      <c r="R354" s="441"/>
      <c r="S354" s="441"/>
      <c r="T354" s="441"/>
      <c r="U354" s="441"/>
      <c r="V354" s="441"/>
      <c r="W354" s="424"/>
      <c r="X354" s="424"/>
      <c r="Y354" s="424"/>
      <c r="Z354" s="424"/>
      <c r="AA354" s="424"/>
      <c r="AB354" s="424"/>
      <c r="AC354" s="402"/>
      <c r="AD354" s="402"/>
      <c r="AE354" s="393"/>
      <c r="AF354" s="785"/>
    </row>
    <row r="355" spans="1:32" s="10" customFormat="1" ht="21" customHeight="1">
      <c r="A355" s="100" t="s">
        <v>146</v>
      </c>
      <c r="B355" s="861" t="s">
        <v>20</v>
      </c>
      <c r="C355" s="862"/>
      <c r="D355" s="160">
        <f>SUM(D356)</f>
        <v>240</v>
      </c>
      <c r="E355" s="160">
        <f>SUM(E356)</f>
        <v>240</v>
      </c>
      <c r="F355" s="160">
        <f t="shared" ref="F355:L355" si="10">SUM(F356)</f>
        <v>205</v>
      </c>
      <c r="G355" s="160">
        <f t="shared" si="10"/>
        <v>30</v>
      </c>
      <c r="H355" s="160">
        <f t="shared" si="10"/>
        <v>5</v>
      </c>
      <c r="I355" s="160">
        <f t="shared" si="10"/>
        <v>0</v>
      </c>
      <c r="J355" s="160">
        <f t="shared" si="10"/>
        <v>0</v>
      </c>
      <c r="K355" s="160">
        <f t="shared" si="10"/>
        <v>0</v>
      </c>
      <c r="L355" s="160">
        <f t="shared" si="10"/>
        <v>0</v>
      </c>
      <c r="M355" s="160">
        <f>E355-D355</f>
        <v>0</v>
      </c>
      <c r="N355" s="161">
        <f>IF(D355=0,0,M355/D355)</f>
        <v>0</v>
      </c>
      <c r="O355" s="89" t="s">
        <v>149</v>
      </c>
      <c r="P355" s="162"/>
      <c r="Q355" s="162"/>
      <c r="R355" s="162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779">
        <f>SUM(AD356)</f>
        <v>240000</v>
      </c>
      <c r="AE355" s="164" t="s">
        <v>25</v>
      </c>
      <c r="AF355" s="6"/>
    </row>
    <row r="356" spans="1:32" s="10" customFormat="1" ht="21" customHeight="1">
      <c r="A356" s="176" t="s">
        <v>148</v>
      </c>
      <c r="B356" s="40" t="s">
        <v>146</v>
      </c>
      <c r="C356" s="40" t="s">
        <v>146</v>
      </c>
      <c r="D356" s="145">
        <v>240</v>
      </c>
      <c r="E356" s="97">
        <f>AD356/1000</f>
        <v>240</v>
      </c>
      <c r="F356" s="102">
        <f>SUMIF($AB$357:$AB$367,"보조",$AD$357:$AD$367)/1000</f>
        <v>205</v>
      </c>
      <c r="G356" s="102">
        <f>SUMIF($AB$357:$AB$367,"7종",$AD$357:$AD$367)/1000</f>
        <v>30</v>
      </c>
      <c r="H356" s="102">
        <f>SUMIF($AB$357:$AB$367,"4종",$AD$357:$AD$367)/1000</f>
        <v>5</v>
      </c>
      <c r="I356" s="102">
        <f>SUMIF($AB$357:$AB$367,"후원",$AD$357:$AD$367)/1000</f>
        <v>0</v>
      </c>
      <c r="J356" s="102">
        <f>SUMIF($AB$357:$AB$367,"입소",$AD$357:$AD$367)/1000</f>
        <v>0</v>
      </c>
      <c r="K356" s="102">
        <f>SUMIF($AB$357:$AB$367,"법인",$AD$357:$AD$367)/1000</f>
        <v>0</v>
      </c>
      <c r="L356" s="102">
        <f>SUMIF($AB$357:$AB$367,"잡수",$AD$357:$AD$367)/1000</f>
        <v>0</v>
      </c>
      <c r="M356" s="97">
        <f>E356-D356</f>
        <v>0</v>
      </c>
      <c r="N356" s="62">
        <f>IF(D356=0,0,M356/D356)</f>
        <v>0</v>
      </c>
      <c r="O356" s="284" t="s">
        <v>197</v>
      </c>
      <c r="P356" s="26"/>
      <c r="Q356" s="26"/>
      <c r="R356" s="26"/>
      <c r="S356" s="26"/>
      <c r="T356" s="27"/>
      <c r="U356" s="27"/>
      <c r="V356" s="27"/>
      <c r="W356" s="27"/>
      <c r="X356" s="27"/>
      <c r="Y356" s="163" t="s">
        <v>135</v>
      </c>
      <c r="Z356" s="91"/>
      <c r="AA356" s="91"/>
      <c r="AB356" s="91"/>
      <c r="AC356" s="106"/>
      <c r="AD356" s="106">
        <f>ROUNDUP(SUM(AD357:AD366),-3)</f>
        <v>240000</v>
      </c>
      <c r="AE356" s="107" t="s">
        <v>25</v>
      </c>
      <c r="AF356" s="6"/>
    </row>
    <row r="357" spans="1:32" ht="21" customHeight="1">
      <c r="A357" s="39"/>
      <c r="B357" s="40" t="s">
        <v>147</v>
      </c>
      <c r="C357" s="40" t="s">
        <v>147</v>
      </c>
      <c r="D357" s="145"/>
      <c r="E357" s="97"/>
      <c r="F357" s="97"/>
      <c r="G357" s="97"/>
      <c r="H357" s="97"/>
      <c r="I357" s="97"/>
      <c r="J357" s="97"/>
      <c r="K357" s="97"/>
      <c r="L357" s="97"/>
      <c r="M357" s="97"/>
      <c r="N357" s="62"/>
      <c r="O357" s="427" t="s">
        <v>317</v>
      </c>
      <c r="P357" s="369"/>
      <c r="Q357" s="369"/>
      <c r="R357" s="369"/>
      <c r="S357" s="368"/>
      <c r="T357" s="368"/>
      <c r="U357" s="368"/>
      <c r="V357" s="368"/>
      <c r="W357" s="368"/>
      <c r="X357" s="368"/>
      <c r="Y357" s="368"/>
      <c r="Z357" s="368"/>
      <c r="AA357" s="368"/>
      <c r="AB357" s="530" t="s">
        <v>532</v>
      </c>
      <c r="AC357" s="368"/>
      <c r="AD357" s="60">
        <v>0</v>
      </c>
      <c r="AE357" s="125" t="s">
        <v>25</v>
      </c>
    </row>
    <row r="358" spans="1:32" ht="21" customHeight="1">
      <c r="A358" s="39"/>
      <c r="B358" s="40"/>
      <c r="C358" s="40"/>
      <c r="D358" s="145"/>
      <c r="E358" s="97"/>
      <c r="F358" s="97"/>
      <c r="G358" s="97"/>
      <c r="H358" s="97"/>
      <c r="I358" s="97"/>
      <c r="J358" s="97"/>
      <c r="K358" s="97"/>
      <c r="L358" s="97"/>
      <c r="M358" s="97"/>
      <c r="N358" s="62"/>
      <c r="O358" s="369" t="s">
        <v>283</v>
      </c>
      <c r="P358" s="369"/>
      <c r="Q358" s="369"/>
      <c r="R358" s="369"/>
      <c r="S358" s="368"/>
      <c r="T358" s="368"/>
      <c r="U358" s="368"/>
      <c r="V358" s="368"/>
      <c r="W358" s="368"/>
      <c r="X358" s="368"/>
      <c r="Y358" s="368"/>
      <c r="Z358" s="368"/>
      <c r="AA358" s="368"/>
      <c r="AB358" s="530" t="s">
        <v>532</v>
      </c>
      <c r="AC358" s="368"/>
      <c r="AD358" s="60">
        <v>200000</v>
      </c>
      <c r="AE358" s="125" t="s">
        <v>254</v>
      </c>
      <c r="AF358" s="6">
        <v>200000</v>
      </c>
    </row>
    <row r="359" spans="1:32" ht="21" customHeight="1">
      <c r="A359" s="39"/>
      <c r="B359" s="40"/>
      <c r="C359" s="40"/>
      <c r="D359" s="145"/>
      <c r="E359" s="97"/>
      <c r="F359" s="97"/>
      <c r="G359" s="97"/>
      <c r="H359" s="97"/>
      <c r="I359" s="97"/>
      <c r="J359" s="97"/>
      <c r="K359" s="97"/>
      <c r="L359" s="97"/>
      <c r="M359" s="97"/>
      <c r="N359" s="62"/>
      <c r="O359" s="427" t="s">
        <v>318</v>
      </c>
      <c r="P359" s="369"/>
      <c r="Q359" s="369"/>
      <c r="R359" s="369"/>
      <c r="S359" s="368"/>
      <c r="T359" s="368"/>
      <c r="U359" s="368"/>
      <c r="V359" s="368"/>
      <c r="W359" s="368"/>
      <c r="X359" s="368"/>
      <c r="Y359" s="368"/>
      <c r="Z359" s="368"/>
      <c r="AA359" s="368"/>
      <c r="AB359" s="530" t="s">
        <v>532</v>
      </c>
      <c r="AC359" s="368"/>
      <c r="AD359" s="60">
        <v>0</v>
      </c>
      <c r="AE359" s="125" t="s">
        <v>254</v>
      </c>
    </row>
    <row r="360" spans="1:32" ht="21" customHeight="1">
      <c r="A360" s="39"/>
      <c r="B360" s="40"/>
      <c r="C360" s="40"/>
      <c r="D360" s="145"/>
      <c r="E360" s="97"/>
      <c r="F360" s="97"/>
      <c r="G360" s="97"/>
      <c r="H360" s="97"/>
      <c r="I360" s="97"/>
      <c r="J360" s="97"/>
      <c r="K360" s="97"/>
      <c r="L360" s="97"/>
      <c r="M360" s="97"/>
      <c r="N360" s="62"/>
      <c r="O360" s="369" t="s">
        <v>284</v>
      </c>
      <c r="P360" s="369"/>
      <c r="Q360" s="369"/>
      <c r="R360" s="369"/>
      <c r="S360" s="368"/>
      <c r="T360" s="368"/>
      <c r="U360" s="368"/>
      <c r="V360" s="368"/>
      <c r="W360" s="368"/>
      <c r="X360" s="368"/>
      <c r="Y360" s="368"/>
      <c r="Z360" s="368"/>
      <c r="AA360" s="368"/>
      <c r="AB360" s="530" t="s">
        <v>537</v>
      </c>
      <c r="AC360" s="368"/>
      <c r="AD360" s="60">
        <v>5000</v>
      </c>
      <c r="AE360" s="125" t="s">
        <v>254</v>
      </c>
      <c r="AF360" s="6">
        <v>5000</v>
      </c>
    </row>
    <row r="361" spans="1:32" ht="21" customHeight="1">
      <c r="A361" s="39"/>
      <c r="B361" s="40"/>
      <c r="C361" s="40"/>
      <c r="D361" s="145"/>
      <c r="E361" s="97"/>
      <c r="F361" s="97"/>
      <c r="G361" s="97"/>
      <c r="H361" s="97"/>
      <c r="I361" s="97"/>
      <c r="J361" s="97"/>
      <c r="K361" s="97"/>
      <c r="L361" s="97"/>
      <c r="M361" s="97"/>
      <c r="N361" s="62"/>
      <c r="O361" s="427" t="s">
        <v>319</v>
      </c>
      <c r="P361" s="369"/>
      <c r="Q361" s="369"/>
      <c r="R361" s="369"/>
      <c r="S361" s="368"/>
      <c r="T361" s="368"/>
      <c r="U361" s="368"/>
      <c r="V361" s="368"/>
      <c r="W361" s="368"/>
      <c r="X361" s="368"/>
      <c r="Y361" s="368"/>
      <c r="Z361" s="368"/>
      <c r="AA361" s="368"/>
      <c r="AB361" s="530" t="s">
        <v>538</v>
      </c>
      <c r="AC361" s="368"/>
      <c r="AD361" s="60">
        <v>0</v>
      </c>
      <c r="AE361" s="125" t="s">
        <v>25</v>
      </c>
    </row>
    <row r="362" spans="1:32" ht="21" customHeight="1">
      <c r="A362" s="39"/>
      <c r="B362" s="40"/>
      <c r="C362" s="40"/>
      <c r="D362" s="145"/>
      <c r="E362" s="97"/>
      <c r="F362" s="97"/>
      <c r="G362" s="97"/>
      <c r="H362" s="97"/>
      <c r="I362" s="97"/>
      <c r="J362" s="97"/>
      <c r="K362" s="97"/>
      <c r="L362" s="97"/>
      <c r="M362" s="97"/>
      <c r="N362" s="62"/>
      <c r="O362" s="369" t="s">
        <v>285</v>
      </c>
      <c r="P362" s="369"/>
      <c r="Q362" s="369"/>
      <c r="R362" s="369"/>
      <c r="S362" s="368"/>
      <c r="T362" s="368"/>
      <c r="U362" s="368"/>
      <c r="V362" s="368"/>
      <c r="W362" s="368"/>
      <c r="X362" s="368"/>
      <c r="Y362" s="368"/>
      <c r="Z362" s="368"/>
      <c r="AA362" s="368"/>
      <c r="AB362" s="530" t="s">
        <v>538</v>
      </c>
      <c r="AC362" s="368"/>
      <c r="AD362" s="60">
        <v>5000</v>
      </c>
      <c r="AE362" s="125" t="s">
        <v>254</v>
      </c>
      <c r="AF362" s="6">
        <v>5000</v>
      </c>
    </row>
    <row r="363" spans="1:32" ht="21" customHeight="1">
      <c r="A363" s="39"/>
      <c r="B363" s="40"/>
      <c r="C363" s="40"/>
      <c r="D363" s="145"/>
      <c r="E363" s="97"/>
      <c r="F363" s="97"/>
      <c r="G363" s="97"/>
      <c r="H363" s="97"/>
      <c r="I363" s="97"/>
      <c r="J363" s="97"/>
      <c r="K363" s="97"/>
      <c r="L363" s="97"/>
      <c r="M363" s="97"/>
      <c r="N363" s="62"/>
      <c r="O363" s="427" t="s">
        <v>320</v>
      </c>
      <c r="P363" s="369"/>
      <c r="Q363" s="369"/>
      <c r="R363" s="369"/>
      <c r="S363" s="368"/>
      <c r="T363" s="368"/>
      <c r="U363" s="368"/>
      <c r="V363" s="368"/>
      <c r="W363" s="368"/>
      <c r="X363" s="368"/>
      <c r="Y363" s="368"/>
      <c r="Z363" s="368"/>
      <c r="AA363" s="368"/>
      <c r="AB363" s="530" t="s">
        <v>539</v>
      </c>
      <c r="AC363" s="368"/>
      <c r="AD363" s="60">
        <v>0</v>
      </c>
      <c r="AE363" s="125" t="s">
        <v>25</v>
      </c>
    </row>
    <row r="364" spans="1:32" ht="21" customHeight="1">
      <c r="A364" s="39"/>
      <c r="B364" s="40"/>
      <c r="C364" s="40"/>
      <c r="D364" s="145"/>
      <c r="E364" s="97"/>
      <c r="F364" s="97"/>
      <c r="G364" s="97"/>
      <c r="H364" s="97"/>
      <c r="I364" s="97"/>
      <c r="J364" s="97"/>
      <c r="K364" s="97"/>
      <c r="L364" s="97"/>
      <c r="M364" s="97"/>
      <c r="N364" s="62"/>
      <c r="O364" s="369" t="s">
        <v>286</v>
      </c>
      <c r="P364" s="369"/>
      <c r="Q364" s="369"/>
      <c r="R364" s="369"/>
      <c r="S364" s="368"/>
      <c r="T364" s="368"/>
      <c r="U364" s="368"/>
      <c r="V364" s="368"/>
      <c r="W364" s="368"/>
      <c r="X364" s="368"/>
      <c r="Y364" s="368"/>
      <c r="Z364" s="368"/>
      <c r="AA364" s="368"/>
      <c r="AB364" s="530" t="s">
        <v>539</v>
      </c>
      <c r="AC364" s="368"/>
      <c r="AD364" s="60">
        <v>25000</v>
      </c>
      <c r="AE364" s="125" t="s">
        <v>254</v>
      </c>
      <c r="AF364" s="6">
        <v>25000</v>
      </c>
    </row>
    <row r="365" spans="1:32" ht="21" customHeight="1">
      <c r="A365" s="39"/>
      <c r="B365" s="40"/>
      <c r="C365" s="40"/>
      <c r="D365" s="145"/>
      <c r="E365" s="97"/>
      <c r="F365" s="97"/>
      <c r="G365" s="97"/>
      <c r="H365" s="97"/>
      <c r="I365" s="97"/>
      <c r="J365" s="97"/>
      <c r="K365" s="97"/>
      <c r="L365" s="97"/>
      <c r="M365" s="97"/>
      <c r="N365" s="62"/>
      <c r="O365" s="534" t="s">
        <v>555</v>
      </c>
      <c r="P365" s="369"/>
      <c r="Q365" s="369"/>
      <c r="R365" s="369"/>
      <c r="S365" s="368"/>
      <c r="T365" s="368"/>
      <c r="U365" s="368"/>
      <c r="V365" s="368"/>
      <c r="W365" s="368"/>
      <c r="X365" s="368"/>
      <c r="Y365" s="368"/>
      <c r="Z365" s="368"/>
      <c r="AA365" s="368"/>
      <c r="AB365" s="530" t="s">
        <v>539</v>
      </c>
      <c r="AC365" s="368"/>
      <c r="AD365" s="60">
        <v>0</v>
      </c>
      <c r="AE365" s="125" t="s">
        <v>25</v>
      </c>
    </row>
    <row r="366" spans="1:32" ht="21" customHeight="1">
      <c r="A366" s="39"/>
      <c r="B366" s="40"/>
      <c r="C366" s="40"/>
      <c r="D366" s="145"/>
      <c r="E366" s="97"/>
      <c r="F366" s="97"/>
      <c r="G366" s="97"/>
      <c r="H366" s="97"/>
      <c r="I366" s="97"/>
      <c r="J366" s="97"/>
      <c r="K366" s="97"/>
      <c r="L366" s="97"/>
      <c r="M366" s="97"/>
      <c r="N366" s="62"/>
      <c r="O366" s="534" t="s">
        <v>556</v>
      </c>
      <c r="P366" s="369"/>
      <c r="Q366" s="369"/>
      <c r="R366" s="369"/>
      <c r="S366" s="368"/>
      <c r="T366" s="368"/>
      <c r="U366" s="368"/>
      <c r="V366" s="368"/>
      <c r="W366" s="368"/>
      <c r="X366" s="368"/>
      <c r="Y366" s="368"/>
      <c r="Z366" s="368"/>
      <c r="AA366" s="368"/>
      <c r="AB366" s="530" t="s">
        <v>539</v>
      </c>
      <c r="AC366" s="368"/>
      <c r="AD366" s="60">
        <v>5000</v>
      </c>
      <c r="AE366" s="125" t="s">
        <v>25</v>
      </c>
      <c r="AF366" s="6">
        <v>5000</v>
      </c>
    </row>
    <row r="367" spans="1:32" s="12" customFormat="1" ht="21" customHeight="1">
      <c r="A367" s="39"/>
      <c r="B367" s="53"/>
      <c r="C367" s="41"/>
      <c r="D367" s="145"/>
      <c r="E367" s="97"/>
      <c r="F367" s="97"/>
      <c r="G367" s="97"/>
      <c r="H367" s="97"/>
      <c r="I367" s="97"/>
      <c r="J367" s="97"/>
      <c r="K367" s="97"/>
      <c r="L367" s="97"/>
      <c r="M367" s="97"/>
      <c r="N367" s="62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287"/>
      <c r="AE367" s="51"/>
      <c r="AF367" s="6"/>
    </row>
    <row r="368" spans="1:32" s="10" customFormat="1" ht="21" customHeight="1">
      <c r="A368" s="29" t="s">
        <v>86</v>
      </c>
      <c r="B368" s="861" t="s">
        <v>20</v>
      </c>
      <c r="C368" s="862"/>
      <c r="D368" s="160">
        <f>D369</f>
        <v>0</v>
      </c>
      <c r="E368" s="160">
        <f>E369</f>
        <v>0</v>
      </c>
      <c r="F368" s="160">
        <f t="shared" ref="F368:L368" si="11">F369</f>
        <v>0</v>
      </c>
      <c r="G368" s="160">
        <f t="shared" si="11"/>
        <v>0</v>
      </c>
      <c r="H368" s="160">
        <f t="shared" si="11"/>
        <v>0</v>
      </c>
      <c r="I368" s="160">
        <f t="shared" si="11"/>
        <v>0</v>
      </c>
      <c r="J368" s="160">
        <f t="shared" si="11"/>
        <v>0</v>
      </c>
      <c r="K368" s="160">
        <f t="shared" si="11"/>
        <v>0</v>
      </c>
      <c r="L368" s="160">
        <f t="shared" si="11"/>
        <v>0</v>
      </c>
      <c r="M368" s="160">
        <f>E368-D368</f>
        <v>0</v>
      </c>
      <c r="N368" s="161">
        <f>IF(D368=0,0,M368/D368)</f>
        <v>0</v>
      </c>
      <c r="O368" s="162" t="s">
        <v>86</v>
      </c>
      <c r="P368" s="162"/>
      <c r="Q368" s="162"/>
      <c r="R368" s="162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779">
        <f>SUM(AD369)</f>
        <v>0</v>
      </c>
      <c r="AE368" s="164" t="s">
        <v>25</v>
      </c>
      <c r="AF368" s="6"/>
    </row>
    <row r="369" spans="1:32" s="10" customFormat="1" ht="21" customHeight="1">
      <c r="A369" s="39"/>
      <c r="B369" s="40" t="s">
        <v>86</v>
      </c>
      <c r="C369" s="40" t="s">
        <v>86</v>
      </c>
      <c r="D369" s="145">
        <v>0</v>
      </c>
      <c r="E369" s="97">
        <f>AD369/1000</f>
        <v>0</v>
      </c>
      <c r="F369" s="102">
        <f>SUMIF($AB$370:$AB$370,"보조",$AD$370:$AD$370)/1000</f>
        <v>0</v>
      </c>
      <c r="G369" s="102">
        <f>SUMIF($AB$370:$AB$370,"7종",$AD$370:$AD$370)/1000</f>
        <v>0</v>
      </c>
      <c r="H369" s="102">
        <f>SUMIF($AB$370:$AB$370,"4종",$AD$370:$AD$370)/1000</f>
        <v>0</v>
      </c>
      <c r="I369" s="102">
        <f>SUMIF($AB$370:$AB$370,"후원",$AD$370:$AD$370)/1000</f>
        <v>0</v>
      </c>
      <c r="J369" s="102">
        <f>SUMIF($AB$370:$AB$370,"입소",$AD$370:$AD$370)/1000</f>
        <v>0</v>
      </c>
      <c r="K369" s="102">
        <f>SUMIF($AB$370:$AB$370,"법인",$AD$370:$AD$370)/1000</f>
        <v>0</v>
      </c>
      <c r="L369" s="102">
        <f>SUMIF($AB$370:$AB$370,"잡수",$AD$370:$AD$370)/1000</f>
        <v>0</v>
      </c>
      <c r="M369" s="97">
        <f>E369-D369</f>
        <v>0</v>
      </c>
      <c r="N369" s="62">
        <f>IF(D369=0,0,M369/D369)</f>
        <v>0</v>
      </c>
      <c r="O369" s="104" t="s">
        <v>87</v>
      </c>
      <c r="P369" s="26"/>
      <c r="Q369" s="26"/>
      <c r="R369" s="26"/>
      <c r="S369" s="26"/>
      <c r="T369" s="27"/>
      <c r="U369" s="27"/>
      <c r="V369" s="27"/>
      <c r="W369" s="27"/>
      <c r="X369" s="27"/>
      <c r="Y369" s="163" t="s">
        <v>135</v>
      </c>
      <c r="Z369" s="91"/>
      <c r="AA369" s="91"/>
      <c r="AB369" s="91"/>
      <c r="AC369" s="106"/>
      <c r="AD369" s="106">
        <v>0</v>
      </c>
      <c r="AE369" s="107" t="s">
        <v>25</v>
      </c>
      <c r="AF369" s="6"/>
    </row>
    <row r="370" spans="1:32" s="1" customFormat="1" ht="21" customHeight="1" thickBot="1">
      <c r="A370" s="126"/>
      <c r="B370" s="40"/>
      <c r="C370" s="40"/>
      <c r="D370" s="145"/>
      <c r="E370" s="97"/>
      <c r="F370" s="97"/>
      <c r="G370" s="97"/>
      <c r="H370" s="97"/>
      <c r="I370" s="97"/>
      <c r="J370" s="97"/>
      <c r="K370" s="97"/>
      <c r="L370" s="97"/>
      <c r="M370" s="97"/>
      <c r="N370" s="62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129"/>
      <c r="AF370" s="6"/>
    </row>
    <row r="371" spans="1:32" s="10" customFormat="1" ht="21" customHeight="1">
      <c r="A371" s="29" t="s">
        <v>21</v>
      </c>
      <c r="B371" s="859" t="s">
        <v>20</v>
      </c>
      <c r="C371" s="860"/>
      <c r="D371" s="181">
        <f>SUM(D372)</f>
        <v>0</v>
      </c>
      <c r="E371" s="181">
        <f>SUM(E372)</f>
        <v>0</v>
      </c>
      <c r="F371" s="181">
        <f t="shared" ref="F371:L371" si="12">SUM(F372)</f>
        <v>0</v>
      </c>
      <c r="G371" s="181">
        <f t="shared" si="12"/>
        <v>0</v>
      </c>
      <c r="H371" s="181">
        <f t="shared" si="12"/>
        <v>0</v>
      </c>
      <c r="I371" s="181">
        <f t="shared" si="12"/>
        <v>0</v>
      </c>
      <c r="J371" s="181">
        <f t="shared" si="12"/>
        <v>0</v>
      </c>
      <c r="K371" s="181">
        <f t="shared" si="12"/>
        <v>0</v>
      </c>
      <c r="L371" s="181">
        <f t="shared" si="12"/>
        <v>0</v>
      </c>
      <c r="M371" s="181">
        <f>E371-D371</f>
        <v>0</v>
      </c>
      <c r="N371" s="182">
        <f>IF(D371=0,0,M371/D371)</f>
        <v>0</v>
      </c>
      <c r="O371" s="153" t="s">
        <v>21</v>
      </c>
      <c r="P371" s="154"/>
      <c r="Q371" s="154"/>
      <c r="R371" s="154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>
        <f>AD372</f>
        <v>0</v>
      </c>
      <c r="AE371" s="156" t="s">
        <v>25</v>
      </c>
      <c r="AF371" s="6"/>
    </row>
    <row r="372" spans="1:32" s="10" customFormat="1" ht="21" customHeight="1">
      <c r="A372" s="39"/>
      <c r="B372" s="40" t="s">
        <v>21</v>
      </c>
      <c r="C372" s="40" t="s">
        <v>21</v>
      </c>
      <c r="D372" s="97">
        <v>0</v>
      </c>
      <c r="E372" s="97">
        <f>SUM(F372:L372)</f>
        <v>0</v>
      </c>
      <c r="F372" s="102">
        <f>SUMIF($AB$372:$AB$377,"보조",$AD$372:$AD$377)/1000</f>
        <v>0</v>
      </c>
      <c r="G372" s="102">
        <f>SUMIF($AB$372:$AB$377,"7종",$AD$372:$AD$377)/1000</f>
        <v>0</v>
      </c>
      <c r="H372" s="102">
        <f>SUMIF($AB$372:$AB$377,"4종",$AD$372:$AD$377)/1000</f>
        <v>0</v>
      </c>
      <c r="I372" s="102">
        <f>SUMIF($AB$372:$AB$377,"후원",$AD$372:$AD$377)/1000</f>
        <v>0</v>
      </c>
      <c r="J372" s="102">
        <f>SUMIF($AB$372:$AB$377,"입소",$AD$372:$AD$377)/1000</f>
        <v>0</v>
      </c>
      <c r="K372" s="102">
        <f>SUMIF($AB$372:$AB$377,"법인",$AD$372:$AD$377)/1000</f>
        <v>0</v>
      </c>
      <c r="L372" s="102">
        <f>SUMIF($AB$372:$AB$377,"잡수",$AD$372:$AD$377)/1000</f>
        <v>0</v>
      </c>
      <c r="M372" s="97">
        <f>E372-D372</f>
        <v>0</v>
      </c>
      <c r="N372" s="62">
        <f>IF(D372=0,0,M372/D372)</f>
        <v>0</v>
      </c>
      <c r="O372" s="104" t="s">
        <v>52</v>
      </c>
      <c r="P372" s="26"/>
      <c r="Q372" s="26"/>
      <c r="R372" s="26"/>
      <c r="S372" s="26"/>
      <c r="T372" s="27"/>
      <c r="U372" s="27"/>
      <c r="V372" s="27"/>
      <c r="W372" s="27"/>
      <c r="X372" s="27"/>
      <c r="Y372" s="163" t="s">
        <v>135</v>
      </c>
      <c r="Z372" s="91"/>
      <c r="AA372" s="91"/>
      <c r="AB372" s="91"/>
      <c r="AC372" s="106"/>
      <c r="AD372" s="106">
        <f>SUM(AD373:AD376)</f>
        <v>0</v>
      </c>
      <c r="AE372" s="107" t="s">
        <v>25</v>
      </c>
      <c r="AF372" s="6"/>
    </row>
    <row r="373" spans="1:32" s="10" customFormat="1" ht="21" customHeight="1">
      <c r="A373" s="39"/>
      <c r="B373" s="40"/>
      <c r="C373" s="40"/>
      <c r="D373" s="145"/>
      <c r="E373" s="97"/>
      <c r="F373" s="97"/>
      <c r="G373" s="97"/>
      <c r="H373" s="97"/>
      <c r="I373" s="97"/>
      <c r="J373" s="97"/>
      <c r="K373" s="97"/>
      <c r="L373" s="97"/>
      <c r="M373" s="97"/>
      <c r="N373" s="62"/>
      <c r="O373" s="427" t="s">
        <v>313</v>
      </c>
      <c r="P373" s="369"/>
      <c r="Q373" s="369"/>
      <c r="R373" s="369"/>
      <c r="S373" s="369"/>
      <c r="T373" s="368"/>
      <c r="U373" s="368"/>
      <c r="V373" s="368"/>
      <c r="W373" s="368"/>
      <c r="X373" s="368"/>
      <c r="Y373" s="368"/>
      <c r="Z373" s="368"/>
      <c r="AA373" s="368"/>
      <c r="AB373" s="530" t="s">
        <v>540</v>
      </c>
      <c r="AC373" s="124"/>
      <c r="AD373" s="776">
        <v>0</v>
      </c>
      <c r="AE373" s="125" t="s">
        <v>904</v>
      </c>
      <c r="AF373" s="6"/>
    </row>
    <row r="374" spans="1:32" s="10" customFormat="1" ht="21" customHeight="1">
      <c r="A374" s="39"/>
      <c r="B374" s="40"/>
      <c r="C374" s="40"/>
      <c r="D374" s="145"/>
      <c r="E374" s="97"/>
      <c r="F374" s="97"/>
      <c r="G374" s="97"/>
      <c r="H374" s="97"/>
      <c r="I374" s="97"/>
      <c r="J374" s="97"/>
      <c r="K374" s="97"/>
      <c r="L374" s="97"/>
      <c r="M374" s="97"/>
      <c r="N374" s="62"/>
      <c r="O374" s="427" t="s">
        <v>314</v>
      </c>
      <c r="P374" s="369"/>
      <c r="Q374" s="369"/>
      <c r="R374" s="369"/>
      <c r="S374" s="369"/>
      <c r="T374" s="368"/>
      <c r="U374" s="368"/>
      <c r="V374" s="368"/>
      <c r="W374" s="368"/>
      <c r="X374" s="368"/>
      <c r="Y374" s="368"/>
      <c r="Z374" s="368"/>
      <c r="AA374" s="368"/>
      <c r="AB374" s="530" t="s">
        <v>535</v>
      </c>
      <c r="AC374" s="124"/>
      <c r="AD374" s="776">
        <v>0</v>
      </c>
      <c r="AE374" s="125" t="s">
        <v>904</v>
      </c>
      <c r="AF374" s="6"/>
    </row>
    <row r="375" spans="1:32" s="10" customFormat="1" ht="21" customHeight="1">
      <c r="A375" s="39"/>
      <c r="B375" s="40"/>
      <c r="C375" s="40"/>
      <c r="D375" s="145"/>
      <c r="E375" s="97"/>
      <c r="F375" s="97"/>
      <c r="G375" s="97"/>
      <c r="H375" s="97"/>
      <c r="I375" s="97"/>
      <c r="J375" s="97"/>
      <c r="K375" s="97"/>
      <c r="L375" s="97"/>
      <c r="M375" s="97"/>
      <c r="N375" s="62"/>
      <c r="O375" s="427" t="s">
        <v>315</v>
      </c>
      <c r="P375" s="369"/>
      <c r="Q375" s="369"/>
      <c r="R375" s="369"/>
      <c r="S375" s="369"/>
      <c r="T375" s="368"/>
      <c r="U375" s="368"/>
      <c r="V375" s="368"/>
      <c r="W375" s="368"/>
      <c r="X375" s="368"/>
      <c r="Y375" s="368"/>
      <c r="Z375" s="368"/>
      <c r="AA375" s="368"/>
      <c r="AB375" s="530" t="s">
        <v>534</v>
      </c>
      <c r="AC375" s="124"/>
      <c r="AD375" s="744">
        <v>0</v>
      </c>
      <c r="AE375" s="125" t="s">
        <v>904</v>
      </c>
      <c r="AF375" s="6"/>
    </row>
    <row r="376" spans="1:32" s="10" customFormat="1" ht="21" customHeight="1">
      <c r="A376" s="39"/>
      <c r="B376" s="40"/>
      <c r="C376" s="40"/>
      <c r="D376" s="145"/>
      <c r="E376" s="97"/>
      <c r="F376" s="97"/>
      <c r="G376" s="97"/>
      <c r="H376" s="97"/>
      <c r="I376" s="97"/>
      <c r="J376" s="97"/>
      <c r="K376" s="97"/>
      <c r="L376" s="97"/>
      <c r="M376" s="97"/>
      <c r="N376" s="62"/>
      <c r="O376" s="427" t="s">
        <v>316</v>
      </c>
      <c r="P376" s="369"/>
      <c r="Q376" s="369"/>
      <c r="R376" s="369"/>
      <c r="S376" s="369"/>
      <c r="T376" s="368"/>
      <c r="U376" s="368"/>
      <c r="V376" s="368"/>
      <c r="W376" s="368"/>
      <c r="X376" s="368"/>
      <c r="Y376" s="368"/>
      <c r="Z376" s="368"/>
      <c r="AA376" s="368"/>
      <c r="AB376" s="530" t="s">
        <v>541</v>
      </c>
      <c r="AC376" s="124"/>
      <c r="AD376" s="744">
        <v>0</v>
      </c>
      <c r="AE376" s="125" t="s">
        <v>904</v>
      </c>
      <c r="AF376" s="6"/>
    </row>
    <row r="377" spans="1:32" s="1" customFormat="1" ht="21" customHeight="1" thickBot="1">
      <c r="A377" s="126"/>
      <c r="B377" s="94"/>
      <c r="C377" s="94"/>
      <c r="D377" s="150"/>
      <c r="E377" s="127"/>
      <c r="F377" s="127"/>
      <c r="G377" s="127"/>
      <c r="H377" s="127"/>
      <c r="I377" s="127"/>
      <c r="J377" s="127"/>
      <c r="K377" s="127"/>
      <c r="L377" s="127"/>
      <c r="M377" s="127"/>
      <c r="N377" s="128"/>
      <c r="O377" s="405"/>
      <c r="P377" s="405"/>
      <c r="Q377" s="405"/>
      <c r="R377" s="405"/>
      <c r="S377" s="406"/>
      <c r="T377" s="406"/>
      <c r="U377" s="406"/>
      <c r="V377" s="406"/>
      <c r="W377" s="406"/>
      <c r="X377" s="406"/>
      <c r="Y377" s="406"/>
      <c r="Z377" s="406"/>
      <c r="AA377" s="406"/>
      <c r="AB377" s="406"/>
      <c r="AC377" s="406"/>
      <c r="AD377" s="406"/>
      <c r="AE377" s="407"/>
      <c r="AF377" s="6"/>
    </row>
    <row r="379" spans="1:32" ht="21" customHeight="1">
      <c r="E379" s="286"/>
      <c r="F379" s="286"/>
    </row>
    <row r="380" spans="1:32" ht="21" customHeight="1">
      <c r="E380" s="286"/>
      <c r="F380" s="286"/>
    </row>
    <row r="381" spans="1:32" ht="21" customHeight="1">
      <c r="F381" s="286"/>
    </row>
    <row r="382" spans="1:32" ht="21" customHeight="1">
      <c r="E382" s="286"/>
      <c r="F382" s="286"/>
    </row>
    <row r="383" spans="1:32" ht="21" customHeight="1">
      <c r="E383" s="286"/>
      <c r="F383" s="286"/>
    </row>
    <row r="384" spans="1:32" ht="21" customHeight="1">
      <c r="E384" s="286"/>
      <c r="F384" s="286"/>
    </row>
  </sheetData>
  <mergeCells count="29">
    <mergeCell ref="V106:V107"/>
    <mergeCell ref="W106:W107"/>
    <mergeCell ref="X106:X107"/>
    <mergeCell ref="Y106:Y107"/>
    <mergeCell ref="Z106:Z107"/>
    <mergeCell ref="A1:D1"/>
    <mergeCell ref="O133:S133"/>
    <mergeCell ref="B5:C5"/>
    <mergeCell ref="A4:C4"/>
    <mergeCell ref="B371:C371"/>
    <mergeCell ref="B368:C368"/>
    <mergeCell ref="B355:C355"/>
    <mergeCell ref="B205:C205"/>
    <mergeCell ref="W148:W149"/>
    <mergeCell ref="P260:R260"/>
    <mergeCell ref="S148:S149"/>
    <mergeCell ref="B169:C169"/>
    <mergeCell ref="O2:AE3"/>
    <mergeCell ref="T148:T149"/>
    <mergeCell ref="U148:U149"/>
    <mergeCell ref="V148:V149"/>
    <mergeCell ref="M2:N2"/>
    <mergeCell ref="A2:C2"/>
    <mergeCell ref="D2:D3"/>
    <mergeCell ref="E2:L2"/>
    <mergeCell ref="V109:W109"/>
    <mergeCell ref="V144:W144"/>
    <mergeCell ref="V92:W92"/>
    <mergeCell ref="AA106:AA107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60"/>
  <sheetViews>
    <sheetView workbookViewId="0">
      <selection activeCell="M9" sqref="M9"/>
    </sheetView>
  </sheetViews>
  <sheetFormatPr defaultRowHeight="13.5"/>
  <cols>
    <col min="1" max="1" width="1.77734375" customWidth="1"/>
    <col min="2" max="2" width="8.21875" customWidth="1"/>
    <col min="3" max="3" width="17.109375" customWidth="1"/>
    <col min="4" max="6" width="14.6640625" customWidth="1"/>
    <col min="7" max="7" width="13" bestFit="1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5.33203125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868" t="s">
        <v>906</v>
      </c>
      <c r="C1" s="868"/>
      <c r="D1" s="868"/>
      <c r="E1" s="868"/>
      <c r="F1" s="868"/>
      <c r="G1" s="868"/>
      <c r="H1" s="868"/>
      <c r="I1" s="868"/>
      <c r="J1" s="868"/>
      <c r="K1" s="868"/>
      <c r="L1" s="868"/>
      <c r="M1" s="868"/>
      <c r="N1" s="868"/>
      <c r="O1" s="868"/>
      <c r="P1" s="868"/>
      <c r="Q1" s="868"/>
      <c r="R1" s="868"/>
      <c r="S1" s="868"/>
      <c r="T1" s="868"/>
      <c r="U1" s="868"/>
    </row>
    <row r="2" spans="2:21" s="647" customFormat="1" ht="33.75" customHeight="1">
      <c r="B2" s="869" t="s">
        <v>721</v>
      </c>
      <c r="C2" s="869"/>
      <c r="D2" s="869" t="s">
        <v>722</v>
      </c>
      <c r="E2" s="869"/>
      <c r="F2" s="869"/>
      <c r="G2" s="869"/>
      <c r="H2" s="869" t="s">
        <v>723</v>
      </c>
      <c r="I2" s="869"/>
      <c r="J2" s="869"/>
      <c r="K2" s="869" t="s">
        <v>724</v>
      </c>
      <c r="L2" s="870" t="s">
        <v>725</v>
      </c>
      <c r="M2" s="871"/>
      <c r="N2" s="871"/>
      <c r="O2" s="871"/>
      <c r="P2" s="871"/>
      <c r="Q2" s="871"/>
      <c r="R2" s="871"/>
      <c r="S2" s="871"/>
      <c r="T2" s="872"/>
      <c r="U2" s="869" t="s">
        <v>726</v>
      </c>
    </row>
    <row r="3" spans="2:21" s="647" customFormat="1" ht="34.5" customHeight="1">
      <c r="B3" s="869"/>
      <c r="C3" s="869"/>
      <c r="D3" s="648" t="s">
        <v>727</v>
      </c>
      <c r="E3" s="648" t="s">
        <v>728</v>
      </c>
      <c r="F3" s="648" t="s">
        <v>729</v>
      </c>
      <c r="G3" s="648" t="s">
        <v>730</v>
      </c>
      <c r="H3" s="649" t="s">
        <v>728</v>
      </c>
      <c r="I3" s="648" t="s">
        <v>729</v>
      </c>
      <c r="J3" s="648" t="s">
        <v>730</v>
      </c>
      <c r="K3" s="869"/>
      <c r="L3" s="870"/>
      <c r="M3" s="871"/>
      <c r="N3" s="871"/>
      <c r="O3" s="871"/>
      <c r="P3" s="871"/>
      <c r="Q3" s="871"/>
      <c r="R3" s="871"/>
      <c r="S3" s="871"/>
      <c r="T3" s="872"/>
      <c r="U3" s="869"/>
    </row>
    <row r="4" spans="2:21" s="647" customFormat="1" ht="34.5" customHeight="1">
      <c r="B4" s="866" t="s">
        <v>731</v>
      </c>
      <c r="C4" s="867"/>
      <c r="D4" s="650">
        <f>SUM(D5:D45)-SUM(D6:D8)</f>
        <v>2058447000</v>
      </c>
      <c r="E4" s="650">
        <f>SUM(E5:E45)-SUM(E6:E8)</f>
        <v>1332883000</v>
      </c>
      <c r="F4" s="650">
        <f>SUM(F5:F45)-SUM(F6:F8)</f>
        <v>114762000</v>
      </c>
      <c r="G4" s="650">
        <f>SUM(G5:G45)-SUM(G6:G8)</f>
        <v>610802000</v>
      </c>
      <c r="H4" s="651"/>
      <c r="I4" s="652"/>
      <c r="J4" s="652"/>
      <c r="K4" s="650">
        <f>SUM(K5:K45)-SUM(K6:K8)</f>
        <v>2058447000</v>
      </c>
      <c r="L4" s="653"/>
      <c r="M4" s="654"/>
      <c r="N4" s="654"/>
      <c r="O4" s="654"/>
      <c r="P4" s="654"/>
      <c r="Q4" s="654"/>
      <c r="R4" s="654"/>
      <c r="S4" s="654"/>
      <c r="T4" s="655"/>
      <c r="U4" s="652">
        <f>IF(D4=K4,,"×")</f>
        <v>0</v>
      </c>
    </row>
    <row r="5" spans="2:21" s="647" customFormat="1" ht="24" customHeight="1">
      <c r="B5" s="656" t="s">
        <v>58</v>
      </c>
      <c r="C5" s="656" t="s">
        <v>58</v>
      </c>
      <c r="D5" s="657">
        <f>SUM(E5:G5)</f>
        <v>74951000</v>
      </c>
      <c r="E5" s="658">
        <f>ROUND(K5*H5,-3)</f>
        <v>67456000</v>
      </c>
      <c r="F5" s="658">
        <f>ROUNDDOWN(K5*I5,-3)</f>
        <v>5246000</v>
      </c>
      <c r="G5" s="658">
        <f>ROUND(K5*J5,-3)</f>
        <v>2249000</v>
      </c>
      <c r="H5" s="659">
        <v>0.9</v>
      </c>
      <c r="I5" s="659">
        <v>7.0000000000000007E-2</v>
      </c>
      <c r="J5" s="659">
        <v>0.03</v>
      </c>
      <c r="K5" s="660">
        <f t="shared" ref="K5:K10" si="0">ROUNDUP(M5*P5*S5,-3)</f>
        <v>74951000</v>
      </c>
      <c r="L5" s="661" t="s">
        <v>53</v>
      </c>
      <c r="M5" s="662">
        <v>260245</v>
      </c>
      <c r="N5" s="662" t="s">
        <v>56</v>
      </c>
      <c r="O5" s="663" t="s">
        <v>57</v>
      </c>
      <c r="P5" s="662">
        <v>12</v>
      </c>
      <c r="Q5" s="662" t="s">
        <v>155</v>
      </c>
      <c r="R5" s="663" t="s">
        <v>57</v>
      </c>
      <c r="S5" s="664">
        <v>24</v>
      </c>
      <c r="T5" s="665" t="s">
        <v>55</v>
      </c>
      <c r="U5" s="666">
        <f>IF(D5=K5,,"×")</f>
        <v>0</v>
      </c>
    </row>
    <row r="6" spans="2:21" s="647" customFormat="1" ht="24" customHeight="1">
      <c r="B6" s="656"/>
      <c r="C6" s="667" t="s">
        <v>732</v>
      </c>
      <c r="D6" s="668">
        <f>SUM(E6:G6)</f>
        <v>69191000</v>
      </c>
      <c r="E6" s="669">
        <f>ROUND(K6*H6,-3)</f>
        <v>62272000</v>
      </c>
      <c r="F6" s="669">
        <f>ROUNDDOWN(K6*I6,-3)</f>
        <v>4843000</v>
      </c>
      <c r="G6" s="669">
        <f t="shared" ref="G6:G45" si="1">ROUND(K6*J6,-3)</f>
        <v>2076000</v>
      </c>
      <c r="H6" s="670">
        <v>0.9</v>
      </c>
      <c r="I6" s="670">
        <v>7.0000000000000007E-2</v>
      </c>
      <c r="J6" s="670">
        <v>0.03</v>
      </c>
      <c r="K6" s="671">
        <f t="shared" si="0"/>
        <v>69191000</v>
      </c>
      <c r="L6" s="672" t="s">
        <v>53</v>
      </c>
      <c r="M6" s="673">
        <v>240245</v>
      </c>
      <c r="N6" s="673" t="s">
        <v>56</v>
      </c>
      <c r="O6" s="674" t="s">
        <v>57</v>
      </c>
      <c r="P6" s="673">
        <v>12</v>
      </c>
      <c r="Q6" s="673" t="s">
        <v>155</v>
      </c>
      <c r="R6" s="674" t="s">
        <v>57</v>
      </c>
      <c r="S6" s="673">
        <v>24</v>
      </c>
      <c r="T6" s="675" t="s">
        <v>55</v>
      </c>
      <c r="U6" s="676">
        <f t="shared" ref="U6:U45" si="2">IF(D6=K6,,"×")</f>
        <v>0</v>
      </c>
    </row>
    <row r="7" spans="2:21" s="647" customFormat="1" ht="24" customHeight="1">
      <c r="B7" s="656"/>
      <c r="C7" s="667" t="s">
        <v>733</v>
      </c>
      <c r="D7" s="668">
        <f t="shared" ref="D7:D45" si="3">SUM(E7:G7)</f>
        <v>5760000</v>
      </c>
      <c r="E7" s="669">
        <f>ROUND(K7*H7,-3)</f>
        <v>5184000</v>
      </c>
      <c r="F7" s="669">
        <f>ROUND(K7*I7,-3)</f>
        <v>403000</v>
      </c>
      <c r="G7" s="669">
        <f t="shared" si="1"/>
        <v>173000</v>
      </c>
      <c r="H7" s="670">
        <v>0.9</v>
      </c>
      <c r="I7" s="670">
        <v>7.0000000000000007E-2</v>
      </c>
      <c r="J7" s="670">
        <v>0.03</v>
      </c>
      <c r="K7" s="671">
        <f t="shared" si="0"/>
        <v>5760000</v>
      </c>
      <c r="L7" s="672" t="s">
        <v>53</v>
      </c>
      <c r="M7" s="673">
        <v>20000</v>
      </c>
      <c r="N7" s="673" t="s">
        <v>56</v>
      </c>
      <c r="O7" s="674" t="s">
        <v>57</v>
      </c>
      <c r="P7" s="673">
        <v>12</v>
      </c>
      <c r="Q7" s="673" t="s">
        <v>155</v>
      </c>
      <c r="R7" s="674" t="s">
        <v>57</v>
      </c>
      <c r="S7" s="673">
        <v>24</v>
      </c>
      <c r="T7" s="675" t="s">
        <v>55</v>
      </c>
      <c r="U7" s="676">
        <f t="shared" si="2"/>
        <v>0</v>
      </c>
    </row>
    <row r="8" spans="2:21" s="647" customFormat="1" ht="24" customHeight="1">
      <c r="B8" s="656"/>
      <c r="C8" s="667" t="s">
        <v>734</v>
      </c>
      <c r="D8" s="668">
        <f t="shared" si="3"/>
        <v>0</v>
      </c>
      <c r="E8" s="669">
        <f>ROUND(K8*H8,-3)</f>
        <v>0</v>
      </c>
      <c r="F8" s="669">
        <f>ROUND(K8*I8,-3)</f>
        <v>0</v>
      </c>
      <c r="G8" s="669">
        <f t="shared" si="1"/>
        <v>0</v>
      </c>
      <c r="H8" s="670">
        <v>0.9</v>
      </c>
      <c r="I8" s="670">
        <v>7.0000000000000007E-2</v>
      </c>
      <c r="J8" s="670">
        <v>0.03</v>
      </c>
      <c r="K8" s="671">
        <f t="shared" si="0"/>
        <v>0</v>
      </c>
      <c r="L8" s="672" t="s">
        <v>53</v>
      </c>
      <c r="M8" s="673">
        <v>0</v>
      </c>
      <c r="N8" s="673" t="s">
        <v>56</v>
      </c>
      <c r="O8" s="674" t="s">
        <v>57</v>
      </c>
      <c r="P8" s="673">
        <v>12</v>
      </c>
      <c r="Q8" s="673" t="s">
        <v>155</v>
      </c>
      <c r="R8" s="674" t="s">
        <v>57</v>
      </c>
      <c r="S8" s="673">
        <v>24</v>
      </c>
      <c r="T8" s="675" t="s">
        <v>55</v>
      </c>
      <c r="U8" s="676">
        <f t="shared" si="2"/>
        <v>0</v>
      </c>
    </row>
    <row r="9" spans="2:21" s="647" customFormat="1" ht="24" customHeight="1">
      <c r="B9" s="656"/>
      <c r="C9" s="656" t="s">
        <v>735</v>
      </c>
      <c r="D9" s="657">
        <f t="shared" si="3"/>
        <v>875000</v>
      </c>
      <c r="E9" s="658">
        <f>ROUNDDOWN(K9*H9,-3)</f>
        <v>787000</v>
      </c>
      <c r="F9" s="658">
        <f>ROUNDDOWN(K9*I9,-3)</f>
        <v>61000</v>
      </c>
      <c r="G9" s="658">
        <f>ROUNDUP(K9*J9,-3)</f>
        <v>27000</v>
      </c>
      <c r="H9" s="659">
        <v>0.9</v>
      </c>
      <c r="I9" s="659">
        <v>7.0000000000000007E-2</v>
      </c>
      <c r="J9" s="659">
        <v>0.03</v>
      </c>
      <c r="K9" s="660">
        <f t="shared" si="0"/>
        <v>875000</v>
      </c>
      <c r="L9" s="677" t="s">
        <v>53</v>
      </c>
      <c r="M9" s="678">
        <v>36434</v>
      </c>
      <c r="N9" s="678" t="s">
        <v>56</v>
      </c>
      <c r="O9" s="679" t="s">
        <v>57</v>
      </c>
      <c r="P9" s="678">
        <v>1</v>
      </c>
      <c r="Q9" s="678" t="s">
        <v>64</v>
      </c>
      <c r="R9" s="679" t="s">
        <v>57</v>
      </c>
      <c r="S9" s="678">
        <v>24</v>
      </c>
      <c r="T9" s="680" t="s">
        <v>55</v>
      </c>
      <c r="U9" s="666">
        <f t="shared" si="2"/>
        <v>0</v>
      </c>
    </row>
    <row r="10" spans="2:21" s="647" customFormat="1" ht="24" customHeight="1">
      <c r="B10" s="656"/>
      <c r="C10" s="656" t="s">
        <v>736</v>
      </c>
      <c r="D10" s="657">
        <f t="shared" si="3"/>
        <v>1791000</v>
      </c>
      <c r="E10" s="658">
        <f>ROUNDUP(K10*H10,-3)</f>
        <v>1612000</v>
      </c>
      <c r="F10" s="658">
        <f t="shared" ref="F10:F45" si="4">ROUND(K10*I10,-3)</f>
        <v>125000</v>
      </c>
      <c r="G10" s="658">
        <f t="shared" si="1"/>
        <v>54000</v>
      </c>
      <c r="H10" s="659">
        <v>0.9</v>
      </c>
      <c r="I10" s="659">
        <v>7.0000000000000007E-2</v>
      </c>
      <c r="J10" s="659">
        <v>0.03</v>
      </c>
      <c r="K10" s="660">
        <f t="shared" si="0"/>
        <v>1791000</v>
      </c>
      <c r="L10" s="661" t="s">
        <v>53</v>
      </c>
      <c r="M10" s="662">
        <v>37300</v>
      </c>
      <c r="N10" s="662" t="s">
        <v>56</v>
      </c>
      <c r="O10" s="663" t="s">
        <v>57</v>
      </c>
      <c r="P10" s="662">
        <v>2</v>
      </c>
      <c r="Q10" s="662" t="s">
        <v>64</v>
      </c>
      <c r="R10" s="663" t="s">
        <v>57</v>
      </c>
      <c r="S10" s="664">
        <v>24</v>
      </c>
      <c r="T10" s="665" t="s">
        <v>55</v>
      </c>
      <c r="U10" s="666">
        <f t="shared" si="2"/>
        <v>0</v>
      </c>
    </row>
    <row r="11" spans="2:21" s="647" customFormat="1" ht="24" customHeight="1">
      <c r="B11" s="656" t="s">
        <v>737</v>
      </c>
      <c r="C11" s="656" t="s">
        <v>738</v>
      </c>
      <c r="D11" s="657">
        <f t="shared" si="3"/>
        <v>0</v>
      </c>
      <c r="E11" s="658">
        <f t="shared" ref="E11:E45" si="5">ROUND(K11*H11,-3)</f>
        <v>0</v>
      </c>
      <c r="F11" s="658">
        <f t="shared" si="4"/>
        <v>0</v>
      </c>
      <c r="G11" s="658">
        <f t="shared" si="1"/>
        <v>0</v>
      </c>
      <c r="H11" s="659">
        <v>0.5</v>
      </c>
      <c r="I11" s="659">
        <v>0.5</v>
      </c>
      <c r="J11" s="659">
        <v>0</v>
      </c>
      <c r="K11" s="660">
        <v>0</v>
      </c>
      <c r="L11" s="681" t="s">
        <v>739</v>
      </c>
      <c r="M11" s="664"/>
      <c r="N11" s="664"/>
      <c r="O11" s="682"/>
      <c r="P11" s="683"/>
      <c r="Q11" s="684"/>
      <c r="R11" s="685"/>
      <c r="S11" s="686"/>
      <c r="T11" s="687"/>
      <c r="U11" s="666">
        <f t="shared" si="2"/>
        <v>0</v>
      </c>
    </row>
    <row r="12" spans="2:21" s="647" customFormat="1" ht="24" customHeight="1">
      <c r="B12" s="656" t="s">
        <v>215</v>
      </c>
      <c r="C12" s="656" t="s">
        <v>740</v>
      </c>
      <c r="D12" s="657">
        <f t="shared" si="3"/>
        <v>1092026000</v>
      </c>
      <c r="E12" s="658">
        <f>ROUND(K12*H12,-3)</f>
        <v>764418000</v>
      </c>
      <c r="F12" s="658">
        <f t="shared" si="4"/>
        <v>49141000</v>
      </c>
      <c r="G12" s="658">
        <f>ROUND(K12*J12,-3)</f>
        <v>278467000</v>
      </c>
      <c r="H12" s="659">
        <v>0.7</v>
      </c>
      <c r="I12" s="688">
        <v>4.4999999999999998E-2</v>
      </c>
      <c r="J12" s="688">
        <v>0.255</v>
      </c>
      <c r="K12" s="660">
        <v>1092026000</v>
      </c>
      <c r="L12" s="689"/>
      <c r="M12" s="690" t="s">
        <v>741</v>
      </c>
      <c r="N12" s="690"/>
      <c r="O12" s="690"/>
      <c r="P12" s="690"/>
      <c r="Q12" s="690"/>
      <c r="R12" s="690"/>
      <c r="S12" s="690"/>
      <c r="T12" s="691"/>
      <c r="U12" s="666">
        <f t="shared" si="2"/>
        <v>0</v>
      </c>
    </row>
    <row r="13" spans="2:21" s="647" customFormat="1" ht="24" customHeight="1">
      <c r="B13" s="656"/>
      <c r="C13" s="656" t="s">
        <v>742</v>
      </c>
      <c r="D13" s="657">
        <f>SUM(E13:G13)</f>
        <v>108793000</v>
      </c>
      <c r="E13" s="658">
        <f>ROUNDDOWN(K13*H13,-3)</f>
        <v>76155000</v>
      </c>
      <c r="F13" s="658">
        <f>ROUND(K13*I13,-3)</f>
        <v>4896000</v>
      </c>
      <c r="G13" s="658">
        <f>ROUND(K13*J13,-3)</f>
        <v>27742000</v>
      </c>
      <c r="H13" s="659">
        <v>0.7</v>
      </c>
      <c r="I13" s="688">
        <v>4.4999999999999998E-2</v>
      </c>
      <c r="J13" s="688">
        <v>0.255</v>
      </c>
      <c r="K13" s="660">
        <v>108793000</v>
      </c>
      <c r="L13" s="689"/>
      <c r="M13" s="690" t="s">
        <v>741</v>
      </c>
      <c r="N13" s="690"/>
      <c r="O13" s="690"/>
      <c r="P13" s="690"/>
      <c r="Q13" s="690"/>
      <c r="R13" s="690"/>
      <c r="S13" s="690"/>
      <c r="T13" s="691"/>
      <c r="U13" s="666">
        <f t="shared" si="2"/>
        <v>0</v>
      </c>
    </row>
    <row r="14" spans="2:21" s="647" customFormat="1" ht="24" customHeight="1">
      <c r="B14" s="656"/>
      <c r="C14" s="656" t="s">
        <v>743</v>
      </c>
      <c r="D14" s="657">
        <f t="shared" si="3"/>
        <v>15080000</v>
      </c>
      <c r="E14" s="658">
        <f t="shared" si="5"/>
        <v>10556000</v>
      </c>
      <c r="F14" s="658">
        <f t="shared" si="4"/>
        <v>679000</v>
      </c>
      <c r="G14" s="658">
        <f t="shared" si="1"/>
        <v>3845000</v>
      </c>
      <c r="H14" s="659">
        <v>0.7</v>
      </c>
      <c r="I14" s="688">
        <v>4.4999999999999998E-2</v>
      </c>
      <c r="J14" s="688">
        <v>0.255</v>
      </c>
      <c r="K14" s="660">
        <v>15080000</v>
      </c>
      <c r="L14" s="689"/>
      <c r="M14" s="690" t="s">
        <v>741</v>
      </c>
      <c r="N14" s="690"/>
      <c r="O14" s="690"/>
      <c r="P14" s="690"/>
      <c r="Q14" s="690"/>
      <c r="R14" s="690"/>
      <c r="S14" s="690"/>
      <c r="T14" s="691"/>
      <c r="U14" s="666">
        <f t="shared" si="2"/>
        <v>0</v>
      </c>
    </row>
    <row r="15" spans="2:21" s="647" customFormat="1" ht="24" customHeight="1">
      <c r="B15" s="656"/>
      <c r="C15" s="656" t="s">
        <v>744</v>
      </c>
      <c r="D15" s="657">
        <f t="shared" si="3"/>
        <v>240356000</v>
      </c>
      <c r="E15" s="658">
        <f>ROUND(K15*H15,-3)</f>
        <v>168249000</v>
      </c>
      <c r="F15" s="658">
        <f t="shared" si="4"/>
        <v>10816000</v>
      </c>
      <c r="G15" s="658">
        <f t="shared" si="1"/>
        <v>61291000</v>
      </c>
      <c r="H15" s="659">
        <v>0.7</v>
      </c>
      <c r="I15" s="688">
        <v>4.4999999999999998E-2</v>
      </c>
      <c r="J15" s="688">
        <v>0.255</v>
      </c>
      <c r="K15" s="660">
        <v>240356000</v>
      </c>
      <c r="L15" s="689"/>
      <c r="M15" s="690" t="s">
        <v>741</v>
      </c>
      <c r="N15" s="690"/>
      <c r="O15" s="690"/>
      <c r="P15" s="690"/>
      <c r="Q15" s="690"/>
      <c r="R15" s="690"/>
      <c r="S15" s="690"/>
      <c r="T15" s="691"/>
      <c r="U15" s="666">
        <f t="shared" si="2"/>
        <v>0</v>
      </c>
    </row>
    <row r="16" spans="2:21" s="647" customFormat="1" ht="24" customHeight="1">
      <c r="B16" s="656"/>
      <c r="C16" s="656" t="s">
        <v>745</v>
      </c>
      <c r="D16" s="657">
        <f t="shared" si="3"/>
        <v>121354000</v>
      </c>
      <c r="E16" s="658">
        <f>ROUND(K16*H16,-3)</f>
        <v>84948000</v>
      </c>
      <c r="F16" s="658">
        <f t="shared" si="4"/>
        <v>5461000</v>
      </c>
      <c r="G16" s="658">
        <f t="shared" si="1"/>
        <v>30945000</v>
      </c>
      <c r="H16" s="659">
        <v>0.7</v>
      </c>
      <c r="I16" s="688">
        <v>4.4999999999999998E-2</v>
      </c>
      <c r="J16" s="688">
        <v>0.255</v>
      </c>
      <c r="K16" s="660">
        <v>121354000</v>
      </c>
      <c r="L16" s="661" t="s">
        <v>53</v>
      </c>
      <c r="M16" s="662">
        <f>SUM(K12:K15)</f>
        <v>1456255000</v>
      </c>
      <c r="N16" s="692" t="s">
        <v>56</v>
      </c>
      <c r="O16" s="693" t="s">
        <v>63</v>
      </c>
      <c r="P16" s="694">
        <v>12</v>
      </c>
      <c r="Q16" s="695" t="s">
        <v>155</v>
      </c>
      <c r="R16" s="696"/>
      <c r="S16" s="697"/>
      <c r="T16" s="665"/>
      <c r="U16" s="666">
        <f t="shared" si="2"/>
        <v>0</v>
      </c>
    </row>
    <row r="17" spans="2:21" s="647" customFormat="1" ht="24" customHeight="1">
      <c r="B17" s="656"/>
      <c r="C17" s="656" t="s">
        <v>746</v>
      </c>
      <c r="D17" s="657">
        <f t="shared" si="3"/>
        <v>65532000</v>
      </c>
      <c r="E17" s="658">
        <f>ROUND(K17*H17,-3)</f>
        <v>45872000</v>
      </c>
      <c r="F17" s="658">
        <f t="shared" si="4"/>
        <v>2949000</v>
      </c>
      <c r="G17" s="658">
        <f t="shared" si="1"/>
        <v>16711000</v>
      </c>
      <c r="H17" s="659">
        <v>0.7</v>
      </c>
      <c r="I17" s="688">
        <v>4.4999999999999998E-2</v>
      </c>
      <c r="J17" s="688">
        <v>0.255</v>
      </c>
      <c r="K17" s="660">
        <f>ROUNDUP(M17*P17/Q17,-3)</f>
        <v>65532000</v>
      </c>
      <c r="L17" s="661" t="s">
        <v>53</v>
      </c>
      <c r="M17" s="662">
        <f>M16</f>
        <v>1456255000</v>
      </c>
      <c r="N17" s="692" t="s">
        <v>56</v>
      </c>
      <c r="O17" s="696" t="s">
        <v>57</v>
      </c>
      <c r="P17" s="698">
        <v>0.09</v>
      </c>
      <c r="Q17" s="693">
        <v>2</v>
      </c>
      <c r="R17" s="696"/>
      <c r="S17" s="697"/>
      <c r="T17" s="699"/>
      <c r="U17" s="666">
        <f t="shared" si="2"/>
        <v>0</v>
      </c>
    </row>
    <row r="18" spans="2:21" s="647" customFormat="1" ht="24" customHeight="1">
      <c r="B18" s="656"/>
      <c r="C18" s="656" t="s">
        <v>747</v>
      </c>
      <c r="D18" s="657">
        <f>SUM(E18:G18)</f>
        <v>48566000</v>
      </c>
      <c r="E18" s="658">
        <f>ROUND(K18*H18,-3)</f>
        <v>33996000</v>
      </c>
      <c r="F18" s="658">
        <f>ROUNDUP(K18*I18,-3)</f>
        <v>2186000</v>
      </c>
      <c r="G18" s="658">
        <f>ROUNDDOWN(K18*J18,-3)</f>
        <v>12384000</v>
      </c>
      <c r="H18" s="659">
        <v>0.7</v>
      </c>
      <c r="I18" s="688">
        <v>4.4999999999999998E-2</v>
      </c>
      <c r="J18" s="688">
        <v>0.255</v>
      </c>
      <c r="K18" s="660">
        <v>48566000</v>
      </c>
      <c r="L18" s="661" t="s">
        <v>53</v>
      </c>
      <c r="M18" s="662">
        <f>M16</f>
        <v>1456255000</v>
      </c>
      <c r="N18" s="692" t="s">
        <v>56</v>
      </c>
      <c r="O18" s="696" t="s">
        <v>57</v>
      </c>
      <c r="P18" s="700">
        <v>6.6699999999999995E-2</v>
      </c>
      <c r="Q18" s="693">
        <v>2</v>
      </c>
      <c r="R18" s="696"/>
      <c r="S18" s="697"/>
      <c r="T18" s="699"/>
      <c r="U18" s="666">
        <f t="shared" si="2"/>
        <v>0</v>
      </c>
    </row>
    <row r="19" spans="2:21" s="647" customFormat="1" ht="24" customHeight="1">
      <c r="B19" s="656"/>
      <c r="C19" s="656" t="s">
        <v>748</v>
      </c>
      <c r="D19" s="657">
        <f>SUM(E19:G19)</f>
        <v>4978000</v>
      </c>
      <c r="E19" s="658">
        <f>ROUNDUP(K19*H19,-3)</f>
        <v>3485000</v>
      </c>
      <c r="F19" s="658">
        <f>ROUNDDOWN(K19*I19,-3)</f>
        <v>224000</v>
      </c>
      <c r="G19" s="658">
        <f t="shared" si="1"/>
        <v>1269000</v>
      </c>
      <c r="H19" s="659">
        <v>0.7</v>
      </c>
      <c r="I19" s="688">
        <v>4.4999999999999998E-2</v>
      </c>
      <c r="J19" s="688">
        <v>0.255</v>
      </c>
      <c r="K19" s="660">
        <f>ROUND(M19*P19,-3)</f>
        <v>4978000</v>
      </c>
      <c r="L19" s="661" t="s">
        <v>53</v>
      </c>
      <c r="M19" s="662">
        <f>K18</f>
        <v>48566000</v>
      </c>
      <c r="N19" s="692" t="s">
        <v>56</v>
      </c>
      <c r="O19" s="696" t="s">
        <v>57</v>
      </c>
      <c r="P19" s="701">
        <v>0.10249999999999999</v>
      </c>
      <c r="Q19" s="702"/>
      <c r="R19" s="696"/>
      <c r="S19" s="697"/>
      <c r="T19" s="703"/>
      <c r="U19" s="666">
        <f t="shared" si="2"/>
        <v>0</v>
      </c>
    </row>
    <row r="20" spans="2:21" s="647" customFormat="1" ht="24" customHeight="1">
      <c r="B20" s="656"/>
      <c r="C20" s="656" t="s">
        <v>749</v>
      </c>
      <c r="D20" s="657">
        <f t="shared" si="3"/>
        <v>15291000</v>
      </c>
      <c r="E20" s="658">
        <f>ROUNDUP(K20*H20,-3)</f>
        <v>10704000</v>
      </c>
      <c r="F20" s="658">
        <f t="shared" si="4"/>
        <v>688000</v>
      </c>
      <c r="G20" s="658">
        <f t="shared" si="1"/>
        <v>3899000</v>
      </c>
      <c r="H20" s="659">
        <v>0.7</v>
      </c>
      <c r="I20" s="688">
        <v>4.4999999999999998E-2</v>
      </c>
      <c r="J20" s="688">
        <v>0.255</v>
      </c>
      <c r="K20" s="660">
        <f>ROUNDUP(M20*P20,-3)</f>
        <v>15291000</v>
      </c>
      <c r="L20" s="661" t="s">
        <v>53</v>
      </c>
      <c r="M20" s="662">
        <f>M16</f>
        <v>1456255000</v>
      </c>
      <c r="N20" s="692" t="s">
        <v>56</v>
      </c>
      <c r="O20" s="696" t="s">
        <v>57</v>
      </c>
      <c r="P20" s="701">
        <v>1.0500000000000001E-2</v>
      </c>
      <c r="Q20" s="696"/>
      <c r="R20" s="696"/>
      <c r="S20" s="697"/>
      <c r="T20" s="699"/>
      <c r="U20" s="666">
        <f t="shared" si="2"/>
        <v>0</v>
      </c>
    </row>
    <row r="21" spans="2:21" s="647" customFormat="1" ht="24" customHeight="1">
      <c r="B21" s="656"/>
      <c r="C21" s="656" t="s">
        <v>750</v>
      </c>
      <c r="D21" s="657">
        <f>SUM(E21:G21)</f>
        <v>9800000</v>
      </c>
      <c r="E21" s="658">
        <f>ROUNDUP(K21*H21,-3)</f>
        <v>6860000</v>
      </c>
      <c r="F21" s="658">
        <f t="shared" si="4"/>
        <v>441000</v>
      </c>
      <c r="G21" s="658">
        <f>ROUNDUP(K21*J21,-3)</f>
        <v>2499000</v>
      </c>
      <c r="H21" s="659">
        <v>0.7</v>
      </c>
      <c r="I21" s="688">
        <v>4.4999999999999998E-2</v>
      </c>
      <c r="J21" s="688">
        <v>0.255</v>
      </c>
      <c r="K21" s="660">
        <f>ROUNDDOWN(M21*P21,-3)</f>
        <v>9800000</v>
      </c>
      <c r="L21" s="661" t="s">
        <v>53</v>
      </c>
      <c r="M21" s="662">
        <f>M16</f>
        <v>1456255000</v>
      </c>
      <c r="N21" s="692" t="s">
        <v>56</v>
      </c>
      <c r="O21" s="696" t="s">
        <v>57</v>
      </c>
      <c r="P21" s="704">
        <v>6.7299999999999999E-3</v>
      </c>
      <c r="Q21" s="696"/>
      <c r="R21" s="696"/>
      <c r="S21" s="697"/>
      <c r="T21" s="699"/>
      <c r="U21" s="666">
        <f t="shared" si="2"/>
        <v>0</v>
      </c>
    </row>
    <row r="22" spans="2:21" s="647" customFormat="1" ht="24" customHeight="1">
      <c r="B22" s="656" t="s">
        <v>80</v>
      </c>
      <c r="C22" s="656" t="s">
        <v>751</v>
      </c>
      <c r="D22" s="657">
        <f>SUM(E22:G22)</f>
        <v>68580000</v>
      </c>
      <c r="E22" s="658">
        <f>ROUND(K22*H22,-3)</f>
        <v>48006000</v>
      </c>
      <c r="F22" s="658">
        <f>ROUNDDOWN(K22*I22,-3)</f>
        <v>3086000</v>
      </c>
      <c r="G22" s="658">
        <f t="shared" si="1"/>
        <v>17488000</v>
      </c>
      <c r="H22" s="659">
        <v>0.7</v>
      </c>
      <c r="I22" s="688">
        <v>4.4999999999999998E-2</v>
      </c>
      <c r="J22" s="688">
        <v>0.255</v>
      </c>
      <c r="K22" s="660">
        <f>M22*P22</f>
        <v>68580000</v>
      </c>
      <c r="L22" s="661" t="s">
        <v>53</v>
      </c>
      <c r="M22" s="662">
        <v>2286000</v>
      </c>
      <c r="N22" s="662" t="s">
        <v>56</v>
      </c>
      <c r="O22" s="663" t="s">
        <v>57</v>
      </c>
      <c r="P22" s="693">
        <v>30</v>
      </c>
      <c r="Q22" s="662" t="s">
        <v>55</v>
      </c>
      <c r="R22" s="696"/>
      <c r="S22" s="705"/>
      <c r="T22" s="665"/>
      <c r="U22" s="666">
        <f t="shared" si="2"/>
        <v>0</v>
      </c>
    </row>
    <row r="23" spans="2:21" s="647" customFormat="1" ht="24" customHeight="1">
      <c r="B23" s="656"/>
      <c r="C23" s="656" t="s">
        <v>752</v>
      </c>
      <c r="D23" s="657">
        <f t="shared" si="3"/>
        <v>13970000</v>
      </c>
      <c r="E23" s="658">
        <f>ROUNDDOWN(K23*H23,-3)</f>
        <v>9779000</v>
      </c>
      <c r="F23" s="658">
        <f>ROUNDUP(K23*I23,-3)</f>
        <v>629000</v>
      </c>
      <c r="G23" s="658">
        <f>ROUND(K23*J23,-3)</f>
        <v>3562000</v>
      </c>
      <c r="H23" s="659">
        <v>0.7</v>
      </c>
      <c r="I23" s="688">
        <v>4.4999999999999998E-2</v>
      </c>
      <c r="J23" s="688">
        <v>0.255</v>
      </c>
      <c r="K23" s="660">
        <f>M23*P23</f>
        <v>13970000</v>
      </c>
      <c r="L23" s="661" t="s">
        <v>53</v>
      </c>
      <c r="M23" s="662">
        <v>635000</v>
      </c>
      <c r="N23" s="662" t="s">
        <v>56</v>
      </c>
      <c r="O23" s="663" t="s">
        <v>57</v>
      </c>
      <c r="P23" s="693">
        <v>22</v>
      </c>
      <c r="Q23" s="662" t="s">
        <v>55</v>
      </c>
      <c r="R23" s="696"/>
      <c r="S23" s="705"/>
      <c r="T23" s="665"/>
      <c r="U23" s="666">
        <f t="shared" si="2"/>
        <v>0</v>
      </c>
    </row>
    <row r="24" spans="2:21" s="647" customFormat="1" ht="24" customHeight="1">
      <c r="B24" s="656" t="s">
        <v>200</v>
      </c>
      <c r="C24" s="656" t="s">
        <v>753</v>
      </c>
      <c r="D24" s="657">
        <f t="shared" si="3"/>
        <v>9490000</v>
      </c>
      <c r="E24" s="658">
        <f t="shared" si="5"/>
        <v>0</v>
      </c>
      <c r="F24" s="658">
        <f t="shared" si="4"/>
        <v>2847000</v>
      </c>
      <c r="G24" s="658">
        <f>ROUND(K24*J24,-3)</f>
        <v>6643000</v>
      </c>
      <c r="H24" s="659">
        <v>0</v>
      </c>
      <c r="I24" s="688">
        <v>0.3</v>
      </c>
      <c r="J24" s="688">
        <v>0.7</v>
      </c>
      <c r="K24" s="660">
        <f>ROUNDUP(M24*P24*S24,-3)</f>
        <v>9490000</v>
      </c>
      <c r="L24" s="661" t="s">
        <v>53</v>
      </c>
      <c r="M24" s="662">
        <v>500</v>
      </c>
      <c r="N24" s="662" t="s">
        <v>56</v>
      </c>
      <c r="O24" s="663" t="s">
        <v>57</v>
      </c>
      <c r="P24" s="662">
        <v>365</v>
      </c>
      <c r="Q24" s="662" t="s">
        <v>88</v>
      </c>
      <c r="R24" s="663" t="s">
        <v>57</v>
      </c>
      <c r="S24" s="662">
        <v>52</v>
      </c>
      <c r="T24" s="665" t="s">
        <v>55</v>
      </c>
      <c r="U24" s="666">
        <f t="shared" si="2"/>
        <v>0</v>
      </c>
    </row>
    <row r="25" spans="2:21" s="647" customFormat="1" ht="24" customHeight="1">
      <c r="B25" s="656"/>
      <c r="C25" s="656" t="s">
        <v>754</v>
      </c>
      <c r="D25" s="657">
        <f t="shared" si="3"/>
        <v>3120000</v>
      </c>
      <c r="E25" s="658">
        <f t="shared" si="5"/>
        <v>0</v>
      </c>
      <c r="F25" s="658">
        <f t="shared" si="4"/>
        <v>936000</v>
      </c>
      <c r="G25" s="658">
        <f t="shared" si="1"/>
        <v>2184000</v>
      </c>
      <c r="H25" s="659">
        <v>0</v>
      </c>
      <c r="I25" s="688">
        <v>0.3</v>
      </c>
      <c r="J25" s="688">
        <v>0.7</v>
      </c>
      <c r="K25" s="660">
        <f>M25*P25*S25</f>
        <v>3120000</v>
      </c>
      <c r="L25" s="661" t="s">
        <v>53</v>
      </c>
      <c r="M25" s="662">
        <v>5000</v>
      </c>
      <c r="N25" s="662" t="s">
        <v>56</v>
      </c>
      <c r="O25" s="663" t="s">
        <v>57</v>
      </c>
      <c r="P25" s="662">
        <v>12</v>
      </c>
      <c r="Q25" s="662" t="s">
        <v>29</v>
      </c>
      <c r="R25" s="663" t="s">
        <v>57</v>
      </c>
      <c r="S25" s="662">
        <v>52</v>
      </c>
      <c r="T25" s="665" t="s">
        <v>55</v>
      </c>
      <c r="U25" s="666">
        <f t="shared" si="2"/>
        <v>0</v>
      </c>
    </row>
    <row r="26" spans="2:21" s="647" customFormat="1" ht="37.5" customHeight="1">
      <c r="B26" s="656"/>
      <c r="C26" s="706" t="s">
        <v>755</v>
      </c>
      <c r="D26" s="657">
        <f t="shared" si="3"/>
        <v>4160000</v>
      </c>
      <c r="E26" s="658">
        <f t="shared" si="5"/>
        <v>0</v>
      </c>
      <c r="F26" s="658">
        <f t="shared" si="4"/>
        <v>1248000</v>
      </c>
      <c r="G26" s="658">
        <f t="shared" si="1"/>
        <v>2912000</v>
      </c>
      <c r="H26" s="659">
        <v>0</v>
      </c>
      <c r="I26" s="688">
        <v>0.3</v>
      </c>
      <c r="J26" s="688">
        <v>0.7</v>
      </c>
      <c r="K26" s="660">
        <f>M26*P26*S26</f>
        <v>4160000</v>
      </c>
      <c r="L26" s="677" t="s">
        <v>53</v>
      </c>
      <c r="M26" s="678">
        <v>20000</v>
      </c>
      <c r="N26" s="678" t="s">
        <v>56</v>
      </c>
      <c r="O26" s="707" t="s">
        <v>57</v>
      </c>
      <c r="P26" s="678">
        <v>4</v>
      </c>
      <c r="Q26" s="678" t="s">
        <v>64</v>
      </c>
      <c r="R26" s="707" t="s">
        <v>57</v>
      </c>
      <c r="S26" s="678">
        <v>52</v>
      </c>
      <c r="T26" s="680" t="s">
        <v>55</v>
      </c>
      <c r="U26" s="666">
        <f t="shared" si="2"/>
        <v>0</v>
      </c>
    </row>
    <row r="27" spans="2:21" s="647" customFormat="1" ht="35.25" customHeight="1">
      <c r="B27" s="656"/>
      <c r="C27" s="706" t="s">
        <v>756</v>
      </c>
      <c r="D27" s="657">
        <f t="shared" si="3"/>
        <v>2496000</v>
      </c>
      <c r="E27" s="658">
        <f t="shared" si="5"/>
        <v>0</v>
      </c>
      <c r="F27" s="658">
        <f t="shared" si="4"/>
        <v>749000</v>
      </c>
      <c r="G27" s="658">
        <f t="shared" si="1"/>
        <v>1747000</v>
      </c>
      <c r="H27" s="659">
        <v>0</v>
      </c>
      <c r="I27" s="688">
        <v>0.3</v>
      </c>
      <c r="J27" s="688">
        <v>0.7</v>
      </c>
      <c r="K27" s="660">
        <f>M27*P27*S27</f>
        <v>2496000</v>
      </c>
      <c r="L27" s="661" t="s">
        <v>53</v>
      </c>
      <c r="M27" s="662">
        <v>12000</v>
      </c>
      <c r="N27" s="662" t="s">
        <v>56</v>
      </c>
      <c r="O27" s="663" t="s">
        <v>57</v>
      </c>
      <c r="P27" s="662">
        <v>4</v>
      </c>
      <c r="Q27" s="662" t="s">
        <v>64</v>
      </c>
      <c r="R27" s="663" t="s">
        <v>57</v>
      </c>
      <c r="S27" s="662">
        <v>52</v>
      </c>
      <c r="T27" s="665" t="s">
        <v>55</v>
      </c>
      <c r="U27" s="666">
        <f t="shared" si="2"/>
        <v>0</v>
      </c>
    </row>
    <row r="28" spans="2:21" s="647" customFormat="1" ht="31.5" customHeight="1">
      <c r="B28" s="656"/>
      <c r="C28" s="656" t="s">
        <v>757</v>
      </c>
      <c r="D28" s="657">
        <f t="shared" si="3"/>
        <v>2080000</v>
      </c>
      <c r="E28" s="658">
        <f t="shared" si="5"/>
        <v>0</v>
      </c>
      <c r="F28" s="658">
        <f t="shared" si="4"/>
        <v>624000</v>
      </c>
      <c r="G28" s="658">
        <f t="shared" si="1"/>
        <v>1456000</v>
      </c>
      <c r="H28" s="659">
        <v>0</v>
      </c>
      <c r="I28" s="688">
        <v>0.3</v>
      </c>
      <c r="J28" s="688">
        <v>0.7</v>
      </c>
      <c r="K28" s="660">
        <f>M28*P28*S28</f>
        <v>2080000</v>
      </c>
      <c r="L28" s="661" t="s">
        <v>53</v>
      </c>
      <c r="M28" s="662">
        <v>40000</v>
      </c>
      <c r="N28" s="662" t="s">
        <v>56</v>
      </c>
      <c r="O28" s="708" t="s">
        <v>57</v>
      </c>
      <c r="P28" s="662">
        <v>1</v>
      </c>
      <c r="Q28" s="662" t="s">
        <v>64</v>
      </c>
      <c r="R28" s="708" t="s">
        <v>57</v>
      </c>
      <c r="S28" s="662">
        <v>52</v>
      </c>
      <c r="T28" s="665" t="s">
        <v>55</v>
      </c>
      <c r="U28" s="666">
        <f t="shared" si="2"/>
        <v>0</v>
      </c>
    </row>
    <row r="29" spans="2:21" s="647" customFormat="1" ht="24" customHeight="1">
      <c r="B29" s="656" t="s">
        <v>201</v>
      </c>
      <c r="C29" s="656" t="s">
        <v>740</v>
      </c>
      <c r="D29" s="657">
        <f t="shared" si="3"/>
        <v>70644000</v>
      </c>
      <c r="E29" s="658">
        <f t="shared" si="5"/>
        <v>0</v>
      </c>
      <c r="F29" s="658">
        <f t="shared" si="4"/>
        <v>7064000</v>
      </c>
      <c r="G29" s="658">
        <f t="shared" si="1"/>
        <v>63580000</v>
      </c>
      <c r="H29" s="659">
        <v>0</v>
      </c>
      <c r="I29" s="688">
        <v>0.1</v>
      </c>
      <c r="J29" s="688">
        <v>0.9</v>
      </c>
      <c r="K29" s="660">
        <v>70644000</v>
      </c>
      <c r="L29" s="689"/>
      <c r="M29" s="690" t="s">
        <v>741</v>
      </c>
      <c r="N29" s="690"/>
      <c r="O29" s="690"/>
      <c r="P29" s="690"/>
      <c r="Q29" s="690"/>
      <c r="R29" s="690"/>
      <c r="S29" s="690"/>
      <c r="T29" s="691"/>
      <c r="U29" s="666">
        <f t="shared" si="2"/>
        <v>0</v>
      </c>
    </row>
    <row r="30" spans="2:21" s="647" customFormat="1" ht="24" customHeight="1">
      <c r="B30" s="656"/>
      <c r="C30" s="656" t="s">
        <v>742</v>
      </c>
      <c r="D30" s="657">
        <f t="shared" si="3"/>
        <v>6995000</v>
      </c>
      <c r="E30" s="658">
        <f t="shared" si="5"/>
        <v>0</v>
      </c>
      <c r="F30" s="658">
        <f t="shared" si="4"/>
        <v>700000</v>
      </c>
      <c r="G30" s="658">
        <f>ROUNDDOWN(K30*J30,-3)</f>
        <v>6295000</v>
      </c>
      <c r="H30" s="659">
        <v>0</v>
      </c>
      <c r="I30" s="688">
        <v>0.1</v>
      </c>
      <c r="J30" s="688">
        <v>0.9</v>
      </c>
      <c r="K30" s="660">
        <v>6995000</v>
      </c>
      <c r="L30" s="689"/>
      <c r="M30" s="690" t="s">
        <v>741</v>
      </c>
      <c r="N30" s="690"/>
      <c r="O30" s="690"/>
      <c r="P30" s="690"/>
      <c r="Q30" s="690"/>
      <c r="R30" s="690"/>
      <c r="S30" s="690"/>
      <c r="T30" s="691"/>
      <c r="U30" s="666">
        <f t="shared" si="2"/>
        <v>0</v>
      </c>
    </row>
    <row r="31" spans="2:21" s="647" customFormat="1" ht="24" customHeight="1">
      <c r="B31" s="656"/>
      <c r="C31" s="656" t="s">
        <v>743</v>
      </c>
      <c r="D31" s="657">
        <f t="shared" si="3"/>
        <v>1180000</v>
      </c>
      <c r="E31" s="658">
        <f t="shared" si="5"/>
        <v>0</v>
      </c>
      <c r="F31" s="658">
        <f t="shared" si="4"/>
        <v>118000</v>
      </c>
      <c r="G31" s="658">
        <f t="shared" si="1"/>
        <v>1062000</v>
      </c>
      <c r="H31" s="659">
        <v>0</v>
      </c>
      <c r="I31" s="688">
        <v>0.1</v>
      </c>
      <c r="J31" s="688">
        <v>0.9</v>
      </c>
      <c r="K31" s="660">
        <v>1180000</v>
      </c>
      <c r="L31" s="689"/>
      <c r="M31" s="690" t="s">
        <v>741</v>
      </c>
      <c r="N31" s="690"/>
      <c r="O31" s="690"/>
      <c r="P31" s="690"/>
      <c r="Q31" s="690"/>
      <c r="R31" s="690"/>
      <c r="S31" s="690"/>
      <c r="T31" s="691"/>
      <c r="U31" s="666">
        <f t="shared" si="2"/>
        <v>0</v>
      </c>
    </row>
    <row r="32" spans="2:21" s="647" customFormat="1" ht="24" customHeight="1">
      <c r="B32" s="656"/>
      <c r="C32" s="656" t="s">
        <v>744</v>
      </c>
      <c r="D32" s="657">
        <f t="shared" si="3"/>
        <v>16894000</v>
      </c>
      <c r="E32" s="658">
        <f t="shared" si="5"/>
        <v>0</v>
      </c>
      <c r="F32" s="658">
        <f t="shared" si="4"/>
        <v>1689000</v>
      </c>
      <c r="G32" s="658">
        <f>ROUND(K32*J32,-3)</f>
        <v>15205000</v>
      </c>
      <c r="H32" s="659">
        <v>0</v>
      </c>
      <c r="I32" s="688">
        <v>0.1</v>
      </c>
      <c r="J32" s="688">
        <v>0.9</v>
      </c>
      <c r="K32" s="660">
        <v>16894000</v>
      </c>
      <c r="L32" s="689"/>
      <c r="M32" s="690" t="s">
        <v>741</v>
      </c>
      <c r="N32" s="690"/>
      <c r="O32" s="690"/>
      <c r="P32" s="690"/>
      <c r="Q32" s="690"/>
      <c r="R32" s="690"/>
      <c r="S32" s="690"/>
      <c r="T32" s="691"/>
      <c r="U32" s="666">
        <f t="shared" si="2"/>
        <v>0</v>
      </c>
    </row>
    <row r="33" spans="2:21" s="647" customFormat="1" ht="24" customHeight="1">
      <c r="B33" s="656"/>
      <c r="C33" s="656" t="s">
        <v>745</v>
      </c>
      <c r="D33" s="657">
        <f t="shared" si="3"/>
        <v>7977000</v>
      </c>
      <c r="E33" s="658">
        <f t="shared" si="5"/>
        <v>0</v>
      </c>
      <c r="F33" s="658">
        <f t="shared" si="4"/>
        <v>798000</v>
      </c>
      <c r="G33" s="658">
        <f>ROUND(K33*J33,-3)</f>
        <v>7179000</v>
      </c>
      <c r="H33" s="659">
        <v>0</v>
      </c>
      <c r="I33" s="688">
        <v>0.1</v>
      </c>
      <c r="J33" s="688">
        <v>0.9</v>
      </c>
      <c r="K33" s="660">
        <f>ROUNDUP(M33/P33,-3)</f>
        <v>7977000</v>
      </c>
      <c r="L33" s="661" t="s">
        <v>53</v>
      </c>
      <c r="M33" s="662">
        <f>SUM(K29:K32)</f>
        <v>95713000</v>
      </c>
      <c r="N33" s="692" t="s">
        <v>56</v>
      </c>
      <c r="O33" s="693" t="s">
        <v>63</v>
      </c>
      <c r="P33" s="694">
        <v>12</v>
      </c>
      <c r="Q33" s="695" t="s">
        <v>155</v>
      </c>
      <c r="R33" s="696"/>
      <c r="S33" s="697"/>
      <c r="T33" s="665"/>
      <c r="U33" s="666">
        <f t="shared" si="2"/>
        <v>0</v>
      </c>
    </row>
    <row r="34" spans="2:21" s="647" customFormat="1" ht="24" customHeight="1">
      <c r="B34" s="656"/>
      <c r="C34" s="656" t="s">
        <v>746</v>
      </c>
      <c r="D34" s="657">
        <f t="shared" si="3"/>
        <v>4308000</v>
      </c>
      <c r="E34" s="658">
        <f t="shared" si="5"/>
        <v>0</v>
      </c>
      <c r="F34" s="658">
        <f>ROUNDUP(K34*I34,-3)</f>
        <v>431000</v>
      </c>
      <c r="G34" s="658">
        <f>ROUNDDOWN(K34*J34,-3)</f>
        <v>3877000</v>
      </c>
      <c r="H34" s="659">
        <v>0</v>
      </c>
      <c r="I34" s="688">
        <v>0.1</v>
      </c>
      <c r="J34" s="688">
        <v>0.9</v>
      </c>
      <c r="K34" s="660">
        <f>ROUNDUP(M34*P34/Q34,-3)</f>
        <v>4308000</v>
      </c>
      <c r="L34" s="661" t="s">
        <v>53</v>
      </c>
      <c r="M34" s="662">
        <f>M33</f>
        <v>95713000</v>
      </c>
      <c r="N34" s="692" t="s">
        <v>56</v>
      </c>
      <c r="O34" s="696" t="s">
        <v>57</v>
      </c>
      <c r="P34" s="698">
        <v>0.09</v>
      </c>
      <c r="Q34" s="693">
        <v>2</v>
      </c>
      <c r="R34" s="696"/>
      <c r="S34" s="697"/>
      <c r="T34" s="699"/>
      <c r="U34" s="666">
        <f t="shared" si="2"/>
        <v>0</v>
      </c>
    </row>
    <row r="35" spans="2:21" s="647" customFormat="1" ht="24" customHeight="1">
      <c r="B35" s="656"/>
      <c r="C35" s="656" t="s">
        <v>747</v>
      </c>
      <c r="D35" s="657">
        <f t="shared" si="3"/>
        <v>3192000</v>
      </c>
      <c r="E35" s="658">
        <f t="shared" si="5"/>
        <v>0</v>
      </c>
      <c r="F35" s="658">
        <f t="shared" si="4"/>
        <v>319000</v>
      </c>
      <c r="G35" s="658">
        <f>ROUND(K35*J35,-3)</f>
        <v>2873000</v>
      </c>
      <c r="H35" s="659">
        <v>0</v>
      </c>
      <c r="I35" s="688">
        <v>0.1</v>
      </c>
      <c r="J35" s="688">
        <v>0.9</v>
      </c>
      <c r="K35" s="660">
        <f>ROUNDDOWN(M35*P35/Q35,-3)</f>
        <v>3192000</v>
      </c>
      <c r="L35" s="661" t="s">
        <v>53</v>
      </c>
      <c r="M35" s="662">
        <f>M33</f>
        <v>95713000</v>
      </c>
      <c r="N35" s="692" t="s">
        <v>56</v>
      </c>
      <c r="O35" s="696" t="s">
        <v>57</v>
      </c>
      <c r="P35" s="700">
        <v>6.6699999999999995E-2</v>
      </c>
      <c r="Q35" s="693">
        <v>2</v>
      </c>
      <c r="R35" s="696"/>
      <c r="S35" s="697"/>
      <c r="T35" s="699"/>
      <c r="U35" s="666">
        <f t="shared" si="2"/>
        <v>0</v>
      </c>
    </row>
    <row r="36" spans="2:21" s="647" customFormat="1" ht="24" customHeight="1">
      <c r="B36" s="656"/>
      <c r="C36" s="656" t="s">
        <v>748</v>
      </c>
      <c r="D36" s="657">
        <f t="shared" si="3"/>
        <v>328000</v>
      </c>
      <c r="E36" s="658">
        <f t="shared" si="5"/>
        <v>0</v>
      </c>
      <c r="F36" s="658">
        <f>ROUNDDOWN(K36*I36,-3)</f>
        <v>32000</v>
      </c>
      <c r="G36" s="658">
        <f>ROUNDUP(K36*J36,-3)</f>
        <v>296000</v>
      </c>
      <c r="H36" s="659">
        <v>0</v>
      </c>
      <c r="I36" s="688">
        <v>0.1</v>
      </c>
      <c r="J36" s="688">
        <v>0.9</v>
      </c>
      <c r="K36" s="660">
        <f>ROUNDUP(M36*P36,-3)</f>
        <v>328000</v>
      </c>
      <c r="L36" s="661" t="s">
        <v>53</v>
      </c>
      <c r="M36" s="662">
        <f>K35</f>
        <v>3192000</v>
      </c>
      <c r="N36" s="692" t="s">
        <v>56</v>
      </c>
      <c r="O36" s="696" t="s">
        <v>57</v>
      </c>
      <c r="P36" s="701">
        <v>0.10249999999999999</v>
      </c>
      <c r="Q36" s="702"/>
      <c r="R36" s="696"/>
      <c r="S36" s="697"/>
      <c r="T36" s="703"/>
      <c r="U36" s="666">
        <f t="shared" si="2"/>
        <v>0</v>
      </c>
    </row>
    <row r="37" spans="2:21" s="647" customFormat="1" ht="24" customHeight="1">
      <c r="B37" s="656"/>
      <c r="C37" s="656" t="s">
        <v>749</v>
      </c>
      <c r="D37" s="657">
        <f>SUM(E37:G37)</f>
        <v>1005000</v>
      </c>
      <c r="E37" s="658">
        <f t="shared" si="5"/>
        <v>0</v>
      </c>
      <c r="F37" s="658">
        <f>ROUNDDOWN(K37*I37,-3)</f>
        <v>100000</v>
      </c>
      <c r="G37" s="658">
        <f>ROUND(K37*J37,-3)</f>
        <v>905000</v>
      </c>
      <c r="H37" s="659">
        <v>0</v>
      </c>
      <c r="I37" s="688">
        <v>0.1</v>
      </c>
      <c r="J37" s="688">
        <v>0.9</v>
      </c>
      <c r="K37" s="660">
        <f t="shared" ref="K37:K38" si="6">ROUNDUP(M37*P37,-3)</f>
        <v>1005000</v>
      </c>
      <c r="L37" s="661" t="s">
        <v>53</v>
      </c>
      <c r="M37" s="662">
        <f>M33</f>
        <v>95713000</v>
      </c>
      <c r="N37" s="692" t="s">
        <v>56</v>
      </c>
      <c r="O37" s="696" t="s">
        <v>57</v>
      </c>
      <c r="P37" s="701">
        <v>1.0500000000000001E-2</v>
      </c>
      <c r="Q37" s="696"/>
      <c r="R37" s="696"/>
      <c r="S37" s="697"/>
      <c r="T37" s="699"/>
      <c r="U37" s="666">
        <f t="shared" si="2"/>
        <v>0</v>
      </c>
    </row>
    <row r="38" spans="2:21" s="647" customFormat="1" ht="24" customHeight="1">
      <c r="B38" s="656"/>
      <c r="C38" s="656" t="s">
        <v>750</v>
      </c>
      <c r="D38" s="657">
        <f>SUM(E38:G38)</f>
        <v>645000</v>
      </c>
      <c r="E38" s="658">
        <f t="shared" si="5"/>
        <v>0</v>
      </c>
      <c r="F38" s="658">
        <f>ROUNDDOWN(K38*I38,-3)</f>
        <v>64000</v>
      </c>
      <c r="G38" s="658">
        <f>ROUND(K38*J38,-3)</f>
        <v>581000</v>
      </c>
      <c r="H38" s="659">
        <v>0</v>
      </c>
      <c r="I38" s="688">
        <v>0.1</v>
      </c>
      <c r="J38" s="688">
        <v>0.9</v>
      </c>
      <c r="K38" s="660">
        <f t="shared" si="6"/>
        <v>645000</v>
      </c>
      <c r="L38" s="661" t="s">
        <v>53</v>
      </c>
      <c r="M38" s="662">
        <f>M33</f>
        <v>95713000</v>
      </c>
      <c r="N38" s="692" t="s">
        <v>56</v>
      </c>
      <c r="O38" s="696" t="s">
        <v>57</v>
      </c>
      <c r="P38" s="704">
        <v>6.7299999999999999E-3</v>
      </c>
      <c r="Q38" s="696"/>
      <c r="R38" s="696"/>
      <c r="S38" s="697"/>
      <c r="T38" s="699"/>
      <c r="U38" s="666">
        <f t="shared" si="2"/>
        <v>0</v>
      </c>
    </row>
    <row r="39" spans="2:21" s="647" customFormat="1" ht="24" customHeight="1">
      <c r="B39" s="656"/>
      <c r="C39" s="656" t="s">
        <v>758</v>
      </c>
      <c r="D39" s="657">
        <f t="shared" si="3"/>
        <v>3600000</v>
      </c>
      <c r="E39" s="658">
        <f t="shared" si="5"/>
        <v>0</v>
      </c>
      <c r="F39" s="658">
        <f t="shared" si="4"/>
        <v>360000</v>
      </c>
      <c r="G39" s="658">
        <f t="shared" si="1"/>
        <v>3240000</v>
      </c>
      <c r="H39" s="659">
        <v>0</v>
      </c>
      <c r="I39" s="688">
        <v>0.1</v>
      </c>
      <c r="J39" s="688">
        <v>0.9</v>
      </c>
      <c r="K39" s="660">
        <f>M39*P39</f>
        <v>3600000</v>
      </c>
      <c r="L39" s="661" t="s">
        <v>53</v>
      </c>
      <c r="M39" s="678">
        <v>300000</v>
      </c>
      <c r="N39" s="679" t="s">
        <v>56</v>
      </c>
      <c r="O39" s="679" t="s">
        <v>26</v>
      </c>
      <c r="P39" s="678">
        <v>12</v>
      </c>
      <c r="Q39" s="707" t="s">
        <v>155</v>
      </c>
      <c r="R39" s="678"/>
      <c r="S39" s="678"/>
      <c r="T39" s="680"/>
      <c r="U39" s="666">
        <f t="shared" si="2"/>
        <v>0</v>
      </c>
    </row>
    <row r="40" spans="2:21" s="647" customFormat="1" ht="24" customHeight="1">
      <c r="B40" s="656"/>
      <c r="C40" s="656" t="s">
        <v>759</v>
      </c>
      <c r="D40" s="657">
        <f t="shared" si="3"/>
        <v>0</v>
      </c>
      <c r="E40" s="658">
        <f t="shared" si="5"/>
        <v>0</v>
      </c>
      <c r="F40" s="658">
        <f t="shared" si="4"/>
        <v>0</v>
      </c>
      <c r="G40" s="658">
        <f t="shared" si="1"/>
        <v>0</v>
      </c>
      <c r="H40" s="659">
        <v>0</v>
      </c>
      <c r="I40" s="688">
        <v>0.1</v>
      </c>
      <c r="J40" s="688">
        <v>0.9</v>
      </c>
      <c r="K40" s="660">
        <f>M40*P40</f>
        <v>0</v>
      </c>
      <c r="L40" s="661" t="s">
        <v>53</v>
      </c>
      <c r="M40" s="720">
        <v>0</v>
      </c>
      <c r="N40" s="690" t="s">
        <v>766</v>
      </c>
      <c r="O40" s="679" t="s">
        <v>26</v>
      </c>
      <c r="P40" s="690">
        <v>1</v>
      </c>
      <c r="Q40" s="690" t="s">
        <v>767</v>
      </c>
      <c r="R40" s="690"/>
      <c r="S40" s="690"/>
      <c r="T40" s="691"/>
      <c r="U40" s="666">
        <f t="shared" si="2"/>
        <v>0</v>
      </c>
    </row>
    <row r="41" spans="2:21" s="647" customFormat="1" ht="24" customHeight="1">
      <c r="B41" s="656"/>
      <c r="C41" s="656" t="s">
        <v>760</v>
      </c>
      <c r="D41" s="657">
        <f t="shared" si="3"/>
        <v>12600000</v>
      </c>
      <c r="E41" s="658">
        <f t="shared" si="5"/>
        <v>0</v>
      </c>
      <c r="F41" s="658">
        <f t="shared" si="4"/>
        <v>1260000</v>
      </c>
      <c r="G41" s="658">
        <f t="shared" si="1"/>
        <v>11340000</v>
      </c>
      <c r="H41" s="659">
        <v>0</v>
      </c>
      <c r="I41" s="688">
        <v>0.1</v>
      </c>
      <c r="J41" s="688">
        <v>0.9</v>
      </c>
      <c r="K41" s="660">
        <f>M41*P41*S41</f>
        <v>12600000</v>
      </c>
      <c r="L41" s="709" t="s">
        <v>53</v>
      </c>
      <c r="M41" s="664">
        <v>70000</v>
      </c>
      <c r="N41" s="664" t="s">
        <v>56</v>
      </c>
      <c r="O41" s="710" t="s">
        <v>57</v>
      </c>
      <c r="P41" s="664">
        <v>1</v>
      </c>
      <c r="Q41" s="664" t="s">
        <v>55</v>
      </c>
      <c r="R41" s="710" t="s">
        <v>57</v>
      </c>
      <c r="S41" s="686">
        <v>180</v>
      </c>
      <c r="T41" s="687" t="s">
        <v>88</v>
      </c>
      <c r="U41" s="666">
        <f t="shared" si="2"/>
        <v>0</v>
      </c>
    </row>
    <row r="42" spans="2:21" s="647" customFormat="1" ht="24" customHeight="1">
      <c r="B42" s="656" t="s">
        <v>312</v>
      </c>
      <c r="C42" s="656" t="s">
        <v>761</v>
      </c>
      <c r="D42" s="657">
        <f t="shared" si="3"/>
        <v>0</v>
      </c>
      <c r="E42" s="658">
        <f t="shared" si="5"/>
        <v>0</v>
      </c>
      <c r="F42" s="658">
        <f t="shared" si="4"/>
        <v>0</v>
      </c>
      <c r="G42" s="658">
        <f t="shared" si="1"/>
        <v>0</v>
      </c>
      <c r="H42" s="659">
        <v>0</v>
      </c>
      <c r="I42" s="688">
        <v>0.3</v>
      </c>
      <c r="J42" s="688">
        <v>0.7</v>
      </c>
      <c r="K42" s="660">
        <v>0</v>
      </c>
      <c r="L42" s="711"/>
      <c r="M42" s="690"/>
      <c r="N42" s="690"/>
      <c r="O42" s="690"/>
      <c r="P42" s="690"/>
      <c r="Q42" s="690"/>
      <c r="R42" s="690"/>
      <c r="S42" s="690"/>
      <c r="T42" s="691"/>
      <c r="U42" s="666">
        <f t="shared" si="2"/>
        <v>0</v>
      </c>
    </row>
    <row r="43" spans="2:21" s="647" customFormat="1" ht="24" customHeight="1">
      <c r="B43" s="656"/>
      <c r="C43" s="656" t="s">
        <v>762</v>
      </c>
      <c r="D43" s="657">
        <f t="shared" si="3"/>
        <v>17590000</v>
      </c>
      <c r="E43" s="658">
        <f t="shared" si="5"/>
        <v>0</v>
      </c>
      <c r="F43" s="658">
        <f t="shared" si="4"/>
        <v>8795000</v>
      </c>
      <c r="G43" s="658">
        <f>ROUNDDOWN(K43*J43,-3)</f>
        <v>8795000</v>
      </c>
      <c r="H43" s="659">
        <v>0</v>
      </c>
      <c r="I43" s="688">
        <v>0.5</v>
      </c>
      <c r="J43" s="688">
        <v>0.5</v>
      </c>
      <c r="K43" s="660">
        <v>17590000</v>
      </c>
      <c r="L43" s="689"/>
      <c r="M43" s="690" t="s">
        <v>763</v>
      </c>
      <c r="N43" s="690"/>
      <c r="O43" s="690"/>
      <c r="P43" s="690"/>
      <c r="Q43" s="690"/>
      <c r="R43" s="690"/>
      <c r="S43" s="690"/>
      <c r="T43" s="691"/>
      <c r="U43" s="666">
        <f t="shared" si="2"/>
        <v>0</v>
      </c>
    </row>
    <row r="44" spans="2:21" s="647" customFormat="1" ht="24" customHeight="1">
      <c r="B44" s="656" t="s">
        <v>764</v>
      </c>
      <c r="C44" s="656" t="s">
        <v>765</v>
      </c>
      <c r="D44" s="657">
        <f t="shared" si="3"/>
        <v>6000000</v>
      </c>
      <c r="E44" s="658">
        <f t="shared" si="5"/>
        <v>0</v>
      </c>
      <c r="F44" s="658">
        <f t="shared" si="4"/>
        <v>0</v>
      </c>
      <c r="G44" s="658">
        <f>ROUND(K44*J44,-3)</f>
        <v>6000000</v>
      </c>
      <c r="H44" s="659">
        <v>0</v>
      </c>
      <c r="I44" s="688">
        <v>0</v>
      </c>
      <c r="J44" s="688">
        <v>1</v>
      </c>
      <c r="K44" s="660">
        <f>M44*P44</f>
        <v>6000000</v>
      </c>
      <c r="L44" s="677" t="s">
        <v>53</v>
      </c>
      <c r="M44" s="678">
        <v>300000</v>
      </c>
      <c r="N44" s="712" t="s">
        <v>56</v>
      </c>
      <c r="O44" s="713" t="s">
        <v>57</v>
      </c>
      <c r="P44" s="714">
        <v>20</v>
      </c>
      <c r="Q44" s="713" t="s">
        <v>55</v>
      </c>
      <c r="R44" s="715"/>
      <c r="S44" s="716"/>
      <c r="T44" s="717"/>
      <c r="U44" s="666">
        <f t="shared" si="2"/>
        <v>0</v>
      </c>
    </row>
    <row r="45" spans="2:21" s="647" customFormat="1" ht="40.5" customHeight="1">
      <c r="B45" s="656"/>
      <c r="C45" s="706" t="s">
        <v>893</v>
      </c>
      <c r="D45" s="657">
        <f t="shared" si="3"/>
        <v>2200000</v>
      </c>
      <c r="E45" s="658">
        <f t="shared" si="5"/>
        <v>0</v>
      </c>
      <c r="F45" s="658">
        <f t="shared" si="4"/>
        <v>0</v>
      </c>
      <c r="G45" s="658">
        <f t="shared" si="1"/>
        <v>2200000</v>
      </c>
      <c r="H45" s="659">
        <v>0</v>
      </c>
      <c r="I45" s="688">
        <v>0</v>
      </c>
      <c r="J45" s="688">
        <v>1</v>
      </c>
      <c r="K45" s="660">
        <f>M45*P45</f>
        <v>2200000</v>
      </c>
      <c r="L45" s="689" t="s">
        <v>768</v>
      </c>
      <c r="M45" s="725">
        <v>2200000</v>
      </c>
      <c r="N45" s="690" t="s">
        <v>766</v>
      </c>
      <c r="O45" s="713" t="s">
        <v>57</v>
      </c>
      <c r="P45" s="690">
        <v>1</v>
      </c>
      <c r="Q45" s="690"/>
      <c r="R45" s="690"/>
      <c r="S45" s="690"/>
      <c r="T45" s="691"/>
      <c r="U45" s="666">
        <f t="shared" si="2"/>
        <v>0</v>
      </c>
    </row>
    <row r="46" spans="2:21">
      <c r="K46" s="718"/>
      <c r="L46" s="719"/>
    </row>
    <row r="47" spans="2:21">
      <c r="K47" s="718"/>
      <c r="L47" s="719"/>
    </row>
    <row r="48" spans="2:21">
      <c r="K48" s="718"/>
      <c r="L48" s="719"/>
    </row>
    <row r="49" spans="11:12">
      <c r="K49" s="718"/>
      <c r="L49" s="719"/>
    </row>
    <row r="50" spans="11:12">
      <c r="K50" s="718"/>
      <c r="L50" s="719"/>
    </row>
    <row r="51" spans="11:12">
      <c r="K51" s="718"/>
      <c r="L51" s="719"/>
    </row>
    <row r="52" spans="11:12">
      <c r="K52" s="718"/>
    </row>
    <row r="53" spans="11:12">
      <c r="K53" s="718"/>
    </row>
    <row r="54" spans="11:12">
      <c r="K54" s="718"/>
    </row>
    <row r="55" spans="11:12">
      <c r="K55" s="718"/>
    </row>
    <row r="56" spans="11:12">
      <c r="K56" s="718"/>
    </row>
    <row r="57" spans="11:12">
      <c r="K57" s="718"/>
    </row>
    <row r="58" spans="11:12">
      <c r="K58" s="718"/>
    </row>
    <row r="59" spans="11:12">
      <c r="K59" s="718"/>
    </row>
    <row r="60" spans="11:12">
      <c r="K60" s="718"/>
    </row>
  </sheetData>
  <mergeCells count="8">
    <mergeCell ref="B4:C4"/>
    <mergeCell ref="B1:U1"/>
    <mergeCell ref="B2:C3"/>
    <mergeCell ref="D2:G2"/>
    <mergeCell ref="H2:J2"/>
    <mergeCell ref="K2:K3"/>
    <mergeCell ref="L2:T3"/>
    <mergeCell ref="U2:U3"/>
  </mergeCells>
  <phoneticPr fontId="7" type="noConversion"/>
  <pageMargins left="0.17" right="0.16" top="0.19685039370078741" bottom="0.23622047244094491" header="0.7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2020-06-18T01:29:42Z</cp:lastPrinted>
  <dcterms:created xsi:type="dcterms:W3CDTF">2003-12-18T04:11:57Z</dcterms:created>
  <dcterms:modified xsi:type="dcterms:W3CDTF">2020-08-11T08:57:36Z</dcterms:modified>
</cp:coreProperties>
</file>