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년바르나바\홈페이지 게시용\"/>
    </mc:Choice>
  </mc:AlternateContent>
  <bookViews>
    <workbookView xWindow="0" yWindow="0" windowWidth="14205" windowHeight="1222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X169" i="4" l="1"/>
  <c r="J12" i="18" l="1"/>
  <c r="I12" i="18"/>
  <c r="K15" i="18"/>
  <c r="K14" i="18"/>
  <c r="K13" i="18"/>
  <c r="F13" i="18"/>
  <c r="E17" i="18"/>
  <c r="AD113" i="31"/>
  <c r="X165" i="4"/>
  <c r="K12" i="18" l="1"/>
  <c r="X121" i="4" l="1"/>
  <c r="X118" i="4"/>
  <c r="X115" i="4"/>
  <c r="X112" i="4"/>
  <c r="X109" i="4"/>
  <c r="X105" i="4"/>
  <c r="X104" i="4" s="1"/>
  <c r="X102" i="4"/>
  <c r="X99" i="4"/>
  <c r="X60" i="4"/>
  <c r="X57" i="4"/>
  <c r="X51" i="4"/>
  <c r="X48" i="4"/>
  <c r="X44" i="4"/>
  <c r="X41" i="4"/>
  <c r="X38" i="4"/>
  <c r="X181" i="4" l="1"/>
  <c r="E21" i="18" l="1"/>
  <c r="E19" i="18"/>
  <c r="E15" i="18"/>
  <c r="E10" i="18"/>
  <c r="E8" i="18"/>
  <c r="J8" i="18"/>
  <c r="J16" i="18"/>
  <c r="J23" i="18"/>
  <c r="J25" i="18"/>
  <c r="I25" i="18"/>
  <c r="I23" i="18"/>
  <c r="I16" i="18"/>
  <c r="I8" i="18"/>
  <c r="D21" i="18"/>
  <c r="D19" i="18"/>
  <c r="D15" i="18"/>
  <c r="D10" i="18"/>
  <c r="D7" i="18" s="1"/>
  <c r="D8" i="18"/>
  <c r="E7" i="18" l="1"/>
  <c r="AD178" i="31" l="1"/>
  <c r="AD179" i="31"/>
  <c r="X152" i="4" l="1"/>
  <c r="M125" i="4"/>
  <c r="X64" i="4"/>
  <c r="X28" i="4"/>
  <c r="M102" i="4" l="1"/>
  <c r="M99" i="4"/>
  <c r="M96" i="4"/>
  <c r="M93" i="4"/>
  <c r="M89" i="4"/>
  <c r="E209" i="4"/>
  <c r="E201" i="4"/>
  <c r="E173" i="4"/>
  <c r="E189" i="4"/>
  <c r="D72" i="31" l="1"/>
  <c r="F191" i="31"/>
  <c r="I7" i="18" l="1"/>
  <c r="L200" i="31"/>
  <c r="K200" i="31"/>
  <c r="J200" i="31"/>
  <c r="I200" i="31"/>
  <c r="H200" i="31"/>
  <c r="G200" i="31"/>
  <c r="F200" i="31"/>
  <c r="F190" i="31" s="1"/>
  <c r="L191" i="31"/>
  <c r="K191" i="31"/>
  <c r="J191" i="31"/>
  <c r="I191" i="31"/>
  <c r="H191" i="31"/>
  <c r="G191" i="31"/>
  <c r="D190" i="31"/>
  <c r="D160" i="31"/>
  <c r="AD191" i="31"/>
  <c r="AD200" i="31"/>
  <c r="E200" i="31" s="1"/>
  <c r="M200" i="31" s="1"/>
  <c r="N200" i="31" s="1"/>
  <c r="K26" i="18"/>
  <c r="K25" i="18" s="1"/>
  <c r="J190" i="31" l="1"/>
  <c r="G190" i="31"/>
  <c r="K190" i="31"/>
  <c r="H190" i="31"/>
  <c r="L190" i="31"/>
  <c r="I190" i="31"/>
  <c r="AD190" i="31"/>
  <c r="E83" i="4"/>
  <c r="E22" i="4"/>
  <c r="AD89" i="31" l="1"/>
  <c r="X164" i="4" l="1"/>
  <c r="AD7" i="31"/>
  <c r="AD14" i="31"/>
  <c r="AD17" i="31"/>
  <c r="AD20" i="31"/>
  <c r="AD23" i="31"/>
  <c r="S32" i="31" s="1"/>
  <c r="AD32" i="31" s="1"/>
  <c r="AD31" i="31" s="1"/>
  <c r="AD27" i="31"/>
  <c r="AD26" i="31" s="1"/>
  <c r="AD35" i="31"/>
  <c r="AD59" i="31"/>
  <c r="AD60" i="31"/>
  <c r="AD64" i="31"/>
  <c r="AD70" i="31"/>
  <c r="AD74" i="31"/>
  <c r="AD73" i="31" s="1"/>
  <c r="AD78" i="31"/>
  <c r="AD79" i="31"/>
  <c r="AD80" i="31"/>
  <c r="AD86" i="31"/>
  <c r="AD87" i="31"/>
  <c r="AD88" i="31"/>
  <c r="AD90" i="31"/>
  <c r="AD95" i="31"/>
  <c r="AD96" i="31"/>
  <c r="AD97" i="31"/>
  <c r="AD101" i="31"/>
  <c r="AD100" i="31" s="1"/>
  <c r="AD106" i="31"/>
  <c r="AD105" i="31" s="1"/>
  <c r="AD108" i="31"/>
  <c r="AD107" i="31" s="1"/>
  <c r="AD116" i="31"/>
  <c r="AD131" i="31"/>
  <c r="AD132" i="31"/>
  <c r="AD138" i="31"/>
  <c r="AD139" i="31"/>
  <c r="AD140" i="31"/>
  <c r="AD141" i="31"/>
  <c r="AD142" i="31"/>
  <c r="AD144" i="31"/>
  <c r="AD146" i="31"/>
  <c r="AD151" i="31"/>
  <c r="AD152" i="31"/>
  <c r="AD154" i="31"/>
  <c r="AD158" i="31"/>
  <c r="AD157" i="31" s="1"/>
  <c r="AD162" i="31"/>
  <c r="AD163" i="31"/>
  <c r="AD164" i="31"/>
  <c r="AD166" i="31"/>
  <c r="AD170" i="31"/>
  <c r="AD169" i="31" s="1"/>
  <c r="AD173" i="31"/>
  <c r="AD174" i="31"/>
  <c r="AD182" i="31"/>
  <c r="AD181" i="31" s="1"/>
  <c r="AD185" i="31"/>
  <c r="AD187" i="31"/>
  <c r="D6" i="31"/>
  <c r="D63" i="31"/>
  <c r="D112" i="31"/>
  <c r="D111" i="31" s="1"/>
  <c r="D136" i="31"/>
  <c r="D187" i="31"/>
  <c r="E13" i="4"/>
  <c r="E141" i="4"/>
  <c r="E145" i="4"/>
  <c r="E151" i="4"/>
  <c r="E157" i="4"/>
  <c r="E160" i="4"/>
  <c r="E164" i="4"/>
  <c r="E168" i="4"/>
  <c r="E163" i="4" s="1"/>
  <c r="E194" i="4"/>
  <c r="E172" i="4" s="1"/>
  <c r="E198" i="4"/>
  <c r="E197" i="4" s="1"/>
  <c r="E156" i="4" l="1"/>
  <c r="E12" i="4"/>
  <c r="E144" i="4"/>
  <c r="E4" i="4" s="1"/>
  <c r="AD184" i="31"/>
  <c r="AD68" i="31"/>
  <c r="AD63" i="31" s="1"/>
  <c r="AD176" i="31"/>
  <c r="AD161" i="31"/>
  <c r="S41" i="31"/>
  <c r="AD94" i="31"/>
  <c r="AD57" i="31"/>
  <c r="AD172" i="31"/>
  <c r="AD137" i="31"/>
  <c r="AD85" i="31"/>
  <c r="AD150" i="31"/>
  <c r="AD128" i="31"/>
  <c r="AD112" i="31" s="1"/>
  <c r="AD111" i="31" s="1"/>
  <c r="AD104" i="31"/>
  <c r="AD13" i="31"/>
  <c r="D5" i="31"/>
  <c r="AD153" i="31"/>
  <c r="AD76" i="31"/>
  <c r="D135" i="31"/>
  <c r="AD41" i="31" l="1"/>
  <c r="AD40" i="31" s="1"/>
  <c r="D4" i="31"/>
  <c r="AD160" i="31"/>
  <c r="S44" i="31"/>
  <c r="AD72" i="31"/>
  <c r="AD136" i="31"/>
  <c r="AD44" i="31" l="1"/>
  <c r="AD43" i="31" s="1"/>
  <c r="AD135" i="31"/>
  <c r="S50" i="31"/>
  <c r="AD50" i="31" l="1"/>
  <c r="AD49" i="31" s="1"/>
  <c r="S47" i="31"/>
  <c r="AD47" i="31" s="1"/>
  <c r="AD46" i="31" s="1"/>
  <c r="S53" i="31"/>
  <c r="AD53" i="31" l="1"/>
  <c r="AD52" i="31" s="1"/>
  <c r="AD38" i="31" s="1"/>
  <c r="X101" i="4" l="1"/>
  <c r="M44" i="4" l="1"/>
  <c r="M105" i="4" s="1"/>
  <c r="X40" i="4"/>
  <c r="J166" i="31" l="1"/>
  <c r="J181" i="31" l="1"/>
  <c r="F172" i="31"/>
  <c r="G172" i="31"/>
  <c r="H172" i="31"/>
  <c r="I172" i="31"/>
  <c r="K172" i="31"/>
  <c r="L172" i="31"/>
  <c r="E166" i="31"/>
  <c r="M166" i="31" s="1"/>
  <c r="N166" i="31" s="1"/>
  <c r="L166" i="31"/>
  <c r="K166" i="31"/>
  <c r="I166" i="31"/>
  <c r="H166" i="31"/>
  <c r="G166" i="31"/>
  <c r="F166" i="31"/>
  <c r="E172" i="31" l="1"/>
  <c r="M172" i="31" s="1"/>
  <c r="N172" i="31" s="1"/>
  <c r="J172" i="31"/>
  <c r="H188" i="31" l="1"/>
  <c r="G188" i="31"/>
  <c r="H184" i="31"/>
  <c r="G184" i="31"/>
  <c r="H181" i="31"/>
  <c r="G181" i="31"/>
  <c r="H176" i="31"/>
  <c r="G176" i="31"/>
  <c r="H169" i="31"/>
  <c r="G169" i="31"/>
  <c r="H161" i="31"/>
  <c r="G161" i="31"/>
  <c r="H157" i="31"/>
  <c r="G157" i="31"/>
  <c r="H153" i="31"/>
  <c r="H150" i="31"/>
  <c r="H146" i="31"/>
  <c r="G146" i="31"/>
  <c r="H137" i="31"/>
  <c r="H128" i="31"/>
  <c r="G128" i="31"/>
  <c r="H116" i="31"/>
  <c r="G116" i="31"/>
  <c r="H113" i="31"/>
  <c r="G113" i="31"/>
  <c r="H104" i="31"/>
  <c r="G104" i="31"/>
  <c r="H100" i="31"/>
  <c r="G100" i="31"/>
  <c r="H94" i="31"/>
  <c r="G94" i="31"/>
  <c r="H85" i="31"/>
  <c r="G85" i="31"/>
  <c r="G66" i="31"/>
  <c r="H66" i="31"/>
  <c r="H64" i="31"/>
  <c r="G64" i="31"/>
  <c r="H68" i="31"/>
  <c r="G68" i="31"/>
  <c r="H76" i="31"/>
  <c r="G76" i="31"/>
  <c r="H13" i="31"/>
  <c r="G13" i="31"/>
  <c r="H30" i="31"/>
  <c r="G30" i="31"/>
  <c r="H38" i="31"/>
  <c r="G38" i="31"/>
  <c r="H57" i="31"/>
  <c r="G57" i="31"/>
  <c r="G160" i="31" l="1"/>
  <c r="H160" i="31"/>
  <c r="H10" i="31"/>
  <c r="G10" i="31"/>
  <c r="H7" i="31"/>
  <c r="G7" i="31"/>
  <c r="N188" i="31"/>
  <c r="L188" i="31"/>
  <c r="L187" i="31" s="1"/>
  <c r="K188" i="31"/>
  <c r="K187" i="31" s="1"/>
  <c r="J188" i="31"/>
  <c r="J187" i="31" s="1"/>
  <c r="I188" i="31"/>
  <c r="I187" i="31" s="1"/>
  <c r="H187" i="31"/>
  <c r="G187" i="31"/>
  <c r="F188" i="31"/>
  <c r="F187" i="31" s="1"/>
  <c r="E188" i="31"/>
  <c r="E187" i="31" s="1"/>
  <c r="N187" i="31"/>
  <c r="E184" i="31"/>
  <c r="M184" i="31" s="1"/>
  <c r="N184" i="31" s="1"/>
  <c r="K184" i="31"/>
  <c r="J184" i="31"/>
  <c r="I184" i="31"/>
  <c r="F184" i="31"/>
  <c r="E181" i="31"/>
  <c r="L181" i="31"/>
  <c r="K181" i="31"/>
  <c r="I181" i="31"/>
  <c r="F181" i="31"/>
  <c r="E176" i="31"/>
  <c r="L176" i="31"/>
  <c r="K176" i="31"/>
  <c r="J176" i="31"/>
  <c r="I176" i="31"/>
  <c r="F176" i="31"/>
  <c r="E169" i="31"/>
  <c r="L169" i="31"/>
  <c r="K169" i="31"/>
  <c r="J169" i="31"/>
  <c r="I169" i="31"/>
  <c r="F169" i="31"/>
  <c r="L161" i="31"/>
  <c r="K161" i="31"/>
  <c r="J161" i="31"/>
  <c r="I161" i="31"/>
  <c r="F161" i="31"/>
  <c r="L157" i="31"/>
  <c r="K157" i="31"/>
  <c r="J157" i="31"/>
  <c r="I157" i="31"/>
  <c r="F153" i="31"/>
  <c r="L153" i="31"/>
  <c r="K153" i="31"/>
  <c r="J153" i="31"/>
  <c r="G150" i="31"/>
  <c r="L150" i="31"/>
  <c r="K150" i="31"/>
  <c r="J150" i="31"/>
  <c r="I150" i="31"/>
  <c r="F150" i="31"/>
  <c r="E146" i="31"/>
  <c r="L146" i="31"/>
  <c r="K146" i="31"/>
  <c r="J146" i="31"/>
  <c r="I146" i="31"/>
  <c r="F146" i="31"/>
  <c r="K137" i="31"/>
  <c r="I137" i="31"/>
  <c r="L128" i="31"/>
  <c r="K128" i="31"/>
  <c r="J128" i="31"/>
  <c r="I128" i="31"/>
  <c r="E116" i="31"/>
  <c r="L116" i="31"/>
  <c r="K116" i="31"/>
  <c r="J116" i="31"/>
  <c r="I116" i="31"/>
  <c r="F116" i="31"/>
  <c r="L113" i="31"/>
  <c r="K113" i="31"/>
  <c r="J113" i="31"/>
  <c r="F113" i="31"/>
  <c r="J104" i="31"/>
  <c r="I104" i="31"/>
  <c r="F104" i="31"/>
  <c r="F100" i="31"/>
  <c r="L100" i="31"/>
  <c r="K100" i="31"/>
  <c r="J100" i="31"/>
  <c r="I100" i="31"/>
  <c r="L94" i="31"/>
  <c r="K94" i="31"/>
  <c r="J94" i="31"/>
  <c r="I94" i="31"/>
  <c r="L85" i="31"/>
  <c r="K85" i="31"/>
  <c r="J85" i="31"/>
  <c r="I85" i="31"/>
  <c r="L76" i="31"/>
  <c r="K76" i="31"/>
  <c r="E73" i="31"/>
  <c r="L73" i="31"/>
  <c r="K73" i="31"/>
  <c r="J73" i="31"/>
  <c r="I73" i="31"/>
  <c r="H73" i="31"/>
  <c r="G73" i="31"/>
  <c r="F73" i="31"/>
  <c r="E68" i="31"/>
  <c r="M68" i="31" s="1"/>
  <c r="N68" i="31" s="1"/>
  <c r="L68" i="31"/>
  <c r="J68" i="31"/>
  <c r="I68" i="31"/>
  <c r="F68" i="31"/>
  <c r="N66" i="31"/>
  <c r="L66" i="31"/>
  <c r="K66" i="31"/>
  <c r="J66" i="31"/>
  <c r="I66" i="31"/>
  <c r="F66" i="31"/>
  <c r="E66" i="31"/>
  <c r="M66" i="31" s="1"/>
  <c r="E64" i="31"/>
  <c r="L64" i="31"/>
  <c r="K64" i="31"/>
  <c r="J64" i="31"/>
  <c r="I64" i="31"/>
  <c r="F64" i="31"/>
  <c r="K57" i="31"/>
  <c r="L57" i="31"/>
  <c r="J57" i="31"/>
  <c r="I57" i="31"/>
  <c r="F57" i="31"/>
  <c r="L38" i="31"/>
  <c r="J38" i="31"/>
  <c r="I38" i="31"/>
  <c r="L30" i="31"/>
  <c r="J30" i="31"/>
  <c r="I30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I160" i="31" l="1"/>
  <c r="F160" i="31"/>
  <c r="K160" i="31"/>
  <c r="J160" i="31"/>
  <c r="L160" i="31"/>
  <c r="J76" i="31"/>
  <c r="J72" i="31" s="1"/>
  <c r="E76" i="31"/>
  <c r="E161" i="31"/>
  <c r="E160" i="31" s="1"/>
  <c r="G137" i="31"/>
  <c r="G153" i="31"/>
  <c r="E13" i="31"/>
  <c r="L137" i="31"/>
  <c r="L136" i="31" s="1"/>
  <c r="E128" i="31"/>
  <c r="E157" i="31"/>
  <c r="M157" i="31" s="1"/>
  <c r="N157" i="31" s="1"/>
  <c r="F85" i="31"/>
  <c r="I63" i="31"/>
  <c r="L104" i="31"/>
  <c r="I76" i="31"/>
  <c r="H112" i="31"/>
  <c r="H111" i="31" s="1"/>
  <c r="I6" i="31"/>
  <c r="M187" i="31"/>
  <c r="F76" i="31"/>
  <c r="E94" i="31"/>
  <c r="M94" i="31" s="1"/>
  <c r="N94" i="31" s="1"/>
  <c r="J63" i="31"/>
  <c r="L112" i="31"/>
  <c r="L111" i="31" s="1"/>
  <c r="K104" i="31"/>
  <c r="M188" i="31"/>
  <c r="M181" i="31"/>
  <c r="N181" i="31" s="1"/>
  <c r="M146" i="31"/>
  <c r="N146" i="31" s="1"/>
  <c r="M169" i="31"/>
  <c r="N169" i="31" s="1"/>
  <c r="K13" i="31"/>
  <c r="S36" i="31" s="1"/>
  <c r="AD36" i="31" s="1"/>
  <c r="AD34" i="31" s="1"/>
  <c r="AD30" i="31" s="1"/>
  <c r="AD6" i="31" s="1"/>
  <c r="AD5" i="31" s="1"/>
  <c r="AD4" i="31" s="1"/>
  <c r="L6" i="31"/>
  <c r="F137" i="31"/>
  <c r="M176" i="31"/>
  <c r="N176" i="31" s="1"/>
  <c r="L63" i="31"/>
  <c r="G112" i="31"/>
  <c r="G111" i="31" s="1"/>
  <c r="E137" i="31"/>
  <c r="E191" i="31"/>
  <c r="E150" i="31"/>
  <c r="M150" i="31" s="1"/>
  <c r="N150" i="31" s="1"/>
  <c r="K112" i="31"/>
  <c r="K111" i="31" s="1"/>
  <c r="I153" i="31"/>
  <c r="H72" i="31"/>
  <c r="G63" i="31"/>
  <c r="K136" i="31"/>
  <c r="J6" i="31"/>
  <c r="E153" i="31"/>
  <c r="M153" i="31" s="1"/>
  <c r="N153" i="31" s="1"/>
  <c r="H63" i="31"/>
  <c r="F63" i="31"/>
  <c r="H6" i="31"/>
  <c r="M73" i="31"/>
  <c r="N73" i="31" s="1"/>
  <c r="M64" i="31"/>
  <c r="N64" i="31" s="1"/>
  <c r="E63" i="31"/>
  <c r="M63" i="31" s="1"/>
  <c r="N63" i="31" s="1"/>
  <c r="M116" i="31"/>
  <c r="N116" i="31" s="1"/>
  <c r="E7" i="31"/>
  <c r="E57" i="31"/>
  <c r="I112" i="31"/>
  <c r="I111" i="31" s="1"/>
  <c r="J112" i="31"/>
  <c r="J111" i="31" s="1"/>
  <c r="F128" i="31"/>
  <c r="E85" i="31"/>
  <c r="F94" i="31"/>
  <c r="E100" i="31"/>
  <c r="G72" i="31"/>
  <c r="J137" i="31"/>
  <c r="F157" i="31"/>
  <c r="K68" i="31"/>
  <c r="K63" i="31" s="1"/>
  <c r="M191" i="31" l="1"/>
  <c r="N191" i="31" s="1"/>
  <c r="E190" i="31"/>
  <c r="M190" i="31" s="1"/>
  <c r="N190" i="31" s="1"/>
  <c r="M161" i="31"/>
  <c r="M160" i="31" s="1"/>
  <c r="N160" i="31" s="1"/>
  <c r="M128" i="31"/>
  <c r="N128" i="31" s="1"/>
  <c r="F30" i="31"/>
  <c r="E113" i="31"/>
  <c r="E112" i="31" s="1"/>
  <c r="E104" i="31"/>
  <c r="L135" i="31"/>
  <c r="I136" i="31"/>
  <c r="I135" i="31" s="1"/>
  <c r="H136" i="31"/>
  <c r="H135" i="31" s="1"/>
  <c r="L72" i="31"/>
  <c r="L5" i="31" s="1"/>
  <c r="K135" i="31"/>
  <c r="I72" i="31"/>
  <c r="I5" i="31" s="1"/>
  <c r="I4" i="31" s="1"/>
  <c r="K72" i="31"/>
  <c r="H5" i="31"/>
  <c r="J5" i="31"/>
  <c r="M76" i="31"/>
  <c r="N76" i="31" s="1"/>
  <c r="M137" i="31"/>
  <c r="N137" i="31" s="1"/>
  <c r="E136" i="31"/>
  <c r="J136" i="31"/>
  <c r="J135" i="31" s="1"/>
  <c r="M57" i="31"/>
  <c r="N57" i="31" s="1"/>
  <c r="M13" i="31"/>
  <c r="N13" i="31" s="1"/>
  <c r="F72" i="31"/>
  <c r="F112" i="31"/>
  <c r="F111" i="31" s="1"/>
  <c r="M85" i="31"/>
  <c r="N85" i="31" s="1"/>
  <c r="M7" i="31"/>
  <c r="N7" i="31" s="1"/>
  <c r="M100" i="31"/>
  <c r="N100" i="31" s="1"/>
  <c r="G136" i="31"/>
  <c r="G135" i="31" s="1"/>
  <c r="F136" i="31"/>
  <c r="F135" i="31" s="1"/>
  <c r="N161" i="31" l="1"/>
  <c r="H4" i="31"/>
  <c r="J4" i="31"/>
  <c r="L4" i="31"/>
  <c r="E30" i="31"/>
  <c r="M30" i="31" s="1"/>
  <c r="N30" i="31" s="1"/>
  <c r="M113" i="31"/>
  <c r="N113" i="31" s="1"/>
  <c r="E72" i="31"/>
  <c r="M72" i="31" s="1"/>
  <c r="N72" i="31" s="1"/>
  <c r="M104" i="31"/>
  <c r="N104" i="31" s="1"/>
  <c r="K30" i="31"/>
  <c r="M136" i="31"/>
  <c r="E135" i="31"/>
  <c r="M112" i="31"/>
  <c r="N112" i="31" s="1"/>
  <c r="E111" i="31"/>
  <c r="M111" i="31" s="1"/>
  <c r="N111" i="31" s="1"/>
  <c r="K38" i="31" l="1"/>
  <c r="G6" i="31"/>
  <c r="G5" i="31" s="1"/>
  <c r="G4" i="31" s="1"/>
  <c r="M135" i="31"/>
  <c r="N135" i="31" s="1"/>
  <c r="N136" i="31"/>
  <c r="K6" i="31" l="1"/>
  <c r="K5" i="31" s="1"/>
  <c r="K4" i="31" s="1"/>
  <c r="F38" i="31"/>
  <c r="E38" i="31" l="1"/>
  <c r="E6" i="31" s="1"/>
  <c r="F6" i="31"/>
  <c r="F5" i="31" l="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0" i="4" l="1"/>
  <c r="X139" i="4" l="1"/>
  <c r="X96" i="4"/>
  <c r="X93" i="4"/>
  <c r="X89" i="4"/>
  <c r="X98" i="4" l="1"/>
  <c r="X95" i="4"/>
  <c r="X92" i="4"/>
  <c r="X88" i="4"/>
  <c r="M48" i="4"/>
  <c r="X35" i="4"/>
  <c r="X32" i="4"/>
  <c r="X47" i="4" l="1"/>
  <c r="M109" i="4"/>
  <c r="X91" i="4"/>
  <c r="X34" i="4"/>
  <c r="X37" i="4"/>
  <c r="M51" i="4"/>
  <c r="M57" i="4"/>
  <c r="M60" i="4"/>
  <c r="X31" i="4"/>
  <c r="X108" i="4" l="1"/>
  <c r="M121" i="4"/>
  <c r="X120" i="4" s="1"/>
  <c r="X59" i="4"/>
  <c r="M118" i="4"/>
  <c r="X117" i="4" s="1"/>
  <c r="X56" i="4"/>
  <c r="M54" i="4"/>
  <c r="M112" i="4"/>
  <c r="X6" i="4"/>
  <c r="X111" i="4" l="1"/>
  <c r="M115" i="4"/>
  <c r="X54" i="4"/>
  <c r="X53" i="4" s="1"/>
  <c r="X50" i="4"/>
  <c r="X114" i="4" l="1"/>
  <c r="X107" i="4" s="1"/>
  <c r="X87" i="4" s="1"/>
  <c r="X46" i="4"/>
  <c r="X151" i="4" l="1"/>
  <c r="X15" i="4"/>
  <c r="X185" i="4" l="1"/>
  <c r="X177" i="4"/>
  <c r="K24" i="18" l="1"/>
  <c r="K23" i="18" s="1"/>
  <c r="K22" i="18"/>
  <c r="K21" i="18"/>
  <c r="K20" i="18"/>
  <c r="K19" i="18"/>
  <c r="K18" i="18"/>
  <c r="K17" i="18"/>
  <c r="K11" i="18"/>
  <c r="K10" i="18"/>
  <c r="K16" i="18" l="1"/>
  <c r="J7" i="18"/>
  <c r="X136" i="4" l="1"/>
  <c r="X135" i="4" s="1"/>
  <c r="X125" i="4"/>
  <c r="X18" i="4"/>
  <c r="F17" i="4" l="1"/>
  <c r="G17" i="4" s="1"/>
  <c r="H17" i="4" s="1"/>
  <c r="X67" i="4" l="1"/>
  <c r="F20" i="4"/>
  <c r="G20" i="4" s="1"/>
  <c r="H20" i="4" s="1"/>
  <c r="X130" i="4" l="1"/>
  <c r="X129" i="4"/>
  <c r="X128" i="4"/>
  <c r="X75" i="4"/>
  <c r="X73" i="4"/>
  <c r="H195" i="4" l="1"/>
  <c r="H194" i="4"/>
  <c r="H199" i="4" l="1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X213" i="4"/>
  <c r="X210" i="4" s="1"/>
  <c r="X209" i="4" s="1"/>
  <c r="F210" i="4" l="1"/>
  <c r="F209" i="4" s="1"/>
  <c r="G209" i="4" s="1"/>
  <c r="H209" i="4" s="1"/>
  <c r="G210" i="4" l="1"/>
  <c r="H210" i="4" s="1"/>
  <c r="X202" i="4" l="1"/>
  <c r="F202" i="4" s="1"/>
  <c r="X189" i="4"/>
  <c r="F185" i="4"/>
  <c r="G185" i="4" s="1"/>
  <c r="H185" i="4" s="1"/>
  <c r="F181" i="4"/>
  <c r="G181" i="4" s="1"/>
  <c r="H181" i="4" s="1"/>
  <c r="F177" i="4"/>
  <c r="G177" i="4" s="1"/>
  <c r="H177" i="4" s="1"/>
  <c r="X174" i="4"/>
  <c r="F174" i="4" s="1"/>
  <c r="G174" i="4" s="1"/>
  <c r="H174" i="4" s="1"/>
  <c r="H160" i="4"/>
  <c r="H157" i="4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F77" i="4" s="1"/>
  <c r="X131" i="4"/>
  <c r="X70" i="4"/>
  <c r="X133" i="4"/>
  <c r="X71" i="4"/>
  <c r="X72" i="4"/>
  <c r="X43" i="4"/>
  <c r="X30" i="4" s="1"/>
  <c r="F158" i="4" l="1"/>
  <c r="G158" i="4" s="1"/>
  <c r="F169" i="4"/>
  <c r="X63" i="4"/>
  <c r="F63" i="4" s="1"/>
  <c r="G63" i="4" s="1"/>
  <c r="H63" i="4" s="1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F138" i="4" s="1"/>
  <c r="G138" i="4" s="1"/>
  <c r="H138" i="4" s="1"/>
  <c r="X124" i="4"/>
  <c r="X156" i="4"/>
  <c r="X173" i="4"/>
  <c r="F190" i="4"/>
  <c r="F173" i="4"/>
  <c r="G173" i="4" s="1"/>
  <c r="H173" i="4" s="1"/>
  <c r="X69" i="4"/>
  <c r="F69" i="4" s="1"/>
  <c r="G69" i="4" s="1"/>
  <c r="H69" i="4" s="1"/>
  <c r="X127" i="4"/>
  <c r="F127" i="4" s="1"/>
  <c r="G127" i="4" s="1"/>
  <c r="H127" i="4" s="1"/>
  <c r="F168" i="4" l="1"/>
  <c r="G168" i="4" s="1"/>
  <c r="H168" i="4" s="1"/>
  <c r="G169" i="4"/>
  <c r="H169" i="4" s="1"/>
  <c r="F156" i="4"/>
  <c r="G156" i="4" s="1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1" i="4"/>
  <c r="X200" i="4"/>
  <c r="X199" i="4" s="1"/>
  <c r="F199" i="4" s="1"/>
  <c r="X195" i="4"/>
  <c r="X168" i="4"/>
  <c r="X163" i="4" s="1"/>
  <c r="X141" i="4"/>
  <c r="F124" i="4" s="1"/>
  <c r="G124" i="4" s="1"/>
  <c r="H124" i="4" s="1"/>
  <c r="X85" i="4"/>
  <c r="F198" i="4" l="1"/>
  <c r="G199" i="4"/>
  <c r="F141" i="4"/>
  <c r="G141" i="4" s="1"/>
  <c r="G142" i="4"/>
  <c r="F165" i="4"/>
  <c r="X194" i="4"/>
  <c r="X172" i="4" s="1"/>
  <c r="F195" i="4"/>
  <c r="X14" i="4"/>
  <c r="X13" i="4" s="1"/>
  <c r="X84" i="4"/>
  <c r="X23" i="4"/>
  <c r="X22" i="4" s="1"/>
  <c r="X198" i="4"/>
  <c r="X197" i="4" s="1"/>
  <c r="F197" i="4" l="1"/>
  <c r="G197" i="4" s="1"/>
  <c r="H197" i="4" s="1"/>
  <c r="G198" i="4"/>
  <c r="F194" i="4"/>
  <c r="G195" i="4"/>
  <c r="F164" i="4"/>
  <c r="G165" i="4"/>
  <c r="F84" i="4"/>
  <c r="X83" i="4"/>
  <c r="F14" i="4"/>
  <c r="F13" i="4" s="1"/>
  <c r="F23" i="4"/>
  <c r="F10" i="4"/>
  <c r="G10" i="4" s="1"/>
  <c r="H10" i="4"/>
  <c r="X8" i="4"/>
  <c r="X12" i="4" l="1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4" i="18"/>
  <c r="F12" i="18"/>
  <c r="F11" i="18"/>
  <c r="K9" i="18"/>
  <c r="K8" i="18" s="1"/>
  <c r="F9" i="18"/>
  <c r="F8" i="18" s="1"/>
  <c r="F15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<sst xmlns="http://schemas.openxmlformats.org/spreadsheetml/2006/main" count="1557" uniqueCount="540">
  <si>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</si>
  <si>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</si>
  <si>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</si>
  <si>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</si>
  <si>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</si>
  <si>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</si>
  <si>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</si>
  <si>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</si>
  <si>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</si>
  <si>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</si>
  <si>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</si>
  <si>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</si>
  <si>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</si>
  <si>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</si>
  <si>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</si>
  <si>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</si>
  <si>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</si>
  <si>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</si>
  <si>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</si>
  <si>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</si>
  <si>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</si>
  <si>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</si>
  <si>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</si>
  <si>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</si>
  <si>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</si>
  <si>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</si>
  <si>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</si>
  <si>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</si>
  <si>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</si>
  <si>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</si>
  <si>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</si>
  <si>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</si>
  <si>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</si>
  <si>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</si>
  <si>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</si>
  <si>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</si>
  <si>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</si>
  <si>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</si>
  <si>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</si>
  <si>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</si>
  <si>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</si>
  <si>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</si>
  <si>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</si>
  <si>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</si>
  <si>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</si>
  <si>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</si>
  <si>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</si>
  <si>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</si>
  <si>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</si>
  <si>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</si>
  <si>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</si>
  <si>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</si>
  <si>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</si>
  <si>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</si>
  <si>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</si>
  <si>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</si>
  <si>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</si>
  <si>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</si>
  <si>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</si>
  <si>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</si>
  <si>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</si>
  <si>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</si>
  <si>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</si>
  <si>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</si>
  <si>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</si>
  <si>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</si>
  <si>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</si>
  <si>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</si>
  <si>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</si>
  <si>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</si>
  <si>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</si>
  <si>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</si>
  <si>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후원금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</si>
  <si>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</si>
  <si>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</si>
  <si>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</si>
  <si>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</si>
  <si>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</si>
  <si>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</si>
  <si>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</si>
  <si>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</si>
  <si>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</si>
  <si>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</si>
  <si>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</si>
  <si>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</si>
  <si>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</si>
  <si>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</si>
  <si>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</si>
  <si>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</si>
  <si>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</si>
  <si>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</si>
  <si>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</si>
  <si>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</si>
  <si>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</si>
  <si>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</si>
  <si>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</si>
  <si>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</si>
  <si>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</si>
  <si>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</si>
  <si>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</si>
  <si>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</si>
  <si>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</si>
  <si>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</si>
  <si>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</si>
  <si>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</si>
  <si>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</si>
  <si>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</si>
  <si>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</si>
  <si>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</si>
  <si>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</si>
  <si>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</si>
  <si>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</si>
  <si>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</si>
  <si>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</si>
  <si>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</si>
  <si>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</si>
  <si>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</si>
  <si>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</si>
  <si>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</si>
  <si>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</si>
  <si>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</si>
  <si>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</si>
  <si>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</si>
  <si>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</si>
  <si>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</si>
  <si>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</si>
  <si>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</si>
  <si>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</si>
  <si>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</si>
  <si>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</si>
  <si>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</si>
  <si>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</si>
  <si>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</si>
  <si>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</si>
  <si>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</si>
  <si>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</si>
  <si>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</si>
  <si>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</si>
  <si>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</si>
  <si>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</si>
  <si>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</si>
  <si>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</si>
  <si>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</si>
  <si>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</si>
  <si>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</si>
  <si>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</si>
  <si>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</si>
  <si>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</si>
  <si>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</si>
  <si>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</si>
  <si>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</si>
  <si>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</si>
  <si>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</si>
  <si>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</si>
  <si>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</si>
  <si>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</si>
  <si>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</si>
  <si>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</si>
  <si>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</si>
  <si>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</si>
  <si>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</si>
  <si>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</si>
  <si>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</si>
  <si>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</si>
  <si>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</si>
  <si>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</si>
  <si>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</si>
  <si>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</si>
  <si>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</si>
  <si>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</si>
  <si>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</si>
  <si>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</si>
  <si>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</si>
  <si>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</si>
  <si>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</si>
  <si>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</si>
  <si>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</si>
  <si>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</si>
  <si>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</si>
  <si>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</si>
  <si>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</si>
  <si>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</si>
  <si>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</si>
  <si>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</si>
  <si>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</si>
  <si>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</si>
  <si>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</si>
  <si>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</si>
  <si>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</si>
  <si>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</si>
  <si>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</si>
  <si>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</si>
  <si>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</si>
  <si>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</si>
  <si>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</si>
  <si>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</si>
  <si>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</si>
  <si>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</si>
  <si>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</si>
  <si>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</si>
  <si>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</si>
  <si>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</si>
  <si>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</si>
  <si>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</si>
  <si>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</si>
  <si>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</si>
  <si>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</si>
  <si>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</si>
  <si>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</si>
  <si>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</si>
  <si>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</si>
  <si>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</si>
  <si>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</si>
  <si>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</si>
  <si>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</si>
  <si>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</si>
  <si>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</si>
  <si>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</si>
  <si>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</si>
  <si>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</si>
  <si>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</si>
  <si>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</si>
  <si>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</si>
  <si>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</si>
  <si>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</si>
  <si>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</si>
  <si>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</si>
  <si>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</si>
  <si>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</si>
  <si>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</si>
  <si>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</si>
  <si>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</si>
  <si>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</si>
  <si>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</si>
  <si>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</si>
  <si>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</si>
  <si>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</si>
  <si>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</si>
  <si>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</si>
  <si>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</si>
  <si>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</si>
  <si>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</si>
  <si>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</si>
  <si>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</si>
  <si>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</si>
  <si>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</si>
  <si>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</si>
  <si>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</si>
  <si>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</si>
  <si>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</si>
  <si>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</si>
  <si>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</si>
  <si>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</si>
  <si>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</si>
  <si>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</si>
  <si>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</si>
  <si>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</si>
  <si>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</si>
  <si>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</si>
  <si>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</si>
  <si>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</si>
  <si>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</si>
  <si>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</si>
  <si>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</si>
  <si>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</si>
  <si>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</si>
  <si>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</si>
  <si>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</si>
  <si>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</si>
  <si>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</si>
  <si>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</si>
  <si>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</si>
  <si>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</si>
  <si>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</si>
  <si>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</si>
  <si>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</si>
  <si>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</si>
  <si>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</si>
  <si>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</si>
  <si>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</si>
  <si>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</si>
  <si>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</si>
  <si>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</si>
  <si>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</si>
  <si>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</si>
  <si>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</si>
  <si>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</si>
  <si>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</si>
  <si>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</si>
  <si>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</si>
  <si>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</si>
  <si>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</si>
  <si>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</si>
  <si>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</si>
  <si>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</si>
  <si>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</si>
  <si>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</si>
  <si>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</si>
  <si>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</si>
  <si>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</si>
  <si>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</si>
  <si>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</si>
  <si>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</si>
  <si>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</si>
  <si>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</si>
  <si>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</si>
  <si>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</si>
  <si>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</si>
  <si>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</si>
  <si>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</si>
  <si>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 xml:space="preserve">           (사회재활교사)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</si>
  <si>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</si>
  <si>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</si>
  <si>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</si>
  <si>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</si>
  <si>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</si>
  <si>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</si>
  <si>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</si>
  <si>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</si>
  <si>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</si>
  <si>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</si>
  <si>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* 직원급식비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</si>
  <si>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</si>
  <si>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</si>
  <si>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</si>
  <si>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</si>
  <si>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</si>
  <si>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</si>
  <si>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</si>
  <si>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</si>
  <si>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</si>
  <si>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</si>
  <si>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</si>
  <si>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</si>
  <si>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</si>
  <si>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</si>
  <si>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</si>
  <si>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</si>
  <si>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</si>
  <si>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</si>
  <si>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</si>
  <si>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</si>
  <si>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</si>
  <si>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</si>
  <si>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</si>
  <si>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</si>
  <si>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</si>
  <si>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</si>
  <si>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</si>
  <si>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</si>
  <si>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</si>
  <si>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</si>
  <si>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</si>
  <si>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</si>
  <si>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</si>
  <si>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</si>
  <si>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</si>
  <si>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</si>
  <si>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</si>
  <si>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</si>
  <si>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</si>
  <si>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</si>
  <si>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</si>
  <si>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</si>
  <si>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</si>
  <si>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</si>
  <si>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</si>
  <si>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</si>
  <si>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</si>
  <si>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</si>
  <si>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</si>
  <si>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</si>
  <si>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</si>
  <si>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</si>
  <si>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</si>
  <si>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회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</si>
  <si>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</si>
  <si>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</si>
  <si>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</si>
  <si>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</si>
  <si>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</si>
  <si>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</si>
  <si>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</si>
  <si>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</si>
  <si>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</si>
  <si>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</si>
  <si>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</si>
  <si>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</si>
  <si>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</si>
  <si>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</si>
  <si>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</si>
  <si>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</si>
  <si>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</si>
  <si>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</si>
  <si>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</si>
  <si>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</si>
  <si>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</si>
  <si>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</si>
  <si>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</si>
  <si>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</si>
  <si>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</si>
  <si>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</si>
  <si>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</si>
  <si>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</si>
  <si>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</si>
  <si>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</si>
  <si>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</si>
  <si>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</si>
  <si>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</si>
  <si>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</si>
  <si>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</si>
  <si>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</si>
  <si>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</si>
  <si>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</si>
  <si>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</si>
  <si>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</si>
  <si>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</si>
  <si>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</si>
  <si>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</si>
  <si>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</si>
  <si>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</si>
  <si>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</si>
  <si>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 xml:space="preserve"> A.경상보조금 1명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</si>
  <si>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</si>
  <si>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</si>
  <si>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</si>
  <si>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</si>
  <si>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</si>
  <si>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</si>
  <si>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* 직원독감 예방접종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</si>
  <si>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</si>
  <si>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</si>
  <si>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</si>
  <si>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</si>
  <si>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</si>
  <si>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</si>
  <si>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</si>
  <si>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</si>
  <si>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</si>
  <si>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</si>
  <si>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사무용품비(문구류 )</t>
    <phoneticPr fontId="7" type="noConversion"/>
  </si>
  <si>
    <t>* 프린트임대료</t>
    <phoneticPr fontId="7" type="noConversion"/>
  </si>
  <si>
    <t>* 소규모수선비/집기구입 등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</si>
  <si>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</si>
  <si>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</si>
  <si>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</si>
  <si>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</si>
  <si>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</si>
  <si>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</si>
  <si>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</si>
  <si>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</si>
  <si>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</si>
  <si>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</si>
  <si>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7" type="noConversion"/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</si>
  <si>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</si>
  <si>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</si>
  <si>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</si>
  <si>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</si>
  <si>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</si>
  <si>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기타 시설물 관리유지비</t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</si>
  <si>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</si>
  <si>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</si>
  <si>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</si>
  <si>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</si>
  <si>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</si>
  <si>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</si>
  <si>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</si>
  <si>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</si>
  <si>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</si>
  <si>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</si>
  <si>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</si>
  <si>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</si>
  <si>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</si>
  <si>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</si>
  <si>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</si>
  <si>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</si>
  <si>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 xml:space="preserve">* 찜질방이용 </t>
    <phoneticPr fontId="7" type="noConversion"/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</si>
  <si>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</si>
  <si>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</si>
  <si>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</si>
  <si>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</si>
  <si>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</si>
  <si>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* 영화관람</t>
  </si>
  <si>
    <t>* 스포츠관람</t>
    <phoneticPr fontId="7" type="noConversion"/>
  </si>
  <si>
    <t>문화생활</t>
    <phoneticPr fontId="7" type="noConversion"/>
  </si>
  <si>
    <t>* 등산프로그램</t>
    <phoneticPr fontId="7" type="noConversion"/>
  </si>
  <si>
    <t>운동지원</t>
    <phoneticPr fontId="7" type="noConversion"/>
  </si>
  <si>
    <t>* 송년회</t>
  </si>
  <si>
    <t>* 이용인 직장방문</t>
  </si>
  <si>
    <t>기타</t>
    <phoneticPr fontId="7" type="noConversion"/>
  </si>
  <si>
    <t>* 환경개선사업(6종)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</si>
  <si>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</si>
  <si>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</si>
  <si>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</si>
  <si>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</si>
  <si>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2023년
 본예산</t>
    <phoneticPr fontId="26" type="noConversion"/>
  </si>
  <si>
    <t xml:space="preserve"> 라.야간근로수당</t>
    <phoneticPr fontId="7" type="noConversion"/>
  </si>
  <si>
    <t>회</t>
    <phoneticPr fontId="7" type="noConversion"/>
  </si>
  <si>
    <t>입소</t>
    <phoneticPr fontId="7" type="noConversion"/>
  </si>
  <si>
    <t>* 봄나들이</t>
    <phoneticPr fontId="7" type="noConversion"/>
  </si>
  <si>
    <t>* 가을나들이</t>
    <phoneticPr fontId="7" type="noConversion"/>
  </si>
  <si>
    <t>* 후원금 체크카드환급금</t>
    <phoneticPr fontId="7" type="noConversion"/>
  </si>
  <si>
    <t>* 잡수입 체크카드환급금</t>
    <phoneticPr fontId="7" type="noConversion"/>
  </si>
  <si>
    <t>* 입소비용 예금이자</t>
  </si>
  <si>
    <t>* 입소비용 체크카드 환급액</t>
  </si>
  <si>
    <t>* 후원금 예금이자</t>
  </si>
  <si>
    <t>* 후원금 체크카드 환급액</t>
  </si>
  <si>
    <t>* 잡수입 예금이자</t>
  </si>
  <si>
    <t>* 잡수입 체크카드 환급액</t>
  </si>
  <si>
    <t>* 법인전입금 예금이자</t>
  </si>
  <si>
    <t>법인</t>
  </si>
  <si>
    <t>* 입소비용 체크카드환급금</t>
    <phoneticPr fontId="7" type="noConversion"/>
  </si>
  <si>
    <t>입소</t>
    <phoneticPr fontId="7" type="noConversion"/>
  </si>
  <si>
    <t>잡수</t>
    <phoneticPr fontId="7" type="noConversion"/>
  </si>
  <si>
    <t>* 성교육</t>
    <phoneticPr fontId="7" type="noConversion"/>
  </si>
  <si>
    <t>* 입소자 건강진단비</t>
    <phoneticPr fontId="7" type="noConversion"/>
  </si>
  <si>
    <t>* 야간근로자 특수건강검진</t>
    <phoneticPr fontId="7" type="noConversion"/>
  </si>
  <si>
    <t>□ 2023년도 1차 추경예산 세 입 · 세 출 총  괄  표</t>
    <phoneticPr fontId="26" type="noConversion"/>
  </si>
  <si>
    <t>2023년
1차 추경예산</t>
    <phoneticPr fontId="26" type="noConversion"/>
  </si>
  <si>
    <t>2023년
본예산
(A)
(단위:천원)</t>
    <phoneticPr fontId="7" type="noConversion"/>
  </si>
  <si>
    <t>2023년
1차추경예산
(B)
(단위:천원)</t>
    <phoneticPr fontId="7" type="noConversion"/>
  </si>
  <si>
    <t>&lt;2023년도 1차추경예산 세입내역&gt;</t>
    <phoneticPr fontId="7" type="noConversion"/>
  </si>
  <si>
    <t>&lt;2023년도 1차추경예산 세출내역&gt;</t>
    <phoneticPr fontId="7" type="noConversion"/>
  </si>
  <si>
    <t xml:space="preserve"> * 예금이자(보조금-4종)</t>
    <phoneticPr fontId="7" type="noConversion"/>
  </si>
  <si>
    <t>* 후원금 수입</t>
    <phoneticPr fontId="7" type="noConversion"/>
  </si>
  <si>
    <t>* 예금이자(후원금)</t>
    <phoneticPr fontId="7" type="noConversion"/>
  </si>
  <si>
    <t xml:space="preserve"> B. 휴일근로수당</t>
    <phoneticPr fontId="7" type="noConversion"/>
  </si>
  <si>
    <t>3. 직원연수 숙박비</t>
    <phoneticPr fontId="7" type="noConversion"/>
  </si>
  <si>
    <t xml:space="preserve"> * 직원연수교육비,, 한장협, 경장협 등 </t>
    <phoneticPr fontId="7" type="noConversion"/>
  </si>
  <si>
    <t xml:space="preserve"> </t>
    <phoneticPr fontId="7" type="noConversion"/>
  </si>
  <si>
    <t>* 비품 구입</t>
    <phoneticPr fontId="7" type="noConversion"/>
  </si>
  <si>
    <t>* 여름나들이(캠핑)</t>
    <phoneticPr fontId="7" type="noConversion"/>
  </si>
  <si>
    <t>2023년 1차 추경예산액(B)         (단위:천원)</t>
    <phoneticPr fontId="7" type="noConversion"/>
  </si>
  <si>
    <t>*경기복지재단 환경개선사업비</t>
    <phoneticPr fontId="7" type="noConversion"/>
  </si>
  <si>
    <t xml:space="preserve"> &lt;기타 보조금 합계&gt;</t>
    <phoneticPr fontId="7" type="noConversion"/>
  </si>
  <si>
    <t xml:space="preserve"> *법인전입금(환경개선사업비)</t>
    <phoneticPr fontId="7" type="noConversion"/>
  </si>
  <si>
    <t>원</t>
    <phoneticPr fontId="7" type="noConversion"/>
  </si>
  <si>
    <t>기타보조금</t>
    <phoneticPr fontId="26" type="noConversion"/>
  </si>
  <si>
    <t>* 환경개선사업(내부 인테리어)</t>
    <phoneticPr fontId="7" type="noConversion"/>
  </si>
  <si>
    <t>* 경기복지재단 환경개선사업(창호, 도배, 장판 등)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</si>
</sst>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  <numFmt numFmtId="199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5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8" fontId="45" fillId="0" borderId="0" xfId="3" applyNumberFormat="1" applyFont="1" applyFill="1" applyBorder="1" applyAlignment="1">
      <alignment vertical="center"/>
    </xf>
    <xf numFmtId="196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0" fontId="45" fillId="2" borderId="56" xfId="0" applyNumberFormat="1" applyFont="1" applyFill="1" applyBorder="1">
      <alignment vertical="center"/>
    </xf>
    <xf numFmtId="42" fontId="45" fillId="2" borderId="57" xfId="3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vertical="center"/>
    </xf>
    <xf numFmtId="41" fontId="45" fillId="2" borderId="57" xfId="21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horizontal="center" vertical="center"/>
    </xf>
    <xf numFmtId="176" fontId="45" fillId="2" borderId="57" xfId="3" applyNumberFormat="1" applyFont="1" applyFill="1" applyBorder="1" applyAlignment="1">
      <alignment horizontal="right" vertical="center"/>
    </xf>
    <xf numFmtId="176" fontId="45" fillId="2" borderId="58" xfId="3" applyNumberFormat="1" applyFont="1" applyFill="1" applyBorder="1" applyAlignment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45" fillId="0" borderId="33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right" vertical="center"/>
    </xf>
    <xf numFmtId="176" fontId="45" fillId="0" borderId="5" xfId="22" applyNumberFormat="1" applyFont="1" applyFill="1" applyBorder="1" applyAlignment="1">
      <alignment vertical="center"/>
    </xf>
    <xf numFmtId="41" fontId="43" fillId="0" borderId="18" xfId="8" applyFont="1" applyBorder="1">
      <alignment vertical="center"/>
    </xf>
    <xf numFmtId="0" fontId="13" fillId="0" borderId="36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99" fontId="43" fillId="0" borderId="41" xfId="8" applyNumberFormat="1" applyFont="1" applyBorder="1">
      <alignment vertical="center"/>
    </xf>
    <xf numFmtId="199" fontId="0" fillId="0" borderId="41" xfId="8" applyNumberFormat="1" applyFont="1" applyBorder="1">
      <alignment vertical="center"/>
    </xf>
    <xf numFmtId="199" fontId="0" fillId="0" borderId="18" xfId="8" applyNumberFormat="1" applyFont="1" applyBorder="1">
      <alignment vertical="center"/>
    </xf>
    <xf numFmtId="199" fontId="0" fillId="0" borderId="4" xfId="8" applyNumberFormat="1" applyFont="1" applyBorder="1">
      <alignment vertical="center"/>
    </xf>
    <xf numFmtId="38" fontId="22" fillId="0" borderId="33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B1" workbookViewId="0">
      <selection activeCell="F13" sqref="F13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517</v>
      </c>
      <c r="K2" s="165" t="s">
        <v>306</v>
      </c>
    </row>
    <row r="3" spans="2:11" ht="9.9499999999999993" customHeight="1" thickBot="1"/>
    <row r="4" spans="2:11" ht="30" customHeight="1">
      <c r="B4" s="541" t="s">
        <v>114</v>
      </c>
      <c r="C4" s="542"/>
      <c r="D4" s="542"/>
      <c r="E4" s="542"/>
      <c r="F4" s="543"/>
      <c r="G4" s="541" t="s">
        <v>115</v>
      </c>
      <c r="H4" s="542"/>
      <c r="I4" s="542"/>
      <c r="J4" s="542"/>
      <c r="K4" s="544"/>
    </row>
    <row r="5" spans="2:11" ht="16.5" customHeight="1">
      <c r="B5" s="545" t="s">
        <v>116</v>
      </c>
      <c r="C5" s="546"/>
      <c r="D5" s="549" t="s">
        <v>495</v>
      </c>
      <c r="E5" s="549" t="s">
        <v>518</v>
      </c>
      <c r="F5" s="551" t="s">
        <v>117</v>
      </c>
      <c r="G5" s="545" t="s">
        <v>116</v>
      </c>
      <c r="H5" s="546"/>
      <c r="I5" s="549" t="s">
        <v>495</v>
      </c>
      <c r="J5" s="549" t="s">
        <v>518</v>
      </c>
      <c r="K5" s="553" t="s">
        <v>117</v>
      </c>
    </row>
    <row r="6" spans="2:11" ht="22.5" customHeight="1" thickBot="1">
      <c r="B6" s="547"/>
      <c r="C6" s="548"/>
      <c r="D6" s="550"/>
      <c r="E6" s="550"/>
      <c r="F6" s="552"/>
      <c r="G6" s="547"/>
      <c r="H6" s="548"/>
      <c r="I6" s="550"/>
      <c r="J6" s="550"/>
      <c r="K6" s="554"/>
    </row>
    <row r="7" spans="2:11" ht="24.95" customHeight="1" thickTop="1">
      <c r="B7" s="559" t="s">
        <v>118</v>
      </c>
      <c r="C7" s="560"/>
      <c r="D7" s="412">
        <f>SUM(D8:D22)/2</f>
        <v>118132000</v>
      </c>
      <c r="E7" s="412">
        <f>SUM(E8:E22)/2</f>
        <v>158505000</v>
      </c>
      <c r="F7" s="413">
        <f>SUM(F8:F22)/2</f>
        <v>40373000</v>
      </c>
      <c r="G7" s="559" t="s">
        <v>118</v>
      </c>
      <c r="H7" s="560"/>
      <c r="I7" s="412">
        <f>SUM(I8:I26)/2</f>
        <v>118132000</v>
      </c>
      <c r="J7" s="412">
        <f>SUM(J8:J26)/2</f>
        <v>158505000</v>
      </c>
      <c r="K7" s="414">
        <f>SUM(K8:K26)/2</f>
        <v>40373000</v>
      </c>
    </row>
    <row r="8" spans="2:11" ht="24.95" customHeight="1">
      <c r="B8" s="561" t="s">
        <v>119</v>
      </c>
      <c r="C8" s="415" t="s">
        <v>304</v>
      </c>
      <c r="D8" s="416">
        <f>D9</f>
        <v>12000000</v>
      </c>
      <c r="E8" s="416">
        <f>E9</f>
        <v>13680000</v>
      </c>
      <c r="F8" s="417">
        <f>F9</f>
        <v>1680000</v>
      </c>
      <c r="G8" s="561" t="s">
        <v>121</v>
      </c>
      <c r="H8" s="415" t="s">
        <v>304</v>
      </c>
      <c r="I8" s="416">
        <f>SUM(I9:I11)</f>
        <v>97807000</v>
      </c>
      <c r="J8" s="416">
        <f>SUM(J9:J11)</f>
        <v>100774000</v>
      </c>
      <c r="K8" s="421">
        <f>SUM(K9:K11)</f>
        <v>2967000</v>
      </c>
    </row>
    <row r="9" spans="2:11" ht="24.95" customHeight="1">
      <c r="B9" s="562"/>
      <c r="C9" s="166" t="s">
        <v>120</v>
      </c>
      <c r="D9" s="167">
        <v>12000000</v>
      </c>
      <c r="E9" s="167">
        <v>13680000</v>
      </c>
      <c r="F9" s="168">
        <f>E9-D9</f>
        <v>1680000</v>
      </c>
      <c r="G9" s="563"/>
      <c r="H9" s="166" t="s">
        <v>122</v>
      </c>
      <c r="I9" s="167">
        <v>87011000</v>
      </c>
      <c r="J9" s="167">
        <v>89425000</v>
      </c>
      <c r="K9" s="536">
        <f>J9-I9</f>
        <v>2414000</v>
      </c>
    </row>
    <row r="10" spans="2:11" ht="24.95" customHeight="1">
      <c r="B10" s="561" t="s">
        <v>123</v>
      </c>
      <c r="C10" s="418" t="s">
        <v>304</v>
      </c>
      <c r="D10" s="419">
        <f>SUM(D11:D14)</f>
        <v>100003000</v>
      </c>
      <c r="E10" s="419">
        <f>SUM(E11:E14)</f>
        <v>122913000</v>
      </c>
      <c r="F10" s="420">
        <f>SUM(F11:F14)</f>
        <v>22910000</v>
      </c>
      <c r="G10" s="563"/>
      <c r="H10" s="166" t="s">
        <v>124</v>
      </c>
      <c r="I10" s="167">
        <v>230000</v>
      </c>
      <c r="J10" s="167">
        <v>180000</v>
      </c>
      <c r="K10" s="536">
        <f t="shared" ref="K10:K11" si="0">J10-I10</f>
        <v>-50000</v>
      </c>
    </row>
    <row r="11" spans="2:11" ht="24.95" customHeight="1">
      <c r="B11" s="563"/>
      <c r="C11" s="272" t="s">
        <v>264</v>
      </c>
      <c r="D11" s="167">
        <v>0</v>
      </c>
      <c r="E11" s="167"/>
      <c r="F11" s="168">
        <f t="shared" ref="F11:F22" si="1">E11-D11</f>
        <v>0</v>
      </c>
      <c r="G11" s="562"/>
      <c r="H11" s="166" t="s">
        <v>75</v>
      </c>
      <c r="I11" s="167">
        <v>10566000</v>
      </c>
      <c r="J11" s="167">
        <v>11169000</v>
      </c>
      <c r="K11" s="536">
        <f t="shared" si="0"/>
        <v>603000</v>
      </c>
    </row>
    <row r="12" spans="2:11" ht="24.95" customHeight="1">
      <c r="B12" s="563"/>
      <c r="C12" s="272" t="s">
        <v>265</v>
      </c>
      <c r="D12" s="167">
        <v>10329000</v>
      </c>
      <c r="E12" s="167">
        <v>10590000</v>
      </c>
      <c r="F12" s="168">
        <f t="shared" si="1"/>
        <v>261000</v>
      </c>
      <c r="G12" s="561" t="s">
        <v>76</v>
      </c>
      <c r="H12" s="418" t="s">
        <v>304</v>
      </c>
      <c r="I12" s="416">
        <f>SUM(I13:I15)</f>
        <v>2700000</v>
      </c>
      <c r="J12" s="416">
        <f>SUM(J13:J15)</f>
        <v>39747000</v>
      </c>
      <c r="K12" s="422">
        <f>SUM(K13:K15)</f>
        <v>37047000</v>
      </c>
    </row>
    <row r="13" spans="2:11" ht="24.95" customHeight="1">
      <c r="B13" s="563"/>
      <c r="C13" s="272" t="s">
        <v>266</v>
      </c>
      <c r="D13" s="167">
        <v>89674000</v>
      </c>
      <c r="E13" s="167">
        <v>92323000</v>
      </c>
      <c r="F13" s="168">
        <f t="shared" ref="F13" si="2">E13-D13</f>
        <v>2649000</v>
      </c>
      <c r="G13" s="563"/>
      <c r="H13" s="540" t="s">
        <v>77</v>
      </c>
      <c r="I13" s="167">
        <v>0</v>
      </c>
      <c r="J13" s="167">
        <v>0</v>
      </c>
      <c r="K13" s="536">
        <f>J13-I13</f>
        <v>0</v>
      </c>
    </row>
    <row r="14" spans="2:11" ht="24.95" customHeight="1">
      <c r="B14" s="562"/>
      <c r="C14" s="540" t="s">
        <v>537</v>
      </c>
      <c r="D14" s="167">
        <v>0</v>
      </c>
      <c r="E14" s="167">
        <v>20000000</v>
      </c>
      <c r="F14" s="168">
        <f t="shared" si="1"/>
        <v>20000000</v>
      </c>
      <c r="G14" s="563"/>
      <c r="H14" s="166" t="s">
        <v>79</v>
      </c>
      <c r="I14" s="167">
        <v>2500000</v>
      </c>
      <c r="J14" s="167">
        <v>300000</v>
      </c>
      <c r="K14" s="536">
        <f t="shared" ref="K14:K15" si="3">J14-I14</f>
        <v>-2200000</v>
      </c>
    </row>
    <row r="15" spans="2:11" ht="24.95" customHeight="1">
      <c r="B15" s="561" t="s">
        <v>78</v>
      </c>
      <c r="C15" s="418" t="s">
        <v>304</v>
      </c>
      <c r="D15" s="419">
        <f>SUM(D16:D16)</f>
        <v>500000</v>
      </c>
      <c r="E15" s="419">
        <f>SUM(E16:E16)</f>
        <v>703000</v>
      </c>
      <c r="F15" s="420">
        <f>SUM(F16:F16)</f>
        <v>203000</v>
      </c>
      <c r="G15" s="563"/>
      <c r="H15" s="166" t="s">
        <v>81</v>
      </c>
      <c r="I15" s="167">
        <v>200000</v>
      </c>
      <c r="J15" s="167">
        <v>39447000</v>
      </c>
      <c r="K15" s="536">
        <f t="shared" si="3"/>
        <v>39247000</v>
      </c>
    </row>
    <row r="16" spans="2:11" ht="24.95" customHeight="1">
      <c r="B16" s="562"/>
      <c r="C16" s="166" t="s">
        <v>80</v>
      </c>
      <c r="D16" s="167">
        <v>500000</v>
      </c>
      <c r="E16" s="167">
        <v>703000</v>
      </c>
      <c r="F16" s="168">
        <f t="shared" si="1"/>
        <v>203000</v>
      </c>
      <c r="G16" s="561" t="s">
        <v>84</v>
      </c>
      <c r="H16" s="418" t="s">
        <v>304</v>
      </c>
      <c r="I16" s="419">
        <f>SUM(I17:I22)</f>
        <v>17605000</v>
      </c>
      <c r="J16" s="419">
        <f>SUM(J17:J22)</f>
        <v>17842000</v>
      </c>
      <c r="K16" s="422">
        <f>SUM(K17:K22)</f>
        <v>237000</v>
      </c>
    </row>
    <row r="17" spans="2:11" ht="24.95" customHeight="1">
      <c r="B17" s="561" t="s">
        <v>82</v>
      </c>
      <c r="C17" s="418" t="s">
        <v>304</v>
      </c>
      <c r="D17" s="419">
        <v>0</v>
      </c>
      <c r="E17" s="523">
        <f>E18</f>
        <v>16500000</v>
      </c>
      <c r="F17" s="420">
        <f>F18</f>
        <v>16500000</v>
      </c>
      <c r="G17" s="563"/>
      <c r="H17" s="166" t="s">
        <v>85</v>
      </c>
      <c r="I17" s="167">
        <v>9952000</v>
      </c>
      <c r="J17" s="167">
        <v>12502000</v>
      </c>
      <c r="K17" s="536">
        <f t="shared" ref="K17:K22" si="4">J17-I17</f>
        <v>2550000</v>
      </c>
    </row>
    <row r="18" spans="2:11" ht="24.95" customHeight="1">
      <c r="B18" s="562"/>
      <c r="C18" s="166" t="s">
        <v>83</v>
      </c>
      <c r="D18" s="167">
        <v>0</v>
      </c>
      <c r="E18" s="167">
        <v>16500000</v>
      </c>
      <c r="F18" s="168">
        <f t="shared" si="1"/>
        <v>16500000</v>
      </c>
      <c r="G18" s="563"/>
      <c r="H18" s="166" t="s">
        <v>88</v>
      </c>
      <c r="I18" s="167">
        <v>703000</v>
      </c>
      <c r="J18" s="167">
        <v>430000</v>
      </c>
      <c r="K18" s="536">
        <f t="shared" si="4"/>
        <v>-273000</v>
      </c>
    </row>
    <row r="19" spans="2:11" ht="24.95" customHeight="1">
      <c r="B19" s="561" t="s">
        <v>86</v>
      </c>
      <c r="C19" s="418" t="s">
        <v>304</v>
      </c>
      <c r="D19" s="523">
        <f>D20</f>
        <v>4147000</v>
      </c>
      <c r="E19" s="523">
        <f>E20</f>
        <v>2988000</v>
      </c>
      <c r="F19" s="534">
        <f>F20</f>
        <v>-1159000</v>
      </c>
      <c r="G19" s="563"/>
      <c r="H19" s="166" t="s">
        <v>91</v>
      </c>
      <c r="I19" s="167">
        <v>1320000</v>
      </c>
      <c r="J19" s="167">
        <v>1040000</v>
      </c>
      <c r="K19" s="536">
        <f t="shared" si="4"/>
        <v>-280000</v>
      </c>
    </row>
    <row r="20" spans="2:11" ht="24.95" customHeight="1">
      <c r="B20" s="562"/>
      <c r="C20" s="166" t="s">
        <v>87</v>
      </c>
      <c r="D20" s="522">
        <v>4147000</v>
      </c>
      <c r="E20" s="522">
        <v>2988000</v>
      </c>
      <c r="F20" s="535">
        <f t="shared" si="1"/>
        <v>-1159000</v>
      </c>
      <c r="G20" s="563"/>
      <c r="H20" s="166" t="s">
        <v>92</v>
      </c>
      <c r="I20" s="167">
        <v>360000</v>
      </c>
      <c r="J20" s="167">
        <v>320000</v>
      </c>
      <c r="K20" s="536">
        <f t="shared" si="4"/>
        <v>-40000</v>
      </c>
    </row>
    <row r="21" spans="2:11" ht="24.95" customHeight="1">
      <c r="B21" s="561" t="s">
        <v>89</v>
      </c>
      <c r="C21" s="418" t="s">
        <v>304</v>
      </c>
      <c r="D21" s="523">
        <f>D22</f>
        <v>1482000</v>
      </c>
      <c r="E21" s="523">
        <f>E22</f>
        <v>1721000</v>
      </c>
      <c r="F21" s="420">
        <f>F22</f>
        <v>239000</v>
      </c>
      <c r="G21" s="563"/>
      <c r="H21" s="166" t="s">
        <v>93</v>
      </c>
      <c r="I21" s="167">
        <v>180000</v>
      </c>
      <c r="J21" s="167">
        <v>150000</v>
      </c>
      <c r="K21" s="536">
        <f t="shared" si="4"/>
        <v>-30000</v>
      </c>
    </row>
    <row r="22" spans="2:11" ht="24.95" customHeight="1">
      <c r="B22" s="562"/>
      <c r="C22" s="166" t="s">
        <v>90</v>
      </c>
      <c r="D22" s="522">
        <v>1482000</v>
      </c>
      <c r="E22" s="522">
        <v>1721000</v>
      </c>
      <c r="F22" s="168">
        <f t="shared" si="1"/>
        <v>239000</v>
      </c>
      <c r="G22" s="562"/>
      <c r="H22" s="166" t="s">
        <v>94</v>
      </c>
      <c r="I22" s="167">
        <v>5090000</v>
      </c>
      <c r="J22" s="167">
        <v>3400000</v>
      </c>
      <c r="K22" s="536">
        <f t="shared" si="4"/>
        <v>-1690000</v>
      </c>
    </row>
    <row r="23" spans="2:11" ht="24.95" customHeight="1">
      <c r="B23" s="555"/>
      <c r="C23" s="556"/>
      <c r="D23" s="556"/>
      <c r="E23" s="556"/>
      <c r="F23" s="556"/>
      <c r="G23" s="561" t="s">
        <v>96</v>
      </c>
      <c r="H23" s="418" t="s">
        <v>304</v>
      </c>
      <c r="I23" s="419">
        <f>I24</f>
        <v>0</v>
      </c>
      <c r="J23" s="419">
        <f>J24</f>
        <v>0</v>
      </c>
      <c r="K23" s="422">
        <f>K24</f>
        <v>0</v>
      </c>
    </row>
    <row r="24" spans="2:11" ht="24.95" customHeight="1">
      <c r="B24" s="555"/>
      <c r="C24" s="556"/>
      <c r="D24" s="556"/>
      <c r="E24" s="556"/>
      <c r="F24" s="556"/>
      <c r="G24" s="562"/>
      <c r="H24" s="166" t="s">
        <v>97</v>
      </c>
      <c r="I24" s="167">
        <v>0</v>
      </c>
      <c r="J24" s="167">
        <v>0</v>
      </c>
      <c r="K24" s="169">
        <f t="shared" ref="K24" si="5">J24-I24</f>
        <v>0</v>
      </c>
    </row>
    <row r="25" spans="2:11" ht="24.95" customHeight="1">
      <c r="B25" s="555"/>
      <c r="C25" s="556"/>
      <c r="D25" s="556"/>
      <c r="E25" s="556"/>
      <c r="F25" s="556"/>
      <c r="G25" s="561" t="s">
        <v>98</v>
      </c>
      <c r="H25" s="418" t="s">
        <v>304</v>
      </c>
      <c r="I25" s="419">
        <f>SUM(I26:I26)</f>
        <v>20000</v>
      </c>
      <c r="J25" s="419">
        <f>SUM(J26:J26)</f>
        <v>142000</v>
      </c>
      <c r="K25" s="530">
        <f>SUM(K26:K26)</f>
        <v>122000</v>
      </c>
    </row>
    <row r="26" spans="2:11" ht="24.95" customHeight="1" thickBot="1">
      <c r="B26" s="557"/>
      <c r="C26" s="558"/>
      <c r="D26" s="558"/>
      <c r="E26" s="558"/>
      <c r="F26" s="558"/>
      <c r="G26" s="564"/>
      <c r="H26" s="170" t="s">
        <v>95</v>
      </c>
      <c r="I26" s="171">
        <v>20000</v>
      </c>
      <c r="J26" s="171">
        <v>142000</v>
      </c>
      <c r="K26" s="537">
        <f t="shared" ref="K26" si="6">J26-I26</f>
        <v>122000</v>
      </c>
    </row>
  </sheetData>
  <mergeCells count="24">
    <mergeCell ref="B23:F26"/>
    <mergeCell ref="B7:C7"/>
    <mergeCell ref="G7:H7"/>
    <mergeCell ref="B8:B9"/>
    <mergeCell ref="B10:B14"/>
    <mergeCell ref="B15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5"/>
  <sheetViews>
    <sheetView workbookViewId="0">
      <selection activeCell="I176" sqref="I17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5" t="s">
        <v>521</v>
      </c>
      <c r="B1" s="565"/>
      <c r="C1" s="565"/>
      <c r="D1" s="56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6" t="s">
        <v>62</v>
      </c>
      <c r="B2" s="567"/>
      <c r="C2" s="567"/>
      <c r="D2" s="567"/>
      <c r="E2" s="568" t="s">
        <v>519</v>
      </c>
      <c r="F2" s="568" t="s">
        <v>520</v>
      </c>
      <c r="G2" s="576" t="s">
        <v>23</v>
      </c>
      <c r="H2" s="576"/>
      <c r="I2" s="576" t="s">
        <v>54</v>
      </c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7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69"/>
      <c r="F3" s="569"/>
      <c r="G3" s="132" t="s">
        <v>102</v>
      </c>
      <c r="H3" s="21" t="s">
        <v>4</v>
      </c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9"/>
      <c r="Z3" s="8"/>
    </row>
    <row r="4" spans="1:26" s="3" customFormat="1" ht="19.5" customHeight="1">
      <c r="A4" s="570" t="s">
        <v>24</v>
      </c>
      <c r="B4" s="571"/>
      <c r="C4" s="571"/>
      <c r="D4" s="572"/>
      <c r="E4" s="195">
        <f>SUM(E5,E8,E10,E12,E144,E156,E163,E172,E197)</f>
        <v>118132</v>
      </c>
      <c r="F4" s="195">
        <f>SUM(F5,F8,F10,F12,F144,F156,F163,F172,F197)</f>
        <v>158505</v>
      </c>
      <c r="G4" s="291">
        <f>SUM(G5,G8,G10,G12,G144,G156,G163,G172,G197)</f>
        <v>40373</v>
      </c>
      <c r="H4" s="196">
        <f t="shared" ref="H4" si="0">IF(E4=0,0,G4/E4)</f>
        <v>0.34176175803338638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71">
        <f>SUM(X5,X8,X10,X12,X144,X156,X163,X172,X197)</f>
        <v>158505000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3" t="s">
        <v>101</v>
      </c>
      <c r="D5" s="173" t="s">
        <v>101</v>
      </c>
      <c r="E5" s="520">
        <v>12000</v>
      </c>
      <c r="F5" s="189">
        <f>ROUND(X5/1000,0)</f>
        <v>13680</v>
      </c>
      <c r="G5" s="190">
        <f>F5-E5</f>
        <v>1680</v>
      </c>
      <c r="H5" s="191">
        <f>IF(E5=0,0,G5/E5)</f>
        <v>0.14000000000000001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13680000</v>
      </c>
      <c r="Y5" s="36" t="s">
        <v>25</v>
      </c>
    </row>
    <row r="6" spans="1:26" ht="21" customHeight="1">
      <c r="A6" s="37" t="s">
        <v>59</v>
      </c>
      <c r="B6" s="38" t="s">
        <v>100</v>
      </c>
      <c r="C6" s="39" t="s">
        <v>100</v>
      </c>
      <c r="D6" s="39"/>
      <c r="E6" s="436"/>
      <c r="F6" s="436"/>
      <c r="G6" s="437"/>
      <c r="H6" s="438"/>
      <c r="I6" s="286" t="s">
        <v>268</v>
      </c>
      <c r="J6" s="44"/>
      <c r="K6" s="45"/>
      <c r="L6" s="45"/>
      <c r="M6" s="295">
        <v>380000</v>
      </c>
      <c r="N6" s="295" t="s">
        <v>56</v>
      </c>
      <c r="O6" s="296" t="s">
        <v>57</v>
      </c>
      <c r="P6" s="434">
        <v>3</v>
      </c>
      <c r="Q6" s="295" t="s">
        <v>55</v>
      </c>
      <c r="R6" s="296" t="s">
        <v>57</v>
      </c>
      <c r="S6" s="46">
        <v>12</v>
      </c>
      <c r="T6" s="427" t="s">
        <v>0</v>
      </c>
      <c r="U6" s="427" t="s">
        <v>53</v>
      </c>
      <c r="V6" s="427"/>
      <c r="W6" s="295"/>
      <c r="X6" s="295">
        <f>M6*P6*S6</f>
        <v>13680000</v>
      </c>
      <c r="Y6" s="47" t="s">
        <v>56</v>
      </c>
    </row>
    <row r="7" spans="1:26" ht="21" customHeight="1">
      <c r="A7" s="37"/>
      <c r="B7" s="38"/>
      <c r="C7" s="39"/>
      <c r="D7" s="39" t="s">
        <v>100</v>
      </c>
      <c r="E7" s="40"/>
      <c r="F7" s="40"/>
      <c r="G7" s="41"/>
      <c r="H7" s="25"/>
      <c r="I7" s="286"/>
      <c r="J7" s="44"/>
      <c r="K7" s="45"/>
      <c r="L7" s="45"/>
      <c r="M7" s="199"/>
      <c r="N7" s="199"/>
      <c r="O7" s="200"/>
      <c r="P7" s="120"/>
      <c r="Q7" s="199"/>
      <c r="R7" s="200"/>
      <c r="S7" s="46"/>
      <c r="T7" s="232"/>
      <c r="U7" s="232"/>
      <c r="V7" s="232"/>
      <c r="W7" s="199"/>
      <c r="X7" s="199"/>
      <c r="Y7" s="47"/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9">
        <v>0</v>
      </c>
      <c r="F8" s="189">
        <f>ROUND(X8/1000,0)</f>
        <v>0</v>
      </c>
      <c r="G8" s="190">
        <f>F8-E8</f>
        <v>0</v>
      </c>
      <c r="H8" s="191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267</v>
      </c>
      <c r="J9" s="44"/>
      <c r="K9" s="45"/>
      <c r="L9" s="45"/>
      <c r="M9" s="199"/>
      <c r="N9" s="199"/>
      <c r="O9" s="200"/>
      <c r="P9" s="199"/>
      <c r="Q9" s="199"/>
      <c r="R9" s="200"/>
      <c r="S9" s="46"/>
      <c r="T9" s="232"/>
      <c r="U9" s="232"/>
      <c r="V9" s="232"/>
      <c r="W9" s="199"/>
      <c r="X9" s="199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9">
        <v>0</v>
      </c>
      <c r="F10" s="189">
        <f>ROUND(X10/1000,0)</f>
        <v>0</v>
      </c>
      <c r="G10" s="190">
        <f>F10-E10</f>
        <v>0</v>
      </c>
      <c r="H10" s="191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4"/>
      <c r="F11" s="205">
        <v>0</v>
      </c>
      <c r="G11" s="206"/>
      <c r="H11" s="207"/>
      <c r="I11" s="208"/>
      <c r="J11" s="209"/>
      <c r="K11" s="210"/>
      <c r="L11" s="210"/>
      <c r="M11" s="210"/>
      <c r="N11" s="210"/>
      <c r="O11" s="210"/>
      <c r="P11" s="211"/>
      <c r="Q11" s="211"/>
      <c r="R11" s="211"/>
      <c r="S11" s="211"/>
      <c r="T11" s="211"/>
      <c r="U11" s="211"/>
      <c r="V11" s="211"/>
      <c r="W11" s="212"/>
      <c r="X11" s="212">
        <v>0</v>
      </c>
      <c r="Y11" s="260" t="s">
        <v>197</v>
      </c>
    </row>
    <row r="12" spans="1:26" s="11" customFormat="1" ht="19.5" customHeight="1">
      <c r="A12" s="27" t="s">
        <v>132</v>
      </c>
      <c r="B12" s="28" t="s">
        <v>132</v>
      </c>
      <c r="C12" s="573" t="s">
        <v>251</v>
      </c>
      <c r="D12" s="574"/>
      <c r="E12" s="242">
        <f>SUM(E13,E22,E83,E141)</f>
        <v>100003</v>
      </c>
      <c r="F12" s="242">
        <f>SUM(F13,F22,F83,F141)</f>
        <v>122913</v>
      </c>
      <c r="G12" s="243">
        <f t="shared" ref="G12:G14" si="1">F12-E12</f>
        <v>22910</v>
      </c>
      <c r="H12" s="244">
        <f t="shared" ref="H12:H14" si="2">IF(E12=0,0,G12/E12)</f>
        <v>0.22909312720618383</v>
      </c>
      <c r="I12" s="245" t="s">
        <v>252</v>
      </c>
      <c r="J12" s="246"/>
      <c r="K12" s="247"/>
      <c r="L12" s="247"/>
      <c r="M12" s="246"/>
      <c r="N12" s="246"/>
      <c r="O12" s="246"/>
      <c r="P12" s="246"/>
      <c r="Q12" s="246"/>
      <c r="R12" s="248"/>
      <c r="S12" s="248"/>
      <c r="T12" s="248"/>
      <c r="U12" s="248"/>
      <c r="V12" s="248"/>
      <c r="W12" s="248"/>
      <c r="X12" s="249">
        <f>SUM(X13,X22,X83,X141)</f>
        <v>122913000</v>
      </c>
      <c r="Y12" s="261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9" t="s">
        <v>137</v>
      </c>
      <c r="E13" s="192">
        <f>SUM(E14:E20)</f>
        <v>0</v>
      </c>
      <c r="F13" s="192">
        <f>SUM(F14:F20)</f>
        <v>0</v>
      </c>
      <c r="G13" s="193">
        <f t="shared" si="1"/>
        <v>0</v>
      </c>
      <c r="H13" s="194">
        <f t="shared" si="2"/>
        <v>0</v>
      </c>
      <c r="I13" s="176" t="s">
        <v>138</v>
      </c>
      <c r="J13" s="177"/>
      <c r="K13" s="178"/>
      <c r="L13" s="178"/>
      <c r="M13" s="178"/>
      <c r="N13" s="178"/>
      <c r="O13" s="178"/>
      <c r="P13" s="179"/>
      <c r="Q13" s="179"/>
      <c r="R13" s="179"/>
      <c r="S13" s="179"/>
      <c r="T13" s="179"/>
      <c r="U13" s="179"/>
      <c r="V13" s="213" t="s">
        <v>199</v>
      </c>
      <c r="W13" s="214"/>
      <c r="X13" s="215">
        <f>SUM(X14,X17,X20)</f>
        <v>0</v>
      </c>
      <c r="Y13" s="262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3">
        <v>0</v>
      </c>
      <c r="F14" s="203">
        <f>ROUND(X14/1000,0)</f>
        <v>0</v>
      </c>
      <c r="G14" s="267">
        <f t="shared" si="1"/>
        <v>0</v>
      </c>
      <c r="H14" s="268">
        <f t="shared" si="2"/>
        <v>0</v>
      </c>
      <c r="I14" s="127" t="s">
        <v>191</v>
      </c>
      <c r="J14" s="200"/>
      <c r="K14" s="199"/>
      <c r="L14" s="199"/>
      <c r="M14" s="199"/>
      <c r="N14" s="232"/>
      <c r="O14" s="180"/>
      <c r="P14" s="199"/>
      <c r="Q14" s="44"/>
      <c r="R14" s="181"/>
      <c r="S14" s="184"/>
      <c r="T14" s="184"/>
      <c r="U14" s="232"/>
      <c r="V14" s="198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7"/>
      <c r="G15" s="41"/>
      <c r="H15" s="60"/>
      <c r="I15" s="287" t="s">
        <v>269</v>
      </c>
      <c r="J15" s="200"/>
      <c r="K15" s="199"/>
      <c r="L15" s="199"/>
      <c r="M15" s="199">
        <v>0</v>
      </c>
      <c r="N15" s="232" t="s">
        <v>25</v>
      </c>
      <c r="O15" s="180" t="s">
        <v>26</v>
      </c>
      <c r="P15" s="120">
        <v>0</v>
      </c>
      <c r="Q15" s="44" t="s">
        <v>108</v>
      </c>
      <c r="R15" s="181" t="s">
        <v>26</v>
      </c>
      <c r="S15" s="184">
        <v>0</v>
      </c>
      <c r="T15" s="184" t="s">
        <v>29</v>
      </c>
      <c r="U15" s="232" t="s">
        <v>26</v>
      </c>
      <c r="V15" s="236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7"/>
      <c r="J16" s="58"/>
      <c r="K16" s="183"/>
      <c r="L16" s="183"/>
      <c r="M16" s="295"/>
      <c r="N16" s="295"/>
      <c r="O16" s="180"/>
      <c r="P16" s="354"/>
      <c r="Q16" s="44"/>
      <c r="R16" s="182"/>
      <c r="S16" s="46"/>
      <c r="T16" s="353"/>
      <c r="U16" s="353"/>
      <c r="V16" s="236"/>
      <c r="W16" s="296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6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8" t="s">
        <v>436</v>
      </c>
      <c r="J17" s="227"/>
      <c r="K17" s="235"/>
      <c r="L17" s="235"/>
      <c r="M17" s="79"/>
      <c r="N17" s="79"/>
      <c r="O17" s="217"/>
      <c r="P17" s="79"/>
      <c r="Q17" s="218"/>
      <c r="R17" s="225"/>
      <c r="S17" s="226"/>
      <c r="T17" s="352"/>
      <c r="U17" s="352"/>
      <c r="V17" s="229" t="s">
        <v>192</v>
      </c>
      <c r="W17" s="230"/>
      <c r="X17" s="230">
        <v>0</v>
      </c>
      <c r="Y17" s="263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8" t="s">
        <v>270</v>
      </c>
      <c r="J18" s="296"/>
      <c r="K18" s="295"/>
      <c r="L18" s="295"/>
      <c r="M18" s="295">
        <v>0</v>
      </c>
      <c r="N18" s="295" t="s">
        <v>56</v>
      </c>
      <c r="O18" s="64" t="s">
        <v>57</v>
      </c>
      <c r="P18" s="274">
        <v>0.7</v>
      </c>
      <c r="Q18" s="295"/>
      <c r="R18" s="295"/>
      <c r="S18" s="295"/>
      <c r="T18" s="295"/>
      <c r="U18" s="295" t="s">
        <v>53</v>
      </c>
      <c r="V18" s="355" t="s">
        <v>69</v>
      </c>
      <c r="W18" s="62"/>
      <c r="X18" s="355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6"/>
      <c r="J19" s="62"/>
      <c r="K19" s="221"/>
      <c r="L19" s="221"/>
      <c r="M19" s="355"/>
      <c r="N19" s="355"/>
      <c r="O19" s="222"/>
      <c r="P19" s="355"/>
      <c r="Q19" s="117"/>
      <c r="R19" s="223"/>
      <c r="S19" s="72"/>
      <c r="T19" s="172"/>
      <c r="U19" s="172"/>
      <c r="V19" s="224"/>
      <c r="W19" s="356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293</v>
      </c>
      <c r="E20" s="216">
        <v>0</v>
      </c>
      <c r="F20" s="216">
        <f>ROUND(X20/1000,0)</f>
        <v>0</v>
      </c>
      <c r="G20" s="269">
        <f t="shared" ref="G20" si="5">F20-E20</f>
        <v>0</v>
      </c>
      <c r="H20" s="109">
        <f t="shared" ref="H20" si="6">IF(E20=0,0,G20/E20)</f>
        <v>0</v>
      </c>
      <c r="I20" s="357" t="s">
        <v>296</v>
      </c>
      <c r="J20" s="358"/>
      <c r="K20" s="359"/>
      <c r="L20" s="359"/>
      <c r="M20" s="360"/>
      <c r="N20" s="360"/>
      <c r="O20" s="361"/>
      <c r="P20" s="360"/>
      <c r="Q20" s="362"/>
      <c r="R20" s="363"/>
      <c r="S20" s="364"/>
      <c r="T20" s="365"/>
      <c r="U20" s="365"/>
      <c r="V20" s="366" t="s">
        <v>297</v>
      </c>
      <c r="W20" s="367"/>
      <c r="X20" s="367">
        <v>0</v>
      </c>
      <c r="Y20" s="368" t="s">
        <v>298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8"/>
      <c r="J21" s="350"/>
      <c r="K21" s="378"/>
      <c r="L21" s="378"/>
      <c r="M21" s="349"/>
      <c r="N21" s="349"/>
      <c r="O21" s="379"/>
      <c r="P21" s="349"/>
      <c r="Q21" s="380"/>
      <c r="R21" s="381"/>
      <c r="S21" s="382"/>
      <c r="T21" s="383"/>
      <c r="U21" s="383"/>
      <c r="V21" s="384"/>
      <c r="W21" s="385"/>
      <c r="X21" s="350"/>
      <c r="Y21" s="351"/>
      <c r="Z21" s="6"/>
    </row>
    <row r="22" spans="1:26" s="11" customFormat="1" ht="19.5" customHeight="1">
      <c r="A22" s="50"/>
      <c r="B22" s="38"/>
      <c r="C22" s="28" t="s">
        <v>140</v>
      </c>
      <c r="D22" s="259" t="s">
        <v>109</v>
      </c>
      <c r="E22" s="192">
        <f>SUM(E23:E82)</f>
        <v>10329</v>
      </c>
      <c r="F22" s="192">
        <f>SUM(F23:F82)</f>
        <v>10590</v>
      </c>
      <c r="G22" s="193">
        <f t="shared" ref="G22:G23" si="7">F22-E22</f>
        <v>261</v>
      </c>
      <c r="H22" s="194">
        <f t="shared" ref="H22:H23" si="8">IF(E22=0,0,G22/E22)</f>
        <v>2.5268661051408656E-2</v>
      </c>
      <c r="I22" s="176" t="s">
        <v>201</v>
      </c>
      <c r="J22" s="177"/>
      <c r="K22" s="178"/>
      <c r="L22" s="178"/>
      <c r="M22" s="178"/>
      <c r="N22" s="178"/>
      <c r="O22" s="178"/>
      <c r="P22" s="179"/>
      <c r="Q22" s="179"/>
      <c r="R22" s="179"/>
      <c r="S22" s="179"/>
      <c r="T22" s="179"/>
      <c r="U22" s="179"/>
      <c r="V22" s="213" t="s">
        <v>69</v>
      </c>
      <c r="W22" s="214"/>
      <c r="X22" s="214">
        <f>SUM(X23,X26,X63,X69,X77,X80)</f>
        <v>10590000</v>
      </c>
      <c r="Y22" s="262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6">
        <f>ROUND(X23/1000,0)</f>
        <v>0</v>
      </c>
      <c r="G23" s="30">
        <f t="shared" si="7"/>
        <v>0</v>
      </c>
      <c r="H23" s="109">
        <f t="shared" si="8"/>
        <v>0</v>
      </c>
      <c r="I23" s="127" t="s">
        <v>191</v>
      </c>
      <c r="J23" s="139"/>
      <c r="K23" s="79"/>
      <c r="L23" s="79"/>
      <c r="M23" s="79"/>
      <c r="N23" s="231"/>
      <c r="O23" s="217"/>
      <c r="P23" s="79"/>
      <c r="Q23" s="218"/>
      <c r="R23" s="219"/>
      <c r="S23" s="220"/>
      <c r="T23" s="220"/>
      <c r="U23" s="231"/>
      <c r="V23" s="198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7" t="s">
        <v>269</v>
      </c>
      <c r="J24" s="296"/>
      <c r="K24" s="295"/>
      <c r="L24" s="295"/>
      <c r="M24" s="295">
        <v>0</v>
      </c>
      <c r="N24" s="424" t="s">
        <v>25</v>
      </c>
      <c r="O24" s="180" t="s">
        <v>26</v>
      </c>
      <c r="P24" s="425">
        <v>0</v>
      </c>
      <c r="Q24" s="44" t="s">
        <v>108</v>
      </c>
      <c r="R24" s="181" t="s">
        <v>26</v>
      </c>
      <c r="S24" s="184">
        <v>0</v>
      </c>
      <c r="T24" s="184" t="s">
        <v>29</v>
      </c>
      <c r="U24" s="424" t="s">
        <v>26</v>
      </c>
      <c r="V24" s="236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2"/>
      <c r="J25" s="62"/>
      <c r="K25" s="221"/>
      <c r="L25" s="221"/>
      <c r="M25" s="201"/>
      <c r="N25" s="201"/>
      <c r="O25" s="222"/>
      <c r="P25" s="201"/>
      <c r="Q25" s="117"/>
      <c r="R25" s="223"/>
      <c r="S25" s="72"/>
      <c r="T25" s="172"/>
      <c r="U25" s="172"/>
      <c r="V25" s="224"/>
      <c r="W25" s="202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521">
        <v>8666</v>
      </c>
      <c r="F26" s="216">
        <f>ROUND(X26/1000,0)</f>
        <v>8877</v>
      </c>
      <c r="G26" s="30">
        <f t="shared" ref="G26" si="9">F26-E26</f>
        <v>211</v>
      </c>
      <c r="H26" s="109">
        <f t="shared" ref="H26" si="10">IF(E26=0,0,G26/E26)</f>
        <v>2.43480267712901E-2</v>
      </c>
      <c r="I26" s="228" t="s">
        <v>313</v>
      </c>
      <c r="J26" s="227"/>
      <c r="K26" s="235"/>
      <c r="L26" s="235"/>
      <c r="M26" s="79"/>
      <c r="N26" s="79"/>
      <c r="O26" s="217"/>
      <c r="P26" s="79"/>
      <c r="Q26" s="218"/>
      <c r="R26" s="225"/>
      <c r="S26" s="226"/>
      <c r="T26" s="231"/>
      <c r="U26" s="231"/>
      <c r="V26" s="229" t="s">
        <v>192</v>
      </c>
      <c r="W26" s="230"/>
      <c r="X26" s="230">
        <f>SUM(X27,X30,X43,X46,)</f>
        <v>8877000</v>
      </c>
      <c r="Y26" s="263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3"/>
      <c r="G27" s="41"/>
      <c r="H27" s="60"/>
      <c r="I27" s="288" t="s">
        <v>270</v>
      </c>
      <c r="J27" s="296"/>
      <c r="K27" s="295"/>
      <c r="L27" s="295"/>
      <c r="M27" s="295"/>
      <c r="N27" s="295"/>
      <c r="O27" s="64"/>
      <c r="P27" s="274"/>
      <c r="Q27" s="295"/>
      <c r="R27" s="295"/>
      <c r="S27" s="295"/>
      <c r="T27" s="295"/>
      <c r="U27" s="295"/>
      <c r="V27" s="355" t="s">
        <v>69</v>
      </c>
      <c r="W27" s="62"/>
      <c r="X27" s="439">
        <f>SUM(X28:X29)</f>
        <v>5368000</v>
      </c>
      <c r="Y27" s="440" t="s">
        <v>309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3"/>
      <c r="G28" s="41"/>
      <c r="H28" s="60"/>
      <c r="I28" s="287" t="s">
        <v>491</v>
      </c>
      <c r="J28" s="296"/>
      <c r="K28" s="295"/>
      <c r="L28" s="295"/>
      <c r="M28" s="295">
        <v>53685000</v>
      </c>
      <c r="N28" s="295" t="s">
        <v>56</v>
      </c>
      <c r="O28" s="64" t="s">
        <v>57</v>
      </c>
      <c r="P28" s="274">
        <v>0.1</v>
      </c>
      <c r="Q28" s="295"/>
      <c r="R28" s="295"/>
      <c r="S28" s="295"/>
      <c r="T28" s="295"/>
      <c r="U28" s="295" t="s">
        <v>311</v>
      </c>
      <c r="V28" s="295"/>
      <c r="W28" s="58"/>
      <c r="X28" s="295">
        <f>ROUNDDOWN(M28*P28,-3)</f>
        <v>5368000</v>
      </c>
      <c r="Y28" s="47" t="s">
        <v>309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7"/>
      <c r="J29" s="200"/>
      <c r="K29" s="199"/>
      <c r="L29" s="199"/>
      <c r="M29" s="295"/>
      <c r="N29" s="199"/>
      <c r="O29" s="64"/>
      <c r="P29" s="274"/>
      <c r="Q29" s="199"/>
      <c r="R29" s="199"/>
      <c r="S29" s="199"/>
      <c r="T29" s="199"/>
      <c r="U29" s="199"/>
      <c r="V29" s="295"/>
      <c r="W29" s="58"/>
      <c r="X29" s="295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8" t="s">
        <v>271</v>
      </c>
      <c r="J30" s="200"/>
      <c r="K30" s="199"/>
      <c r="L30" s="199"/>
      <c r="M30" s="295"/>
      <c r="N30" s="199"/>
      <c r="O30" s="199"/>
      <c r="P30" s="199"/>
      <c r="Q30" s="199"/>
      <c r="R30" s="199"/>
      <c r="S30" s="199"/>
      <c r="T30" s="199"/>
      <c r="U30" s="199"/>
      <c r="V30" s="55"/>
      <c r="W30" s="441"/>
      <c r="X30" s="55">
        <f>SUM(X31,X34,X37,X40)</f>
        <v>2098000</v>
      </c>
      <c r="Y30" s="263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7" t="s">
        <v>272</v>
      </c>
      <c r="J31" s="200"/>
      <c r="K31" s="199"/>
      <c r="L31" s="199"/>
      <c r="M31" s="295"/>
      <c r="N31" s="199"/>
      <c r="O31" s="64"/>
      <c r="P31" s="274"/>
      <c r="Q31" s="199"/>
      <c r="R31" s="199"/>
      <c r="S31" s="199"/>
      <c r="T31" s="199"/>
      <c r="U31" s="199"/>
      <c r="V31" s="355" t="s">
        <v>69</v>
      </c>
      <c r="W31" s="62"/>
      <c r="X31" s="355">
        <f>SUM(X32:X33)</f>
        <v>559000</v>
      </c>
      <c r="Y31" s="63" t="s">
        <v>309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7" t="s">
        <v>491</v>
      </c>
      <c r="J32" s="296"/>
      <c r="K32" s="295"/>
      <c r="L32" s="295"/>
      <c r="M32" s="295">
        <v>5593000</v>
      </c>
      <c r="N32" s="295" t="s">
        <v>56</v>
      </c>
      <c r="O32" s="64" t="s">
        <v>57</v>
      </c>
      <c r="P32" s="274">
        <v>0.1</v>
      </c>
      <c r="Q32" s="295"/>
      <c r="R32" s="295"/>
      <c r="S32" s="295"/>
      <c r="T32" s="295"/>
      <c r="U32" s="295" t="s">
        <v>208</v>
      </c>
      <c r="V32" s="427"/>
      <c r="W32" s="427"/>
      <c r="X32" s="295">
        <f>ROUND(M32*P32,-3)</f>
        <v>559000</v>
      </c>
      <c r="Y32" s="47" t="s">
        <v>312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7"/>
      <c r="J33" s="296"/>
      <c r="K33" s="295"/>
      <c r="L33" s="295"/>
      <c r="M33" s="295"/>
      <c r="N33" s="295"/>
      <c r="O33" s="64"/>
      <c r="P33" s="274"/>
      <c r="Q33" s="295"/>
      <c r="R33" s="295"/>
      <c r="S33" s="295"/>
      <c r="T33" s="295"/>
      <c r="U33" s="295"/>
      <c r="V33" s="427"/>
      <c r="W33" s="427"/>
      <c r="X33" s="295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7" t="s">
        <v>273</v>
      </c>
      <c r="J34" s="200"/>
      <c r="K34" s="199"/>
      <c r="L34" s="199"/>
      <c r="M34" s="295"/>
      <c r="N34" s="199"/>
      <c r="O34" s="64"/>
      <c r="P34" s="274"/>
      <c r="Q34" s="199"/>
      <c r="R34" s="199"/>
      <c r="S34" s="199"/>
      <c r="T34" s="199"/>
      <c r="U34" s="199"/>
      <c r="V34" s="355" t="s">
        <v>69</v>
      </c>
      <c r="W34" s="62"/>
      <c r="X34" s="355">
        <f>SUM(X35:X36)</f>
        <v>156000</v>
      </c>
      <c r="Y34" s="63" t="s">
        <v>309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7" t="s">
        <v>491</v>
      </c>
      <c r="J35" s="296"/>
      <c r="K35" s="295"/>
      <c r="L35" s="295"/>
      <c r="M35" s="295">
        <v>1560000</v>
      </c>
      <c r="N35" s="295" t="s">
        <v>56</v>
      </c>
      <c r="O35" s="64" t="s">
        <v>57</v>
      </c>
      <c r="P35" s="274">
        <v>0.1</v>
      </c>
      <c r="Q35" s="295"/>
      <c r="R35" s="295"/>
      <c r="S35" s="295"/>
      <c r="T35" s="295"/>
      <c r="U35" s="295" t="s">
        <v>208</v>
      </c>
      <c r="V35" s="427"/>
      <c r="W35" s="427"/>
      <c r="X35" s="295">
        <f t="shared" ref="X35" si="11">ROUND(M35*P35,-3)</f>
        <v>156000</v>
      </c>
      <c r="Y35" s="47" t="s">
        <v>312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7"/>
      <c r="J36" s="296"/>
      <c r="K36" s="295"/>
      <c r="L36" s="295"/>
      <c r="M36" s="295"/>
      <c r="N36" s="295"/>
      <c r="O36" s="64"/>
      <c r="P36" s="274"/>
      <c r="Q36" s="295"/>
      <c r="R36" s="295"/>
      <c r="S36" s="295"/>
      <c r="T36" s="295"/>
      <c r="U36" s="295"/>
      <c r="V36" s="427"/>
      <c r="W36" s="427"/>
      <c r="X36" s="295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7" t="s">
        <v>274</v>
      </c>
      <c r="J37" s="200"/>
      <c r="K37" s="199"/>
      <c r="L37" s="199"/>
      <c r="M37" s="295"/>
      <c r="N37" s="199"/>
      <c r="O37" s="64"/>
      <c r="P37" s="274"/>
      <c r="Q37" s="199"/>
      <c r="R37" s="199"/>
      <c r="S37" s="199"/>
      <c r="T37" s="199"/>
      <c r="U37" s="199"/>
      <c r="V37" s="355" t="s">
        <v>69</v>
      </c>
      <c r="W37" s="62"/>
      <c r="X37" s="355">
        <f>SUM(X38:X39)</f>
        <v>1044000</v>
      </c>
      <c r="Y37" s="63" t="s">
        <v>309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7" t="s">
        <v>491</v>
      </c>
      <c r="J38" s="296"/>
      <c r="K38" s="295"/>
      <c r="L38" s="295"/>
      <c r="M38" s="295">
        <v>10975000</v>
      </c>
      <c r="N38" s="295" t="s">
        <v>56</v>
      </c>
      <c r="O38" s="64" t="s">
        <v>57</v>
      </c>
      <c r="P38" s="274">
        <v>0.1</v>
      </c>
      <c r="Q38" s="295"/>
      <c r="R38" s="295"/>
      <c r="S38" s="295"/>
      <c r="T38" s="295"/>
      <c r="U38" s="295" t="s">
        <v>208</v>
      </c>
      <c r="V38" s="427"/>
      <c r="W38" s="427"/>
      <c r="X38" s="295">
        <f>ROUNDDOWN(M38*P38,-3)-53000</f>
        <v>1044000</v>
      </c>
      <c r="Y38" s="47" t="s">
        <v>312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7"/>
      <c r="J39" s="296"/>
      <c r="K39" s="295"/>
      <c r="L39" s="295"/>
      <c r="M39" s="295"/>
      <c r="N39" s="295"/>
      <c r="O39" s="64"/>
      <c r="P39" s="274"/>
      <c r="Q39" s="295"/>
      <c r="R39" s="295"/>
      <c r="S39" s="295"/>
      <c r="T39" s="295"/>
      <c r="U39" s="295"/>
      <c r="V39" s="427"/>
      <c r="W39" s="427"/>
      <c r="X39" s="295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7" t="s">
        <v>496</v>
      </c>
      <c r="J40" s="296"/>
      <c r="K40" s="295"/>
      <c r="L40" s="295"/>
      <c r="M40" s="295"/>
      <c r="N40" s="295"/>
      <c r="O40" s="64"/>
      <c r="P40" s="274"/>
      <c r="Q40" s="295"/>
      <c r="R40" s="295"/>
      <c r="S40" s="295"/>
      <c r="T40" s="295"/>
      <c r="U40" s="295"/>
      <c r="V40" s="355" t="s">
        <v>69</v>
      </c>
      <c r="W40" s="62"/>
      <c r="X40" s="355">
        <f>SUM(X41:X42)</f>
        <v>339000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7" t="s">
        <v>491</v>
      </c>
      <c r="J41" s="296"/>
      <c r="K41" s="295"/>
      <c r="L41" s="295"/>
      <c r="M41" s="295">
        <v>3820000</v>
      </c>
      <c r="N41" s="295" t="s">
        <v>56</v>
      </c>
      <c r="O41" s="64" t="s">
        <v>57</v>
      </c>
      <c r="P41" s="274">
        <v>0.1</v>
      </c>
      <c r="Q41" s="295"/>
      <c r="R41" s="295"/>
      <c r="S41" s="295"/>
      <c r="T41" s="295"/>
      <c r="U41" s="295" t="s">
        <v>53</v>
      </c>
      <c r="V41" s="524"/>
      <c r="W41" s="524"/>
      <c r="X41" s="295">
        <f>ROUND(M41*P41,-3)-43000</f>
        <v>339000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7"/>
      <c r="J42" s="296"/>
      <c r="K42" s="295"/>
      <c r="L42" s="295"/>
      <c r="M42" s="295"/>
      <c r="N42" s="295"/>
      <c r="O42" s="64"/>
      <c r="P42" s="274"/>
      <c r="Q42" s="295"/>
      <c r="R42" s="295"/>
      <c r="S42" s="295"/>
      <c r="T42" s="295"/>
      <c r="U42" s="295"/>
      <c r="V42" s="524"/>
      <c r="W42" s="524"/>
      <c r="X42" s="295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8" t="s">
        <v>275</v>
      </c>
      <c r="J43" s="200"/>
      <c r="K43" s="199"/>
      <c r="L43" s="199"/>
      <c r="M43" s="295"/>
      <c r="N43" s="199"/>
      <c r="O43" s="199"/>
      <c r="P43" s="199"/>
      <c r="Q43" s="199"/>
      <c r="R43" s="199"/>
      <c r="S43" s="199"/>
      <c r="T43" s="199"/>
      <c r="U43" s="199"/>
      <c r="V43" s="201" t="s">
        <v>209</v>
      </c>
      <c r="W43" s="62"/>
      <c r="X43" s="201">
        <f>SUM(X44:X45)</f>
        <v>622000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7" t="s">
        <v>491</v>
      </c>
      <c r="J44" s="200"/>
      <c r="K44" s="199"/>
      <c r="L44" s="199"/>
      <c r="M44" s="295">
        <f>SUM(M28,M32,M35,M38,M41)</f>
        <v>75633000</v>
      </c>
      <c r="N44" s="44" t="s">
        <v>203</v>
      </c>
      <c r="O44" s="232" t="s">
        <v>204</v>
      </c>
      <c r="P44" s="66">
        <v>12</v>
      </c>
      <c r="Q44" s="180" t="s">
        <v>205</v>
      </c>
      <c r="R44" s="64" t="s">
        <v>207</v>
      </c>
      <c r="S44" s="274">
        <v>0.1</v>
      </c>
      <c r="T44" s="199"/>
      <c r="U44" s="199" t="s">
        <v>206</v>
      </c>
      <c r="V44" s="79"/>
      <c r="W44" s="79"/>
      <c r="X44" s="227">
        <f>ROUND(M44/P44*S44,-3)-8000</f>
        <v>622000</v>
      </c>
      <c r="Y44" s="264" t="s">
        <v>197</v>
      </c>
      <c r="Z44" s="174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7"/>
      <c r="J45" s="296"/>
      <c r="K45" s="295"/>
      <c r="L45" s="295"/>
      <c r="M45" s="295"/>
      <c r="N45" s="44"/>
      <c r="O45" s="427"/>
      <c r="P45" s="66"/>
      <c r="Q45" s="180"/>
      <c r="R45" s="64"/>
      <c r="S45" s="274"/>
      <c r="T45" s="295"/>
      <c r="U45" s="295"/>
      <c r="V45" s="295"/>
      <c r="W45" s="295"/>
      <c r="X45" s="58"/>
      <c r="Y45" s="264"/>
      <c r="Z45" s="295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8" t="s">
        <v>276</v>
      </c>
      <c r="J46" s="200"/>
      <c r="K46" s="199"/>
      <c r="L46" s="199"/>
      <c r="M46" s="295"/>
      <c r="N46" s="44"/>
      <c r="O46" s="199"/>
      <c r="P46" s="199"/>
      <c r="Q46" s="199"/>
      <c r="R46" s="199"/>
      <c r="S46" s="199"/>
      <c r="T46" s="199"/>
      <c r="U46" s="199"/>
      <c r="V46" s="201" t="s">
        <v>209</v>
      </c>
      <c r="W46" s="62"/>
      <c r="X46" s="201">
        <f>SUM(X47,X50,X53,X56,X59)</f>
        <v>789000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7" t="s">
        <v>277</v>
      </c>
      <c r="J47" s="200"/>
      <c r="K47" s="199"/>
      <c r="L47" s="199"/>
      <c r="M47" s="295"/>
      <c r="N47" s="44"/>
      <c r="O47" s="64"/>
      <c r="P47" s="233"/>
      <c r="Q47" s="232"/>
      <c r="R47" s="64"/>
      <c r="S47" s="274"/>
      <c r="T47" s="65"/>
      <c r="U47" s="232"/>
      <c r="V47" s="128"/>
      <c r="W47" s="129"/>
      <c r="X47" s="129">
        <f>SUM(X48:X49)</f>
        <v>319000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7" t="s">
        <v>491</v>
      </c>
      <c r="J48" s="296"/>
      <c r="K48" s="295"/>
      <c r="L48" s="295"/>
      <c r="M48" s="295">
        <f>M44</f>
        <v>75633000</v>
      </c>
      <c r="N48" s="44" t="s">
        <v>56</v>
      </c>
      <c r="O48" s="64" t="s">
        <v>57</v>
      </c>
      <c r="P48" s="233">
        <v>0.09</v>
      </c>
      <c r="Q48" s="427">
        <v>2</v>
      </c>
      <c r="R48" s="64" t="s">
        <v>57</v>
      </c>
      <c r="S48" s="274">
        <v>0.1</v>
      </c>
      <c r="T48" s="65"/>
      <c r="U48" s="427" t="s">
        <v>206</v>
      </c>
      <c r="V48" s="295"/>
      <c r="W48" s="58"/>
      <c r="X48" s="58">
        <f>ROUND(M48*P48/Q48*S48,-3)-21000</f>
        <v>319000</v>
      </c>
      <c r="Y48" s="47" t="s">
        <v>312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7"/>
      <c r="J49" s="296"/>
      <c r="K49" s="295"/>
      <c r="L49" s="295"/>
      <c r="M49" s="295"/>
      <c r="N49" s="44"/>
      <c r="O49" s="64"/>
      <c r="P49" s="233"/>
      <c r="Q49" s="427"/>
      <c r="R49" s="64"/>
      <c r="S49" s="274"/>
      <c r="T49" s="65"/>
      <c r="U49" s="427"/>
      <c r="V49" s="295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7" t="s">
        <v>278</v>
      </c>
      <c r="J50" s="200"/>
      <c r="K50" s="199"/>
      <c r="L50" s="199"/>
      <c r="M50" s="295"/>
      <c r="N50" s="44"/>
      <c r="O50" s="64"/>
      <c r="P50" s="234"/>
      <c r="Q50" s="232"/>
      <c r="R50" s="64"/>
      <c r="S50" s="274"/>
      <c r="T50" s="65"/>
      <c r="U50" s="232"/>
      <c r="V50" s="355"/>
      <c r="W50" s="62"/>
      <c r="X50" s="62">
        <f>SUM(X51:X52)</f>
        <v>281000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7" t="s">
        <v>491</v>
      </c>
      <c r="J51" s="296"/>
      <c r="K51" s="295"/>
      <c r="L51" s="295"/>
      <c r="M51" s="295">
        <f>M44</f>
        <v>75633000</v>
      </c>
      <c r="N51" s="44" t="s">
        <v>56</v>
      </c>
      <c r="O51" s="64" t="s">
        <v>57</v>
      </c>
      <c r="P51" s="234">
        <v>7.0900000000000005E-2</v>
      </c>
      <c r="Q51" s="427">
        <v>2</v>
      </c>
      <c r="R51" s="64" t="s">
        <v>57</v>
      </c>
      <c r="S51" s="274">
        <v>0.1</v>
      </c>
      <c r="T51" s="65"/>
      <c r="U51" s="427"/>
      <c r="V51" s="295"/>
      <c r="W51" s="58"/>
      <c r="X51" s="58">
        <f>ROUND(M51*P51/Q51*S51,-3)+13000</f>
        <v>281000</v>
      </c>
      <c r="Y51" s="47" t="s">
        <v>312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7"/>
      <c r="J52" s="296"/>
      <c r="K52" s="295"/>
      <c r="L52" s="295"/>
      <c r="M52" s="295"/>
      <c r="N52" s="44"/>
      <c r="O52" s="64"/>
      <c r="P52" s="234"/>
      <c r="Q52" s="427"/>
      <c r="R52" s="64"/>
      <c r="S52" s="274"/>
      <c r="T52" s="65"/>
      <c r="U52" s="427"/>
      <c r="V52" s="295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7" t="s">
        <v>279</v>
      </c>
      <c r="J53" s="200"/>
      <c r="K53" s="199"/>
      <c r="L53" s="199"/>
      <c r="M53" s="295"/>
      <c r="N53" s="44"/>
      <c r="O53" s="64"/>
      <c r="P53" s="68"/>
      <c r="Q53" s="69"/>
      <c r="R53" s="64"/>
      <c r="S53" s="67"/>
      <c r="T53" s="70"/>
      <c r="U53" s="232"/>
      <c r="V53" s="355"/>
      <c r="W53" s="62"/>
      <c r="X53" s="62">
        <f>SUM(X54:X55)</f>
        <v>36000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7" t="s">
        <v>491</v>
      </c>
      <c r="J54" s="296"/>
      <c r="K54" s="295"/>
      <c r="L54" s="295"/>
      <c r="M54" s="295">
        <f t="shared" ref="M54" si="12">X51</f>
        <v>281000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7"/>
      <c r="V54" s="295"/>
      <c r="W54" s="58"/>
      <c r="X54" s="58">
        <f>ROUND(M54*P54,-3)</f>
        <v>36000</v>
      </c>
      <c r="Y54" s="47" t="s">
        <v>312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7"/>
      <c r="J55" s="296"/>
      <c r="K55" s="295"/>
      <c r="L55" s="295"/>
      <c r="M55" s="295"/>
      <c r="N55" s="44"/>
      <c r="O55" s="64"/>
      <c r="P55" s="68"/>
      <c r="Q55" s="69"/>
      <c r="R55" s="64"/>
      <c r="S55" s="67"/>
      <c r="T55" s="70"/>
      <c r="U55" s="427"/>
      <c r="V55" s="295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7" t="s">
        <v>280</v>
      </c>
      <c r="J56" s="200"/>
      <c r="K56" s="199"/>
      <c r="L56" s="199"/>
      <c r="M56" s="295"/>
      <c r="N56" s="44"/>
      <c r="O56" s="64"/>
      <c r="P56" s="68"/>
      <c r="Q56" s="64"/>
      <c r="R56" s="64"/>
      <c r="S56" s="274"/>
      <c r="T56" s="65"/>
      <c r="U56" s="232"/>
      <c r="V56" s="355"/>
      <c r="W56" s="62"/>
      <c r="X56" s="62">
        <f>SUM(X57:X58)</f>
        <v>92000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7" t="s">
        <v>491</v>
      </c>
      <c r="J57" s="296"/>
      <c r="K57" s="295"/>
      <c r="L57" s="295"/>
      <c r="M57" s="295">
        <f>M44</f>
        <v>75633000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4">
        <v>0.1</v>
      </c>
      <c r="T57" s="65"/>
      <c r="U57" s="427" t="s">
        <v>206</v>
      </c>
      <c r="V57" s="295"/>
      <c r="W57" s="58"/>
      <c r="X57" s="58">
        <f>ROUND(M57*P57*S57,-3)+5000</f>
        <v>92000</v>
      </c>
      <c r="Y57" s="47" t="s">
        <v>312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7"/>
      <c r="J58" s="296"/>
      <c r="K58" s="295"/>
      <c r="L58" s="295"/>
      <c r="M58" s="295"/>
      <c r="N58" s="44"/>
      <c r="O58" s="64"/>
      <c r="P58" s="68"/>
      <c r="Q58" s="64"/>
      <c r="R58" s="64"/>
      <c r="S58" s="274"/>
      <c r="T58" s="65"/>
      <c r="U58" s="427"/>
      <c r="V58" s="295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7" t="s">
        <v>281</v>
      </c>
      <c r="J59" s="200"/>
      <c r="K59" s="199"/>
      <c r="L59" s="199"/>
      <c r="M59" s="295"/>
      <c r="N59" s="44"/>
      <c r="O59" s="64"/>
      <c r="P59" s="270"/>
      <c r="Q59" s="64"/>
      <c r="R59" s="64"/>
      <c r="S59" s="274"/>
      <c r="T59" s="65"/>
      <c r="U59" s="232"/>
      <c r="V59" s="355"/>
      <c r="W59" s="62"/>
      <c r="X59" s="62">
        <f>SUM(X60:X61)</f>
        <v>61000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7" t="s">
        <v>491</v>
      </c>
      <c r="J60" s="296"/>
      <c r="K60" s="295"/>
      <c r="L60" s="295"/>
      <c r="M60" s="295">
        <f>M44</f>
        <v>75633000</v>
      </c>
      <c r="N60" s="44" t="s">
        <v>56</v>
      </c>
      <c r="O60" s="64" t="s">
        <v>57</v>
      </c>
      <c r="P60" s="270">
        <v>7.6E-3</v>
      </c>
      <c r="Q60" s="64"/>
      <c r="R60" s="64" t="s">
        <v>57</v>
      </c>
      <c r="S60" s="274">
        <v>0.1</v>
      </c>
      <c r="T60" s="65"/>
      <c r="U60" s="427" t="s">
        <v>206</v>
      </c>
      <c r="V60" s="295"/>
      <c r="W60" s="58"/>
      <c r="X60" s="58">
        <f>ROUNDUP(M60*P60*S60,-3)+3000</f>
        <v>61000</v>
      </c>
      <c r="Y60" s="47" t="s">
        <v>312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7"/>
      <c r="J61" s="296"/>
      <c r="K61" s="295"/>
      <c r="L61" s="295"/>
      <c r="M61" s="295"/>
      <c r="N61" s="44"/>
      <c r="O61" s="64"/>
      <c r="P61" s="270"/>
      <c r="Q61" s="64"/>
      <c r="R61" s="64"/>
      <c r="S61" s="274"/>
      <c r="T61" s="65"/>
      <c r="U61" s="427"/>
      <c r="V61" s="295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2"/>
      <c r="J62" s="62"/>
      <c r="K62" s="221"/>
      <c r="L62" s="221"/>
      <c r="M62" s="201"/>
      <c r="N62" s="201"/>
      <c r="O62" s="222"/>
      <c r="P62" s="201"/>
      <c r="Q62" s="117"/>
      <c r="R62" s="223"/>
      <c r="S62" s="72"/>
      <c r="T62" s="172"/>
      <c r="U62" s="172"/>
      <c r="V62" s="224"/>
      <c r="W62" s="202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970</v>
      </c>
      <c r="F63" s="216">
        <f>ROUND(X63/1000,0)</f>
        <v>1020</v>
      </c>
      <c r="G63" s="30">
        <f t="shared" ref="G63" si="13">F63-E63</f>
        <v>50</v>
      </c>
      <c r="H63" s="109">
        <f t="shared" ref="H63" si="14">IF(E63=0,0,G63/E63)</f>
        <v>5.1546391752577317E-2</v>
      </c>
      <c r="I63" s="228" t="s">
        <v>211</v>
      </c>
      <c r="J63" s="227"/>
      <c r="K63" s="235"/>
      <c r="L63" s="235"/>
      <c r="M63" s="79"/>
      <c r="N63" s="79"/>
      <c r="O63" s="217"/>
      <c r="P63" s="79"/>
      <c r="Q63" s="218"/>
      <c r="R63" s="225"/>
      <c r="S63" s="226"/>
      <c r="T63" s="231"/>
      <c r="U63" s="231"/>
      <c r="V63" s="229" t="s">
        <v>192</v>
      </c>
      <c r="W63" s="230"/>
      <c r="X63" s="230">
        <f>SUM(X64:X67)</f>
        <v>1020000</v>
      </c>
      <c r="Y63" s="263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200" t="s">
        <v>212</v>
      </c>
      <c r="J64" s="58"/>
      <c r="K64" s="183"/>
      <c r="L64" s="183"/>
      <c r="M64" s="273">
        <v>2549000</v>
      </c>
      <c r="N64" s="273" t="s">
        <v>25</v>
      </c>
      <c r="O64" s="370" t="s">
        <v>26</v>
      </c>
      <c r="P64" s="371">
        <v>4</v>
      </c>
      <c r="Q64" s="372" t="s">
        <v>55</v>
      </c>
      <c r="R64" s="333" t="s">
        <v>299</v>
      </c>
      <c r="S64" s="373">
        <v>0.1</v>
      </c>
      <c r="T64" s="336"/>
      <c r="U64" s="334" t="s">
        <v>300</v>
      </c>
      <c r="V64" s="580"/>
      <c r="W64" s="580"/>
      <c r="X64" s="58">
        <f>ROUND(M64*P64*S64,-3)</f>
        <v>1020000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4"/>
      <c r="J65" s="58"/>
      <c r="K65" s="183"/>
      <c r="L65" s="183"/>
      <c r="M65" s="283"/>
      <c r="N65" s="283"/>
      <c r="O65" s="45"/>
      <c r="P65" s="282"/>
      <c r="Q65" s="283"/>
      <c r="R65" s="64"/>
      <c r="S65" s="274"/>
      <c r="T65" s="283"/>
      <c r="U65" s="283"/>
      <c r="V65" s="282"/>
      <c r="W65" s="282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8" t="s">
        <v>301</v>
      </c>
      <c r="J66" s="278"/>
      <c r="K66" s="369"/>
      <c r="L66" s="369"/>
      <c r="M66" s="273"/>
      <c r="N66" s="273"/>
      <c r="O66" s="370"/>
      <c r="P66" s="273"/>
      <c r="Q66" s="372"/>
      <c r="R66" s="376"/>
      <c r="S66" s="377"/>
      <c r="T66" s="334"/>
      <c r="U66" s="334"/>
      <c r="V66" s="374"/>
      <c r="W66" s="277"/>
      <c r="X66" s="278"/>
      <c r="Y66" s="303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80" t="s">
        <v>303</v>
      </c>
      <c r="J67" s="278"/>
      <c r="K67" s="369"/>
      <c r="L67" s="369"/>
      <c r="M67" s="273">
        <v>0</v>
      </c>
      <c r="N67" s="273" t="s">
        <v>25</v>
      </c>
      <c r="O67" s="370" t="s">
        <v>26</v>
      </c>
      <c r="P67" s="375">
        <v>0.5</v>
      </c>
      <c r="Q67" s="372"/>
      <c r="R67" s="376"/>
      <c r="S67" s="377"/>
      <c r="T67" s="334"/>
      <c r="U67" s="334"/>
      <c r="V67" s="374"/>
      <c r="W67" s="277" t="s">
        <v>27</v>
      </c>
      <c r="X67" s="278">
        <f>M67*P67</f>
        <v>0</v>
      </c>
      <c r="Y67" s="303" t="s">
        <v>298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2"/>
      <c r="J68" s="62"/>
      <c r="K68" s="221"/>
      <c r="L68" s="221"/>
      <c r="M68" s="201"/>
      <c r="N68" s="201"/>
      <c r="O68" s="222"/>
      <c r="P68" s="201"/>
      <c r="Q68" s="117"/>
      <c r="R68" s="223"/>
      <c r="S68" s="72"/>
      <c r="T68" s="172"/>
      <c r="U68" s="172"/>
      <c r="V68" s="224"/>
      <c r="W68" s="202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493</v>
      </c>
      <c r="F69" s="216">
        <f>ROUND(X69/1000,0)</f>
        <v>493</v>
      </c>
      <c r="G69" s="30">
        <f t="shared" ref="G69" si="15">F69-E69</f>
        <v>0</v>
      </c>
      <c r="H69" s="109">
        <f t="shared" ref="H69" si="16">IF(E69=0,0,G69/E69)</f>
        <v>0</v>
      </c>
      <c r="I69" s="228" t="s">
        <v>215</v>
      </c>
      <c r="J69" s="227"/>
      <c r="K69" s="235"/>
      <c r="L69" s="235"/>
      <c r="M69" s="79"/>
      <c r="N69" s="79"/>
      <c r="O69" s="217"/>
      <c r="P69" s="79"/>
      <c r="Q69" s="218"/>
      <c r="R69" s="225"/>
      <c r="S69" s="226"/>
      <c r="T69" s="231"/>
      <c r="U69" s="231"/>
      <c r="V69" s="229" t="s">
        <v>192</v>
      </c>
      <c r="W69" s="230"/>
      <c r="X69" s="230">
        <f>SUM(X70:X75)</f>
        <v>493000</v>
      </c>
      <c r="Y69" s="263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200"/>
      <c r="K70" s="199"/>
      <c r="L70" s="199"/>
      <c r="M70" s="199">
        <v>500</v>
      </c>
      <c r="N70" s="199" t="s">
        <v>203</v>
      </c>
      <c r="O70" s="200" t="s">
        <v>207</v>
      </c>
      <c r="P70" s="237">
        <v>4</v>
      </c>
      <c r="Q70" s="238">
        <v>365</v>
      </c>
      <c r="R70" s="199" t="s">
        <v>217</v>
      </c>
      <c r="S70" s="275">
        <v>0.3</v>
      </c>
      <c r="T70" s="199"/>
      <c r="U70" s="199" t="s">
        <v>206</v>
      </c>
      <c r="V70" s="199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200"/>
      <c r="K71" s="199"/>
      <c r="L71" s="199"/>
      <c r="M71" s="199">
        <v>5000</v>
      </c>
      <c r="N71" s="199" t="s">
        <v>203</v>
      </c>
      <c r="O71" s="200" t="s">
        <v>207</v>
      </c>
      <c r="P71" s="237">
        <v>4</v>
      </c>
      <c r="Q71" s="238">
        <v>12</v>
      </c>
      <c r="R71" s="199" t="s">
        <v>205</v>
      </c>
      <c r="S71" s="275">
        <v>0.3</v>
      </c>
      <c r="T71" s="199"/>
      <c r="U71" s="199" t="s">
        <v>206</v>
      </c>
      <c r="V71" s="199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200"/>
      <c r="K72" s="199"/>
      <c r="L72" s="199"/>
      <c r="M72" s="199">
        <v>20000</v>
      </c>
      <c r="N72" s="199" t="s">
        <v>203</v>
      </c>
      <c r="O72" s="200" t="s">
        <v>207</v>
      </c>
      <c r="P72" s="237">
        <v>4</v>
      </c>
      <c r="Q72" s="238">
        <v>4</v>
      </c>
      <c r="R72" s="199" t="s">
        <v>220</v>
      </c>
      <c r="S72" s="275">
        <v>0.3</v>
      </c>
      <c r="T72" s="199"/>
      <c r="U72" s="199" t="s">
        <v>206</v>
      </c>
      <c r="V72" s="199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437</v>
      </c>
      <c r="J73" s="200"/>
      <c r="K73" s="199"/>
      <c r="L73" s="199"/>
      <c r="M73" s="199">
        <v>12000</v>
      </c>
      <c r="N73" s="199" t="s">
        <v>203</v>
      </c>
      <c r="O73" s="200" t="s">
        <v>207</v>
      </c>
      <c r="P73" s="237">
        <v>4</v>
      </c>
      <c r="Q73" s="238">
        <v>4</v>
      </c>
      <c r="R73" s="199" t="s">
        <v>220</v>
      </c>
      <c r="S73" s="275">
        <v>0.3</v>
      </c>
      <c r="T73" s="199"/>
      <c r="U73" s="199" t="s">
        <v>206</v>
      </c>
      <c r="V73" s="199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200"/>
      <c r="K74" s="199"/>
      <c r="L74" s="199"/>
      <c r="M74" s="199"/>
      <c r="N74" s="199"/>
      <c r="O74" s="200"/>
      <c r="P74" s="237"/>
      <c r="Q74" s="238"/>
      <c r="R74" s="199"/>
      <c r="S74" s="199">
        <v>0.3</v>
      </c>
      <c r="T74" s="199"/>
      <c r="U74" s="199"/>
      <c r="V74" s="199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200"/>
      <c r="K75" s="199"/>
      <c r="L75" s="199"/>
      <c r="M75" s="199">
        <v>40000</v>
      </c>
      <c r="N75" s="199" t="s">
        <v>203</v>
      </c>
      <c r="O75" s="200" t="s">
        <v>207</v>
      </c>
      <c r="P75" s="237">
        <v>4</v>
      </c>
      <c r="Q75" s="238">
        <v>1</v>
      </c>
      <c r="R75" s="199" t="s">
        <v>220</v>
      </c>
      <c r="S75" s="275">
        <v>0.3</v>
      </c>
      <c r="T75" s="199"/>
      <c r="U75" s="199" t="s">
        <v>206</v>
      </c>
      <c r="V75" s="199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2"/>
      <c r="J76" s="62"/>
      <c r="K76" s="221"/>
      <c r="L76" s="221"/>
      <c r="M76" s="201"/>
      <c r="N76" s="201"/>
      <c r="O76" s="222"/>
      <c r="P76" s="201"/>
      <c r="Q76" s="117"/>
      <c r="R76" s="223"/>
      <c r="S76" s="72"/>
      <c r="T76" s="172"/>
      <c r="U76" s="172"/>
      <c r="V76" s="224"/>
      <c r="W76" s="202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200</v>
      </c>
      <c r="F77" s="216">
        <f>ROUND(X77/1000,0)</f>
        <v>200</v>
      </c>
      <c r="G77" s="30">
        <f t="shared" ref="G77" si="17">F77-E77</f>
        <v>0</v>
      </c>
      <c r="H77" s="109">
        <f t="shared" ref="H77" si="18">IF(E77=0,0,G77/E77)</f>
        <v>0</v>
      </c>
      <c r="I77" s="228" t="s">
        <v>314</v>
      </c>
      <c r="J77" s="227"/>
      <c r="K77" s="235"/>
      <c r="L77" s="235"/>
      <c r="M77" s="79"/>
      <c r="N77" s="79"/>
      <c r="O77" s="217"/>
      <c r="P77" s="79"/>
      <c r="Q77" s="218"/>
      <c r="R77" s="225"/>
      <c r="S77" s="226"/>
      <c r="T77" s="231"/>
      <c r="U77" s="231"/>
      <c r="V77" s="229" t="s">
        <v>192</v>
      </c>
      <c r="W77" s="230"/>
      <c r="X77" s="230">
        <f>X78</f>
        <v>200000</v>
      </c>
      <c r="Y77" s="263" t="s">
        <v>56</v>
      </c>
      <c r="Z77" s="6"/>
    </row>
    <row r="78" spans="1:26" s="11" customFormat="1" ht="19.5" customHeight="1">
      <c r="A78" s="50"/>
      <c r="B78" s="38"/>
      <c r="C78" s="38"/>
      <c r="D78" s="38" t="s">
        <v>315</v>
      </c>
      <c r="E78" s="40"/>
      <c r="F78" s="40"/>
      <c r="G78" s="41"/>
      <c r="H78" s="60"/>
      <c r="I78" s="287" t="s">
        <v>282</v>
      </c>
      <c r="J78" s="200"/>
      <c r="K78" s="199"/>
      <c r="L78" s="199"/>
      <c r="M78" s="240">
        <v>2000000</v>
      </c>
      <c r="N78" s="59" t="s">
        <v>203</v>
      </c>
      <c r="O78" s="59" t="s">
        <v>207</v>
      </c>
      <c r="P78" s="67">
        <v>0.1</v>
      </c>
      <c r="Q78" s="238"/>
      <c r="R78" s="59"/>
      <c r="S78" s="239"/>
      <c r="T78" s="59"/>
      <c r="U78" s="59" t="s">
        <v>208</v>
      </c>
      <c r="V78" s="199"/>
      <c r="W78" s="58"/>
      <c r="X78" s="199">
        <f>M78*P78</f>
        <v>200000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2"/>
      <c r="J79" s="62"/>
      <c r="K79" s="221"/>
      <c r="L79" s="221"/>
      <c r="M79" s="201"/>
      <c r="N79" s="201"/>
      <c r="O79" s="222"/>
      <c r="P79" s="201"/>
      <c r="Q79" s="117"/>
      <c r="R79" s="223"/>
      <c r="S79" s="201"/>
      <c r="T79" s="172"/>
      <c r="U79" s="172"/>
      <c r="V79" s="224"/>
      <c r="W79" s="202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224</v>
      </c>
      <c r="E80" s="40">
        <v>0</v>
      </c>
      <c r="F80" s="216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227</v>
      </c>
      <c r="J80" s="58"/>
      <c r="K80" s="183"/>
      <c r="L80" s="183"/>
      <c r="M80" s="199"/>
      <c r="N80" s="199"/>
      <c r="O80" s="180"/>
      <c r="P80" s="199"/>
      <c r="Q80" s="44"/>
      <c r="R80" s="182"/>
      <c r="S80" s="46"/>
      <c r="T80" s="232"/>
      <c r="U80" s="232"/>
      <c r="V80" s="201" t="s">
        <v>226</v>
      </c>
      <c r="W80" s="62"/>
      <c r="X80" s="201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225</v>
      </c>
      <c r="E81" s="40"/>
      <c r="F81" s="40"/>
      <c r="G81" s="41"/>
      <c r="H81" s="60"/>
      <c r="I81" s="277" t="s">
        <v>302</v>
      </c>
      <c r="J81" s="58"/>
      <c r="K81" s="183"/>
      <c r="L81" s="183"/>
      <c r="M81" s="240">
        <v>0</v>
      </c>
      <c r="N81" s="59" t="s">
        <v>203</v>
      </c>
      <c r="O81" s="59" t="s">
        <v>207</v>
      </c>
      <c r="P81" s="67">
        <v>0.2</v>
      </c>
      <c r="Q81" s="238"/>
      <c r="R81" s="59"/>
      <c r="S81" s="239"/>
      <c r="T81" s="59"/>
      <c r="U81" s="59" t="s">
        <v>208</v>
      </c>
      <c r="V81" s="199"/>
      <c r="W81" s="58"/>
      <c r="X81" s="199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2"/>
      <c r="J82" s="201"/>
      <c r="K82" s="76"/>
      <c r="L82" s="76"/>
      <c r="M82" s="201"/>
      <c r="N82" s="201"/>
      <c r="O82" s="202"/>
      <c r="P82" s="201"/>
      <c r="Q82" s="201"/>
      <c r="R82" s="202"/>
      <c r="S82" s="202"/>
      <c r="T82" s="202"/>
      <c r="U82" s="202"/>
      <c r="V82" s="202"/>
      <c r="W82" s="202"/>
      <c r="X82" s="201"/>
      <c r="Y82" s="63"/>
      <c r="Z82" s="6"/>
    </row>
    <row r="83" spans="1:26" ht="21" customHeight="1">
      <c r="A83" s="37"/>
      <c r="B83" s="38"/>
      <c r="C83" s="38" t="s">
        <v>143</v>
      </c>
      <c r="D83" s="259" t="s">
        <v>109</v>
      </c>
      <c r="E83" s="192">
        <f>SUM(E84:E140)</f>
        <v>89674</v>
      </c>
      <c r="F83" s="192">
        <f>SUM(F84:F140)</f>
        <v>92323</v>
      </c>
      <c r="G83" s="193">
        <f t="shared" ref="G83:G84" si="21">F83-E83</f>
        <v>2649</v>
      </c>
      <c r="H83" s="194">
        <f t="shared" ref="H83:H84" si="22">IF(E83=0,0,G83/E83)</f>
        <v>2.9540334991190312E-2</v>
      </c>
      <c r="I83" s="176" t="s">
        <v>144</v>
      </c>
      <c r="J83" s="177"/>
      <c r="K83" s="178"/>
      <c r="L83" s="178"/>
      <c r="M83" s="178"/>
      <c r="N83" s="178"/>
      <c r="O83" s="178"/>
      <c r="P83" s="179"/>
      <c r="Q83" s="179"/>
      <c r="R83" s="179"/>
      <c r="S83" s="179"/>
      <c r="T83" s="179"/>
      <c r="U83" s="179"/>
      <c r="V83" s="213" t="s">
        <v>69</v>
      </c>
      <c r="W83" s="214"/>
      <c r="X83" s="215">
        <f>SUM(X84,X87,X124,X127,X135,X138)</f>
        <v>92323000</v>
      </c>
      <c r="Y83" s="262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6">
        <v>0</v>
      </c>
      <c r="F84" s="216">
        <f>ROUND(X84/1000,0)</f>
        <v>0</v>
      </c>
      <c r="G84" s="269">
        <f t="shared" si="21"/>
        <v>0</v>
      </c>
      <c r="H84" s="157">
        <f t="shared" si="22"/>
        <v>0</v>
      </c>
      <c r="I84" s="127" t="s">
        <v>191</v>
      </c>
      <c r="J84" s="139"/>
      <c r="K84" s="79"/>
      <c r="L84" s="79"/>
      <c r="M84" s="79"/>
      <c r="N84" s="231"/>
      <c r="O84" s="217"/>
      <c r="P84" s="79"/>
      <c r="Q84" s="218"/>
      <c r="R84" s="219"/>
      <c r="S84" s="220"/>
      <c r="T84" s="220"/>
      <c r="U84" s="231"/>
      <c r="V84" s="198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7" t="s">
        <v>269</v>
      </c>
      <c r="J85" s="296"/>
      <c r="K85" s="295"/>
      <c r="L85" s="295"/>
      <c r="M85" s="295">
        <v>0</v>
      </c>
      <c r="N85" s="424" t="s">
        <v>25</v>
      </c>
      <c r="O85" s="180" t="s">
        <v>26</v>
      </c>
      <c r="P85" s="425">
        <v>0</v>
      </c>
      <c r="Q85" s="44" t="s">
        <v>108</v>
      </c>
      <c r="R85" s="181" t="s">
        <v>26</v>
      </c>
      <c r="S85" s="184">
        <v>0</v>
      </c>
      <c r="T85" s="184" t="s">
        <v>29</v>
      </c>
      <c r="U85" s="424" t="s">
        <v>26</v>
      </c>
      <c r="V85" s="236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21"/>
      <c r="L86" s="221"/>
      <c r="M86" s="201"/>
      <c r="N86" s="201"/>
      <c r="O86" s="222"/>
      <c r="P86" s="201"/>
      <c r="Q86" s="117"/>
      <c r="R86" s="223"/>
      <c r="S86" s="72"/>
      <c r="T86" s="172"/>
      <c r="U86" s="172"/>
      <c r="V86" s="224"/>
      <c r="W86" s="202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77995</v>
      </c>
      <c r="F87" s="216">
        <f>ROUND(X87/1000,0)</f>
        <v>79898</v>
      </c>
      <c r="G87" s="30">
        <f t="shared" ref="G87" si="23">F87-E87</f>
        <v>1903</v>
      </c>
      <c r="H87" s="109">
        <f t="shared" ref="H87" si="24">IF(E87=0,0,G87/E87)</f>
        <v>2.4398999935893326E-2</v>
      </c>
      <c r="I87" s="228" t="s">
        <v>313</v>
      </c>
      <c r="J87" s="227"/>
      <c r="K87" s="235"/>
      <c r="L87" s="235"/>
      <c r="M87" s="79"/>
      <c r="N87" s="79"/>
      <c r="O87" s="217"/>
      <c r="P87" s="79"/>
      <c r="Q87" s="218"/>
      <c r="R87" s="225"/>
      <c r="S87" s="226"/>
      <c r="T87" s="428"/>
      <c r="U87" s="428"/>
      <c r="V87" s="229" t="s">
        <v>192</v>
      </c>
      <c r="W87" s="230"/>
      <c r="X87" s="230">
        <f>SUM(X88,X91,X107,X104)</f>
        <v>79898000</v>
      </c>
      <c r="Y87" s="263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8" t="s">
        <v>270</v>
      </c>
      <c r="J88" s="296"/>
      <c r="K88" s="295"/>
      <c r="L88" s="295"/>
      <c r="M88" s="295"/>
      <c r="N88" s="295"/>
      <c r="O88" s="64"/>
      <c r="P88" s="274"/>
      <c r="Q88" s="295"/>
      <c r="R88" s="295"/>
      <c r="S88" s="295"/>
      <c r="T88" s="295"/>
      <c r="U88" s="295"/>
      <c r="V88" s="355" t="s">
        <v>69</v>
      </c>
      <c r="W88" s="62"/>
      <c r="X88" s="439">
        <f>SUM(X89:X90)</f>
        <v>48317000</v>
      </c>
      <c r="Y88" s="440" t="s">
        <v>309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7" t="s">
        <v>491</v>
      </c>
      <c r="J89" s="296"/>
      <c r="K89" s="295"/>
      <c r="L89" s="295"/>
      <c r="M89" s="295">
        <f>M28</f>
        <v>53685000</v>
      </c>
      <c r="N89" s="295" t="s">
        <v>56</v>
      </c>
      <c r="O89" s="64" t="s">
        <v>57</v>
      </c>
      <c r="P89" s="274">
        <v>0.9</v>
      </c>
      <c r="Q89" s="295"/>
      <c r="R89" s="295"/>
      <c r="S89" s="295"/>
      <c r="T89" s="295"/>
      <c r="U89" s="295" t="s">
        <v>311</v>
      </c>
      <c r="V89" s="295"/>
      <c r="W89" s="58"/>
      <c r="X89" s="295">
        <f>ROUND(M89*P89,-3)</f>
        <v>48317000</v>
      </c>
      <c r="Y89" s="47" t="s">
        <v>309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7"/>
      <c r="J90" s="296"/>
      <c r="K90" s="295"/>
      <c r="L90" s="295"/>
      <c r="M90" s="295"/>
      <c r="N90" s="295"/>
      <c r="O90" s="64"/>
      <c r="P90" s="274"/>
      <c r="Q90" s="295"/>
      <c r="R90" s="295"/>
      <c r="S90" s="295"/>
      <c r="T90" s="295"/>
      <c r="U90" s="295"/>
      <c r="V90" s="295"/>
      <c r="W90" s="58"/>
      <c r="X90" s="295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8" t="s">
        <v>271</v>
      </c>
      <c r="J91" s="296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55"/>
      <c r="W91" s="441"/>
      <c r="X91" s="55">
        <f>SUM(X92,X95,X98,X101)</f>
        <v>18878000</v>
      </c>
      <c r="Y91" s="263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7" t="s">
        <v>272</v>
      </c>
      <c r="J92" s="296"/>
      <c r="K92" s="295"/>
      <c r="L92" s="295"/>
      <c r="M92" s="295"/>
      <c r="N92" s="295"/>
      <c r="O92" s="64"/>
      <c r="P92" s="274"/>
      <c r="Q92" s="295"/>
      <c r="R92" s="295"/>
      <c r="S92" s="295"/>
      <c r="T92" s="295"/>
      <c r="U92" s="295"/>
      <c r="V92" s="355" t="s">
        <v>69</v>
      </c>
      <c r="W92" s="62"/>
      <c r="X92" s="355">
        <f>SUM(X93:X94)</f>
        <v>5034000</v>
      </c>
      <c r="Y92" s="63" t="s">
        <v>309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7" t="s">
        <v>491</v>
      </c>
      <c r="J93" s="296"/>
      <c r="K93" s="295"/>
      <c r="L93" s="295"/>
      <c r="M93" s="295">
        <f>M32</f>
        <v>5593000</v>
      </c>
      <c r="N93" s="295" t="s">
        <v>56</v>
      </c>
      <c r="O93" s="64" t="s">
        <v>57</v>
      </c>
      <c r="P93" s="274">
        <v>0.9</v>
      </c>
      <c r="Q93" s="295"/>
      <c r="R93" s="295"/>
      <c r="S93" s="295"/>
      <c r="T93" s="295"/>
      <c r="U93" s="295" t="s">
        <v>208</v>
      </c>
      <c r="V93" s="427"/>
      <c r="W93" s="427"/>
      <c r="X93" s="295">
        <f>ROUND(M93*P93,-3)</f>
        <v>5034000</v>
      </c>
      <c r="Y93" s="47" t="s">
        <v>312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7"/>
      <c r="J94" s="296"/>
      <c r="K94" s="295"/>
      <c r="L94" s="295"/>
      <c r="M94" s="295"/>
      <c r="N94" s="295"/>
      <c r="O94" s="64"/>
      <c r="P94" s="274"/>
      <c r="Q94" s="295"/>
      <c r="R94" s="295"/>
      <c r="S94" s="295"/>
      <c r="T94" s="295"/>
      <c r="U94" s="295"/>
      <c r="V94" s="427"/>
      <c r="W94" s="427"/>
      <c r="X94" s="295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7" t="s">
        <v>273</v>
      </c>
      <c r="J95" s="296"/>
      <c r="K95" s="295"/>
      <c r="L95" s="295"/>
      <c r="M95" s="295"/>
      <c r="N95" s="295"/>
      <c r="O95" s="64"/>
      <c r="P95" s="274"/>
      <c r="Q95" s="295"/>
      <c r="R95" s="295"/>
      <c r="S95" s="295"/>
      <c r="T95" s="295"/>
      <c r="U95" s="295"/>
      <c r="V95" s="355" t="s">
        <v>69</v>
      </c>
      <c r="W95" s="62"/>
      <c r="X95" s="355">
        <f>SUM(X96:X97)</f>
        <v>1404000</v>
      </c>
      <c r="Y95" s="63" t="s">
        <v>309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7" t="s">
        <v>310</v>
      </c>
      <c r="J96" s="296"/>
      <c r="K96" s="295"/>
      <c r="L96" s="295"/>
      <c r="M96" s="295">
        <f>M35</f>
        <v>1560000</v>
      </c>
      <c r="N96" s="295" t="s">
        <v>56</v>
      </c>
      <c r="O96" s="64" t="s">
        <v>57</v>
      </c>
      <c r="P96" s="274">
        <v>0.9</v>
      </c>
      <c r="Q96" s="295"/>
      <c r="R96" s="295"/>
      <c r="S96" s="295"/>
      <c r="T96" s="295"/>
      <c r="U96" s="295" t="s">
        <v>208</v>
      </c>
      <c r="V96" s="427"/>
      <c r="W96" s="427"/>
      <c r="X96" s="295">
        <f>ROUND(M96*P96,-3)</f>
        <v>1404000</v>
      </c>
      <c r="Y96" s="47" t="s">
        <v>312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7"/>
      <c r="J97" s="296"/>
      <c r="K97" s="295"/>
      <c r="L97" s="295"/>
      <c r="M97" s="295"/>
      <c r="N97" s="295"/>
      <c r="O97" s="64"/>
      <c r="P97" s="274"/>
      <c r="Q97" s="295"/>
      <c r="R97" s="295"/>
      <c r="S97" s="295"/>
      <c r="T97" s="295"/>
      <c r="U97" s="295"/>
      <c r="V97" s="427"/>
      <c r="W97" s="427"/>
      <c r="X97" s="295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7" t="s">
        <v>274</v>
      </c>
      <c r="J98" s="296"/>
      <c r="K98" s="295"/>
      <c r="L98" s="295"/>
      <c r="M98" s="295"/>
      <c r="N98" s="295"/>
      <c r="O98" s="64"/>
      <c r="P98" s="274"/>
      <c r="Q98" s="295"/>
      <c r="R98" s="295"/>
      <c r="S98" s="295"/>
      <c r="T98" s="295"/>
      <c r="U98" s="295"/>
      <c r="V98" s="355" t="s">
        <v>69</v>
      </c>
      <c r="W98" s="62"/>
      <c r="X98" s="355">
        <f>SUM(X99:X100)</f>
        <v>9393000</v>
      </c>
      <c r="Y98" s="63" t="s">
        <v>309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7" t="s">
        <v>491</v>
      </c>
      <c r="J99" s="296"/>
      <c r="K99" s="295"/>
      <c r="L99" s="295"/>
      <c r="M99" s="295">
        <f>M38</f>
        <v>10975000</v>
      </c>
      <c r="N99" s="295" t="s">
        <v>56</v>
      </c>
      <c r="O99" s="64" t="s">
        <v>57</v>
      </c>
      <c r="P99" s="274">
        <v>0.9</v>
      </c>
      <c r="Q99" s="295"/>
      <c r="R99" s="295"/>
      <c r="S99" s="295"/>
      <c r="T99" s="295"/>
      <c r="U99" s="295" t="s">
        <v>208</v>
      </c>
      <c r="V99" s="427"/>
      <c r="W99" s="427"/>
      <c r="X99" s="434">
        <f>ROUND(M99*P99,-3)-485000</f>
        <v>9393000</v>
      </c>
      <c r="Y99" s="47" t="s">
        <v>312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7"/>
      <c r="J100" s="296"/>
      <c r="K100" s="295"/>
      <c r="L100" s="295"/>
      <c r="M100" s="295"/>
      <c r="N100" s="295"/>
      <c r="O100" s="64"/>
      <c r="P100" s="274"/>
      <c r="Q100" s="295"/>
      <c r="R100" s="295"/>
      <c r="S100" s="295"/>
      <c r="T100" s="295"/>
      <c r="U100" s="295"/>
      <c r="V100" s="427"/>
      <c r="W100" s="427"/>
      <c r="X100" s="295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7" t="s">
        <v>496</v>
      </c>
      <c r="J101" s="296"/>
      <c r="K101" s="295"/>
      <c r="L101" s="295"/>
      <c r="M101" s="295"/>
      <c r="N101" s="295"/>
      <c r="O101" s="64"/>
      <c r="P101" s="274"/>
      <c r="Q101" s="295"/>
      <c r="R101" s="295"/>
      <c r="S101" s="295"/>
      <c r="T101" s="295"/>
      <c r="U101" s="295"/>
      <c r="V101" s="355" t="s">
        <v>69</v>
      </c>
      <c r="W101" s="62"/>
      <c r="X101" s="355">
        <f>SUM(X102:X103)</f>
        <v>3047000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7" t="s">
        <v>491</v>
      </c>
      <c r="J102" s="296"/>
      <c r="K102" s="295"/>
      <c r="L102" s="295"/>
      <c r="M102" s="295">
        <f>M41</f>
        <v>3820000</v>
      </c>
      <c r="N102" s="295" t="s">
        <v>56</v>
      </c>
      <c r="O102" s="64" t="s">
        <v>57</v>
      </c>
      <c r="P102" s="274">
        <v>0.9</v>
      </c>
      <c r="Q102" s="295"/>
      <c r="R102" s="295"/>
      <c r="S102" s="295"/>
      <c r="T102" s="295"/>
      <c r="U102" s="295" t="s">
        <v>53</v>
      </c>
      <c r="V102" s="524"/>
      <c r="W102" s="524"/>
      <c r="X102" s="295">
        <f>ROUND(M102*P102,-3)-391000</f>
        <v>3047000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7"/>
      <c r="J103" s="296"/>
      <c r="K103" s="295"/>
      <c r="L103" s="295"/>
      <c r="M103" s="295"/>
      <c r="N103" s="295"/>
      <c r="O103" s="64"/>
      <c r="P103" s="274"/>
      <c r="Q103" s="295"/>
      <c r="R103" s="295"/>
      <c r="S103" s="295"/>
      <c r="T103" s="295"/>
      <c r="U103" s="295"/>
      <c r="V103" s="524"/>
      <c r="W103" s="524"/>
      <c r="X103" s="295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8" t="s">
        <v>275</v>
      </c>
      <c r="J104" s="296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355" t="s">
        <v>69</v>
      </c>
      <c r="W104" s="62"/>
      <c r="X104" s="355">
        <f>SUM(X105:X106)</f>
        <v>5600000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7" t="s">
        <v>491</v>
      </c>
      <c r="J105" s="296"/>
      <c r="K105" s="295"/>
      <c r="L105" s="295"/>
      <c r="M105" s="295">
        <f>M44</f>
        <v>75633000</v>
      </c>
      <c r="N105" s="44" t="s">
        <v>56</v>
      </c>
      <c r="O105" s="524" t="s">
        <v>70</v>
      </c>
      <c r="P105" s="66">
        <v>12</v>
      </c>
      <c r="Q105" s="180" t="s">
        <v>0</v>
      </c>
      <c r="R105" s="64" t="s">
        <v>57</v>
      </c>
      <c r="S105" s="274">
        <v>0.9</v>
      </c>
      <c r="T105" s="295"/>
      <c r="U105" s="295" t="s">
        <v>53</v>
      </c>
      <c r="V105" s="79"/>
      <c r="W105" s="79"/>
      <c r="X105" s="227">
        <f>ROUNDUP(M105/P105*S105,-3)-73000</f>
        <v>5600000</v>
      </c>
      <c r="Y105" s="264" t="s">
        <v>56</v>
      </c>
      <c r="Z105" s="295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7"/>
      <c r="J106" s="296"/>
      <c r="K106" s="295"/>
      <c r="L106" s="295"/>
      <c r="M106" s="295"/>
      <c r="N106" s="44"/>
      <c r="O106" s="427"/>
      <c r="P106" s="66"/>
      <c r="Q106" s="180"/>
      <c r="R106" s="64"/>
      <c r="S106" s="274"/>
      <c r="T106" s="295"/>
      <c r="U106" s="295"/>
      <c r="V106" s="295"/>
      <c r="W106" s="295"/>
      <c r="X106" s="58"/>
      <c r="Y106" s="264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8" t="s">
        <v>276</v>
      </c>
      <c r="J107" s="296"/>
      <c r="K107" s="295"/>
      <c r="L107" s="295"/>
      <c r="M107" s="295"/>
      <c r="N107" s="44"/>
      <c r="O107" s="295"/>
      <c r="P107" s="295"/>
      <c r="Q107" s="295"/>
      <c r="R107" s="295"/>
      <c r="S107" s="295"/>
      <c r="T107" s="295"/>
      <c r="U107" s="295"/>
      <c r="V107" s="355" t="s">
        <v>69</v>
      </c>
      <c r="W107" s="62"/>
      <c r="X107" s="355">
        <f>SUM(X108,X111,X114,X117,X120)</f>
        <v>7103000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7" t="s">
        <v>277</v>
      </c>
      <c r="J108" s="296"/>
      <c r="K108" s="295"/>
      <c r="L108" s="295"/>
      <c r="M108" s="295"/>
      <c r="N108" s="44"/>
      <c r="O108" s="64"/>
      <c r="P108" s="233"/>
      <c r="Q108" s="427"/>
      <c r="R108" s="64"/>
      <c r="S108" s="274"/>
      <c r="T108" s="65"/>
      <c r="U108" s="427"/>
      <c r="V108" s="128"/>
      <c r="W108" s="129"/>
      <c r="X108" s="129">
        <f>SUM(X109:X110)</f>
        <v>2874000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7" t="s">
        <v>491</v>
      </c>
      <c r="J109" s="296"/>
      <c r="K109" s="295"/>
      <c r="L109" s="295"/>
      <c r="M109" s="295">
        <f>M48</f>
        <v>75633000</v>
      </c>
      <c r="N109" s="44" t="s">
        <v>56</v>
      </c>
      <c r="O109" s="64" t="s">
        <v>57</v>
      </c>
      <c r="P109" s="233">
        <v>0.09</v>
      </c>
      <c r="Q109" s="427">
        <v>2</v>
      </c>
      <c r="R109" s="64" t="s">
        <v>57</v>
      </c>
      <c r="S109" s="274">
        <v>0.9</v>
      </c>
      <c r="T109" s="65"/>
      <c r="U109" s="427" t="s">
        <v>206</v>
      </c>
      <c r="V109" s="295"/>
      <c r="W109" s="58"/>
      <c r="X109" s="58">
        <f>ROUND(M109*P109/Q109*S109,-3)-189000</f>
        <v>2874000</v>
      </c>
      <c r="Y109" s="47" t="s">
        <v>312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7"/>
      <c r="J110" s="296"/>
      <c r="K110" s="295"/>
      <c r="L110" s="295"/>
      <c r="M110" s="295"/>
      <c r="N110" s="44"/>
      <c r="O110" s="64"/>
      <c r="P110" s="233"/>
      <c r="Q110" s="427"/>
      <c r="R110" s="64"/>
      <c r="S110" s="274"/>
      <c r="T110" s="65"/>
      <c r="U110" s="427"/>
      <c r="V110" s="295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7" t="s">
        <v>278</v>
      </c>
      <c r="J111" s="296"/>
      <c r="K111" s="295"/>
      <c r="L111" s="295"/>
      <c r="M111" s="295"/>
      <c r="N111" s="44"/>
      <c r="O111" s="64"/>
      <c r="P111" s="234"/>
      <c r="Q111" s="427"/>
      <c r="R111" s="64"/>
      <c r="S111" s="274"/>
      <c r="T111" s="65"/>
      <c r="U111" s="427"/>
      <c r="V111" s="355"/>
      <c r="W111" s="62"/>
      <c r="X111" s="62">
        <f>SUM(X112:X113)</f>
        <v>2525000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7" t="s">
        <v>491</v>
      </c>
      <c r="J112" s="296"/>
      <c r="K112" s="295"/>
      <c r="L112" s="295"/>
      <c r="M112" s="295">
        <f>M51</f>
        <v>75633000</v>
      </c>
      <c r="N112" s="44" t="s">
        <v>56</v>
      </c>
      <c r="O112" s="64" t="s">
        <v>57</v>
      </c>
      <c r="P112" s="234">
        <v>7.0900000000000005E-2</v>
      </c>
      <c r="Q112" s="427">
        <v>2</v>
      </c>
      <c r="R112" s="64" t="s">
        <v>57</v>
      </c>
      <c r="S112" s="274">
        <v>0.9</v>
      </c>
      <c r="T112" s="65"/>
      <c r="U112" s="427"/>
      <c r="V112" s="295"/>
      <c r="W112" s="58"/>
      <c r="X112" s="278">
        <f>ROUNDUP(M112*P112/Q112*S112,-3)+111000</f>
        <v>2525000</v>
      </c>
      <c r="Y112" s="47" t="s">
        <v>312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7"/>
      <c r="J113" s="296"/>
      <c r="K113" s="295"/>
      <c r="L113" s="295"/>
      <c r="M113" s="295"/>
      <c r="N113" s="44"/>
      <c r="O113" s="64"/>
      <c r="P113" s="234"/>
      <c r="Q113" s="427"/>
      <c r="R113" s="64"/>
      <c r="S113" s="274"/>
      <c r="T113" s="65"/>
      <c r="U113" s="427"/>
      <c r="V113" s="295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7" t="s">
        <v>279</v>
      </c>
      <c r="J114" s="296"/>
      <c r="K114" s="295"/>
      <c r="L114" s="295"/>
      <c r="M114" s="295"/>
      <c r="N114" s="44"/>
      <c r="O114" s="64"/>
      <c r="P114" s="68"/>
      <c r="Q114" s="69"/>
      <c r="R114" s="64"/>
      <c r="S114" s="67"/>
      <c r="T114" s="70"/>
      <c r="U114" s="427"/>
      <c r="V114" s="355"/>
      <c r="W114" s="62"/>
      <c r="X114" s="62">
        <f>SUM(X115:X116)</f>
        <v>323000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7" t="s">
        <v>491</v>
      </c>
      <c r="J115" s="296"/>
      <c r="K115" s="295"/>
      <c r="L115" s="295"/>
      <c r="M115" s="295">
        <f>X112</f>
        <v>2525000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7"/>
      <c r="V115" s="295"/>
      <c r="W115" s="58"/>
      <c r="X115" s="58">
        <f>ROUND(M115*P115,-3)</f>
        <v>323000</v>
      </c>
      <c r="Y115" s="47" t="s">
        <v>312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7"/>
      <c r="J116" s="296"/>
      <c r="K116" s="295"/>
      <c r="L116" s="295"/>
      <c r="M116" s="295"/>
      <c r="N116" s="44"/>
      <c r="O116" s="64"/>
      <c r="P116" s="68"/>
      <c r="Q116" s="69"/>
      <c r="R116" s="64"/>
      <c r="S116" s="67"/>
      <c r="T116" s="70"/>
      <c r="U116" s="427"/>
      <c r="V116" s="295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7" t="s">
        <v>280</v>
      </c>
      <c r="J117" s="296"/>
      <c r="K117" s="295"/>
      <c r="L117" s="295"/>
      <c r="M117" s="295"/>
      <c r="N117" s="44"/>
      <c r="O117" s="64"/>
      <c r="P117" s="68"/>
      <c r="Q117" s="64"/>
      <c r="R117" s="64"/>
      <c r="S117" s="274"/>
      <c r="T117" s="65"/>
      <c r="U117" s="427"/>
      <c r="V117" s="355"/>
      <c r="W117" s="62"/>
      <c r="X117" s="62">
        <f>SUM(X118:X119)</f>
        <v>829000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7" t="s">
        <v>491</v>
      </c>
      <c r="J118" s="296"/>
      <c r="K118" s="295"/>
      <c r="L118" s="295"/>
      <c r="M118" s="295">
        <f>M57</f>
        <v>75633000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4">
        <v>0.9</v>
      </c>
      <c r="T118" s="65"/>
      <c r="U118" s="427" t="s">
        <v>206</v>
      </c>
      <c r="V118" s="295"/>
      <c r="W118" s="58"/>
      <c r="X118" s="58">
        <f>ROUND(M118*P118*S118,-3)+46000</f>
        <v>829000</v>
      </c>
      <c r="Y118" s="47" t="s">
        <v>312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7"/>
      <c r="J119" s="296"/>
      <c r="K119" s="295"/>
      <c r="L119" s="295"/>
      <c r="M119" s="295"/>
      <c r="N119" s="44"/>
      <c r="O119" s="64"/>
      <c r="P119" s="68"/>
      <c r="Q119" s="64"/>
      <c r="R119" s="64"/>
      <c r="S119" s="274"/>
      <c r="T119" s="65"/>
      <c r="U119" s="427"/>
      <c r="V119" s="295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7" t="s">
        <v>281</v>
      </c>
      <c r="J120" s="296"/>
      <c r="K120" s="295"/>
      <c r="L120" s="295"/>
      <c r="M120" s="295"/>
      <c r="N120" s="44"/>
      <c r="O120" s="64"/>
      <c r="P120" s="270"/>
      <c r="Q120" s="64"/>
      <c r="R120" s="64"/>
      <c r="S120" s="274"/>
      <c r="T120" s="65"/>
      <c r="U120" s="427"/>
      <c r="V120" s="355"/>
      <c r="W120" s="62"/>
      <c r="X120" s="62">
        <f>SUM(X121:X122)</f>
        <v>552000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7" t="s">
        <v>491</v>
      </c>
      <c r="J121" s="296"/>
      <c r="K121" s="295"/>
      <c r="L121" s="295"/>
      <c r="M121" s="295">
        <f>M60</f>
        <v>75633000</v>
      </c>
      <c r="N121" s="44" t="s">
        <v>56</v>
      </c>
      <c r="O121" s="64" t="s">
        <v>57</v>
      </c>
      <c r="P121" s="270">
        <v>7.6E-3</v>
      </c>
      <c r="Q121" s="64"/>
      <c r="R121" s="64" t="s">
        <v>57</v>
      </c>
      <c r="S121" s="274">
        <v>0.9</v>
      </c>
      <c r="T121" s="65"/>
      <c r="U121" s="427" t="s">
        <v>206</v>
      </c>
      <c r="V121" s="295"/>
      <c r="W121" s="58"/>
      <c r="X121" s="58">
        <f>ROUND(M121*P121*S121,-3)+35000</f>
        <v>552000</v>
      </c>
      <c r="Y121" s="47" t="s">
        <v>312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7"/>
      <c r="J122" s="296"/>
      <c r="K122" s="295"/>
      <c r="L122" s="295"/>
      <c r="M122" s="295"/>
      <c r="N122" s="44"/>
      <c r="O122" s="64"/>
      <c r="P122" s="270"/>
      <c r="Q122" s="64"/>
      <c r="R122" s="64"/>
      <c r="S122" s="274"/>
      <c r="T122" s="65"/>
      <c r="U122" s="427"/>
      <c r="V122" s="295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21"/>
      <c r="L123" s="221"/>
      <c r="M123" s="201"/>
      <c r="N123" s="201"/>
      <c r="O123" s="222"/>
      <c r="P123" s="201"/>
      <c r="Q123" s="117"/>
      <c r="R123" s="223"/>
      <c r="S123" s="72"/>
      <c r="T123" s="172"/>
      <c r="U123" s="172"/>
      <c r="V123" s="224"/>
      <c r="W123" s="202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8730</v>
      </c>
      <c r="F124" s="216">
        <f>ROUND(X124/1000,0)</f>
        <v>9176</v>
      </c>
      <c r="G124" s="30">
        <f t="shared" ref="G124" si="25">F124-E124</f>
        <v>446</v>
      </c>
      <c r="H124" s="109">
        <f t="shared" ref="H124" si="26">IF(E124=0,0,G124/E124)</f>
        <v>5.108820160366552E-2</v>
      </c>
      <c r="I124" s="228" t="s">
        <v>211</v>
      </c>
      <c r="J124" s="227"/>
      <c r="K124" s="235"/>
      <c r="L124" s="235"/>
      <c r="M124" s="79"/>
      <c r="N124" s="79"/>
      <c r="O124" s="217"/>
      <c r="P124" s="79"/>
      <c r="Q124" s="218"/>
      <c r="R124" s="225"/>
      <c r="S124" s="226"/>
      <c r="T124" s="231"/>
      <c r="U124" s="231"/>
      <c r="V124" s="229" t="s">
        <v>192</v>
      </c>
      <c r="W124" s="230"/>
      <c r="X124" s="230">
        <f>SUM(X125:X125)</f>
        <v>9176000</v>
      </c>
      <c r="Y124" s="263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6" t="s">
        <v>212</v>
      </c>
      <c r="J125" s="58"/>
      <c r="K125" s="183"/>
      <c r="L125" s="183"/>
      <c r="M125" s="273">
        <f>M64</f>
        <v>2549000</v>
      </c>
      <c r="N125" s="273" t="s">
        <v>25</v>
      </c>
      <c r="O125" s="370" t="s">
        <v>26</v>
      </c>
      <c r="P125" s="371">
        <v>4</v>
      </c>
      <c r="Q125" s="372" t="s">
        <v>55</v>
      </c>
      <c r="R125" s="333" t="s">
        <v>299</v>
      </c>
      <c r="S125" s="373">
        <v>0.9</v>
      </c>
      <c r="T125" s="336"/>
      <c r="U125" s="334" t="s">
        <v>300</v>
      </c>
      <c r="V125" s="580"/>
      <c r="W125" s="580"/>
      <c r="X125" s="58">
        <f>ROUND(M125*P125*S125,-3)</f>
        <v>9176000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21"/>
      <c r="L126" s="221"/>
      <c r="M126" s="201"/>
      <c r="N126" s="201"/>
      <c r="O126" s="222"/>
      <c r="P126" s="201"/>
      <c r="Q126" s="117"/>
      <c r="R126" s="223"/>
      <c r="S126" s="72"/>
      <c r="T126" s="172"/>
      <c r="U126" s="172"/>
      <c r="V126" s="224"/>
      <c r="W126" s="202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1149</v>
      </c>
      <c r="F127" s="216">
        <f>ROUND(X127/1000,0)</f>
        <v>1149</v>
      </c>
      <c r="G127" s="30">
        <f t="shared" ref="G127" si="27">F127-E127</f>
        <v>0</v>
      </c>
      <c r="H127" s="109">
        <f t="shared" ref="H127" si="28">IF(E127=0,0,G127/E127)</f>
        <v>0</v>
      </c>
      <c r="I127" s="228" t="s">
        <v>215</v>
      </c>
      <c r="J127" s="227"/>
      <c r="K127" s="235"/>
      <c r="L127" s="235"/>
      <c r="M127" s="79"/>
      <c r="N127" s="79"/>
      <c r="O127" s="217"/>
      <c r="P127" s="79"/>
      <c r="Q127" s="218"/>
      <c r="R127" s="225"/>
      <c r="S127" s="226"/>
      <c r="T127" s="231"/>
      <c r="U127" s="231"/>
      <c r="V127" s="229" t="s">
        <v>192</v>
      </c>
      <c r="W127" s="230"/>
      <c r="X127" s="230">
        <f>SUM(X128:X133)</f>
        <v>1149000</v>
      </c>
      <c r="Y127" s="263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200"/>
      <c r="K128" s="199"/>
      <c r="L128" s="199"/>
      <c r="M128" s="199">
        <v>500</v>
      </c>
      <c r="N128" s="199" t="s">
        <v>203</v>
      </c>
      <c r="O128" s="200" t="s">
        <v>207</v>
      </c>
      <c r="P128" s="237">
        <v>4</v>
      </c>
      <c r="Q128" s="238">
        <v>365</v>
      </c>
      <c r="R128" s="199" t="s">
        <v>217</v>
      </c>
      <c r="S128" s="275">
        <v>0.7</v>
      </c>
      <c r="T128" s="199"/>
      <c r="U128" s="199" t="s">
        <v>206</v>
      </c>
      <c r="V128" s="199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200"/>
      <c r="K129" s="199"/>
      <c r="L129" s="199"/>
      <c r="M129" s="199">
        <v>5000</v>
      </c>
      <c r="N129" s="199" t="s">
        <v>203</v>
      </c>
      <c r="O129" s="200" t="s">
        <v>207</v>
      </c>
      <c r="P129" s="237">
        <v>4</v>
      </c>
      <c r="Q129" s="238">
        <v>12</v>
      </c>
      <c r="R129" s="199" t="s">
        <v>205</v>
      </c>
      <c r="S129" s="275">
        <v>0.7</v>
      </c>
      <c r="T129" s="199"/>
      <c r="U129" s="199" t="s">
        <v>206</v>
      </c>
      <c r="V129" s="199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200"/>
      <c r="K130" s="199"/>
      <c r="L130" s="199"/>
      <c r="M130" s="199">
        <v>20000</v>
      </c>
      <c r="N130" s="199" t="s">
        <v>203</v>
      </c>
      <c r="O130" s="200" t="s">
        <v>207</v>
      </c>
      <c r="P130" s="237">
        <v>4</v>
      </c>
      <c r="Q130" s="238">
        <v>4</v>
      </c>
      <c r="R130" s="199" t="s">
        <v>220</v>
      </c>
      <c r="S130" s="275">
        <v>0.7</v>
      </c>
      <c r="T130" s="199"/>
      <c r="U130" s="199" t="s">
        <v>206</v>
      </c>
      <c r="V130" s="199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437</v>
      </c>
      <c r="J131" s="200"/>
      <c r="K131" s="199"/>
      <c r="L131" s="199"/>
      <c r="M131" s="199">
        <v>12000</v>
      </c>
      <c r="N131" s="199" t="s">
        <v>203</v>
      </c>
      <c r="O131" s="200" t="s">
        <v>207</v>
      </c>
      <c r="P131" s="237">
        <v>4</v>
      </c>
      <c r="Q131" s="238">
        <v>4</v>
      </c>
      <c r="R131" s="199" t="s">
        <v>220</v>
      </c>
      <c r="S131" s="275">
        <v>0.7</v>
      </c>
      <c r="T131" s="199"/>
      <c r="U131" s="199" t="s">
        <v>206</v>
      </c>
      <c r="V131" s="199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200"/>
      <c r="K132" s="199"/>
      <c r="L132" s="199"/>
      <c r="M132" s="199"/>
      <c r="N132" s="199"/>
      <c r="O132" s="200"/>
      <c r="P132" s="237"/>
      <c r="Q132" s="238"/>
      <c r="R132" s="199"/>
      <c r="S132" s="199"/>
      <c r="T132" s="199"/>
      <c r="U132" s="199"/>
      <c r="V132" s="199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200"/>
      <c r="K133" s="199"/>
      <c r="L133" s="199"/>
      <c r="M133" s="199">
        <v>40000</v>
      </c>
      <c r="N133" s="199" t="s">
        <v>203</v>
      </c>
      <c r="O133" s="200" t="s">
        <v>207</v>
      </c>
      <c r="P133" s="237">
        <v>4</v>
      </c>
      <c r="Q133" s="238">
        <v>1</v>
      </c>
      <c r="R133" s="199" t="s">
        <v>220</v>
      </c>
      <c r="S133" s="275">
        <v>0.7</v>
      </c>
      <c r="T133" s="199"/>
      <c r="U133" s="199" t="s">
        <v>206</v>
      </c>
      <c r="V133" s="199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21"/>
      <c r="L134" s="221"/>
      <c r="M134" s="201"/>
      <c r="N134" s="201"/>
      <c r="O134" s="222"/>
      <c r="P134" s="201"/>
      <c r="Q134" s="117"/>
      <c r="R134" s="223"/>
      <c r="S134" s="72"/>
      <c r="T134" s="172"/>
      <c r="U134" s="172"/>
      <c r="V134" s="224"/>
      <c r="W134" s="202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1800</v>
      </c>
      <c r="F135" s="216">
        <f>ROUND(X135/1000,0)</f>
        <v>1800</v>
      </c>
      <c r="G135" s="30">
        <f t="shared" ref="G135" si="29">F135-E135</f>
        <v>0</v>
      </c>
      <c r="H135" s="109">
        <f t="shared" ref="H135" si="30">IF(E135=0,0,G135/E135)</f>
        <v>0</v>
      </c>
      <c r="I135" s="228" t="s">
        <v>314</v>
      </c>
      <c r="J135" s="227"/>
      <c r="K135" s="235"/>
      <c r="L135" s="235"/>
      <c r="M135" s="79"/>
      <c r="N135" s="79"/>
      <c r="O135" s="217"/>
      <c r="P135" s="79"/>
      <c r="Q135" s="218"/>
      <c r="R135" s="225"/>
      <c r="S135" s="226"/>
      <c r="T135" s="352"/>
      <c r="U135" s="352"/>
      <c r="V135" s="229" t="s">
        <v>192</v>
      </c>
      <c r="W135" s="230"/>
      <c r="X135" s="230">
        <f>X136</f>
        <v>1800000</v>
      </c>
      <c r="Y135" s="263" t="s">
        <v>56</v>
      </c>
    </row>
    <row r="136" spans="1:26" ht="21" customHeight="1">
      <c r="A136" s="37"/>
      <c r="B136" s="38"/>
      <c r="C136" s="38"/>
      <c r="D136" s="38" t="s">
        <v>315</v>
      </c>
      <c r="E136" s="40"/>
      <c r="F136" s="40"/>
      <c r="G136" s="41"/>
      <c r="H136" s="60"/>
      <c r="I136" s="287" t="s">
        <v>282</v>
      </c>
      <c r="J136" s="296"/>
      <c r="K136" s="295"/>
      <c r="L136" s="295"/>
      <c r="M136" s="240">
        <v>2000000</v>
      </c>
      <c r="N136" s="59" t="s">
        <v>56</v>
      </c>
      <c r="O136" s="59" t="s">
        <v>57</v>
      </c>
      <c r="P136" s="67">
        <v>0.9</v>
      </c>
      <c r="Q136" s="238"/>
      <c r="R136" s="59"/>
      <c r="S136" s="239"/>
      <c r="T136" s="59"/>
      <c r="U136" s="59" t="s">
        <v>53</v>
      </c>
      <c r="V136" s="295"/>
      <c r="W136" s="58"/>
      <c r="X136" s="295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6"/>
      <c r="J137" s="62"/>
      <c r="K137" s="221"/>
      <c r="L137" s="221"/>
      <c r="M137" s="355"/>
      <c r="N137" s="355"/>
      <c r="O137" s="222"/>
      <c r="P137" s="355"/>
      <c r="Q137" s="117"/>
      <c r="R137" s="223"/>
      <c r="S137" s="355"/>
      <c r="T137" s="172"/>
      <c r="U137" s="172"/>
      <c r="V137" s="224"/>
      <c r="W137" s="356"/>
      <c r="X137" s="62"/>
      <c r="Y137" s="63"/>
    </row>
    <row r="138" spans="1:26" ht="21" customHeight="1">
      <c r="A138" s="37"/>
      <c r="B138" s="38"/>
      <c r="C138" s="38"/>
      <c r="D138" s="38" t="s">
        <v>319</v>
      </c>
      <c r="E138" s="40">
        <v>0</v>
      </c>
      <c r="F138" s="216">
        <f>ROUND(X138/1000,0)</f>
        <v>300</v>
      </c>
      <c r="G138" s="41">
        <f t="shared" ref="G138" si="31">F138-E138</f>
        <v>300</v>
      </c>
      <c r="H138" s="60">
        <f t="shared" ref="H138" si="32">IF(E138=0,0,G138/E138)</f>
        <v>0</v>
      </c>
      <c r="I138" s="61" t="s">
        <v>318</v>
      </c>
      <c r="J138" s="58"/>
      <c r="K138" s="183"/>
      <c r="L138" s="183"/>
      <c r="M138" s="199"/>
      <c r="N138" s="199"/>
      <c r="O138" s="180"/>
      <c r="P138" s="199"/>
      <c r="Q138" s="44"/>
      <c r="R138" s="182"/>
      <c r="S138" s="46"/>
      <c r="T138" s="232"/>
      <c r="U138" s="232"/>
      <c r="V138" s="201" t="s">
        <v>226</v>
      </c>
      <c r="W138" s="62"/>
      <c r="X138" s="201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225</v>
      </c>
      <c r="E139" s="40"/>
      <c r="F139" s="40"/>
      <c r="G139" s="41"/>
      <c r="H139" s="60"/>
      <c r="I139" s="287" t="s">
        <v>283</v>
      </c>
      <c r="J139" s="296"/>
      <c r="K139" s="295"/>
      <c r="L139" s="295"/>
      <c r="M139" s="240">
        <v>300000</v>
      </c>
      <c r="N139" s="59" t="s">
        <v>56</v>
      </c>
      <c r="O139" s="59" t="s">
        <v>57</v>
      </c>
      <c r="P139" s="241">
        <v>1</v>
      </c>
      <c r="Q139" s="238"/>
      <c r="R139" s="59"/>
      <c r="S139" s="239"/>
      <c r="T139" s="59"/>
      <c r="U139" s="59" t="s">
        <v>208</v>
      </c>
      <c r="V139" s="295"/>
      <c r="W139" s="58"/>
      <c r="X139" s="295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200"/>
      <c r="K140" s="199"/>
      <c r="L140" s="199"/>
      <c r="M140" s="199"/>
      <c r="N140" s="44"/>
      <c r="O140" s="64"/>
      <c r="P140" s="68"/>
      <c r="Q140" s="64"/>
      <c r="R140" s="64"/>
      <c r="S140" s="67"/>
      <c r="T140" s="65"/>
      <c r="U140" s="232"/>
      <c r="V140" s="199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9" t="s">
        <v>109</v>
      </c>
      <c r="E141" s="192">
        <f>E142</f>
        <v>0</v>
      </c>
      <c r="F141" s="192">
        <f>F142</f>
        <v>20000</v>
      </c>
      <c r="G141" s="193">
        <f t="shared" ref="G141:G142" si="33">F141-E141</f>
        <v>20000</v>
      </c>
      <c r="H141" s="194">
        <f t="shared" ref="H141:H142" si="34">IF(E141=0,0,G141/E141)</f>
        <v>0</v>
      </c>
      <c r="I141" s="176" t="s">
        <v>534</v>
      </c>
      <c r="J141" s="177"/>
      <c r="K141" s="178"/>
      <c r="L141" s="178"/>
      <c r="M141" s="178"/>
      <c r="N141" s="178"/>
      <c r="O141" s="178"/>
      <c r="P141" s="179"/>
      <c r="Q141" s="179"/>
      <c r="R141" s="179"/>
      <c r="S141" s="179"/>
      <c r="T141" s="179"/>
      <c r="U141" s="179"/>
      <c r="V141" s="213" t="s">
        <v>69</v>
      </c>
      <c r="W141" s="214"/>
      <c r="X141" s="214">
        <f>SUM(X142:X142)</f>
        <v>20000000</v>
      </c>
      <c r="Y141" s="262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20000</v>
      </c>
      <c r="G142" s="269">
        <f t="shared" si="33"/>
        <v>20000</v>
      </c>
      <c r="H142" s="157">
        <f t="shared" si="34"/>
        <v>0</v>
      </c>
      <c r="I142" s="57" t="s">
        <v>533</v>
      </c>
      <c r="J142" s="200"/>
      <c r="K142" s="199"/>
      <c r="L142" s="199"/>
      <c r="M142" s="199"/>
      <c r="N142" s="232"/>
      <c r="O142" s="180"/>
      <c r="P142" s="199"/>
      <c r="Q142" s="44"/>
      <c r="R142" s="181"/>
      <c r="S142" s="184"/>
      <c r="T142" s="184"/>
      <c r="U142" s="232"/>
      <c r="V142" s="110"/>
      <c r="W142" s="58"/>
      <c r="X142" s="58">
        <v>20000000</v>
      </c>
      <c r="Y142" s="47" t="s">
        <v>142</v>
      </c>
    </row>
    <row r="143" spans="1:26" s="11" customFormat="1" ht="19.5" customHeight="1">
      <c r="A143" s="265"/>
      <c r="B143" s="74"/>
      <c r="C143" s="74"/>
      <c r="D143" s="49"/>
      <c r="E143" s="51"/>
      <c r="F143" s="51"/>
      <c r="G143" s="52"/>
      <c r="H143" s="75"/>
      <c r="I143" s="61"/>
      <c r="J143" s="201"/>
      <c r="K143" s="76"/>
      <c r="L143" s="76"/>
      <c r="M143" s="77"/>
      <c r="N143" s="201"/>
      <c r="O143" s="76"/>
      <c r="P143" s="201"/>
      <c r="Q143" s="201"/>
      <c r="R143" s="201"/>
      <c r="S143" s="201"/>
      <c r="T143" s="201"/>
      <c r="U143" s="201"/>
      <c r="V143" s="201"/>
      <c r="W143" s="201"/>
      <c r="X143" s="201"/>
      <c r="Y143" s="63"/>
      <c r="Z143" s="6"/>
    </row>
    <row r="144" spans="1:26" ht="21" customHeight="1">
      <c r="A144" s="27" t="s">
        <v>72</v>
      </c>
      <c r="B144" s="28" t="s">
        <v>30</v>
      </c>
      <c r="C144" s="573" t="s">
        <v>253</v>
      </c>
      <c r="D144" s="574"/>
      <c r="E144" s="242">
        <f>SUM(E145,E151)</f>
        <v>500</v>
      </c>
      <c r="F144" s="242">
        <f>SUM(F145,F151)</f>
        <v>703</v>
      </c>
      <c r="G144" s="243">
        <f t="shared" ref="G144" si="35">F144-E144</f>
        <v>203</v>
      </c>
      <c r="H144" s="244">
        <f t="shared" ref="H144" si="36">IF(E144=0,0,G144/E144)</f>
        <v>0.40600000000000003</v>
      </c>
      <c r="I144" s="245" t="s">
        <v>254</v>
      </c>
      <c r="J144" s="246"/>
      <c r="K144" s="247"/>
      <c r="L144" s="247"/>
      <c r="M144" s="246"/>
      <c r="N144" s="246"/>
      <c r="O144" s="246"/>
      <c r="P144" s="246"/>
      <c r="Q144" s="246" t="s">
        <v>65</v>
      </c>
      <c r="R144" s="248"/>
      <c r="S144" s="248"/>
      <c r="T144" s="248"/>
      <c r="U144" s="248"/>
      <c r="V144" s="248"/>
      <c r="W144" s="248"/>
      <c r="X144" s="249">
        <f>X145+X151</f>
        <v>703000</v>
      </c>
      <c r="Y144" s="261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9" t="s">
        <v>259</v>
      </c>
      <c r="E145" s="192">
        <f>E146+E149</f>
        <v>0</v>
      </c>
      <c r="F145" s="192">
        <f>F146+F149</f>
        <v>0</v>
      </c>
      <c r="G145" s="193">
        <f t="shared" ref="G145:G146" si="37">F145-E145</f>
        <v>0</v>
      </c>
      <c r="H145" s="194">
        <f t="shared" ref="H145:H146" si="38">IF(E145=0,0,G145/E145)</f>
        <v>0</v>
      </c>
      <c r="I145" s="176" t="s">
        <v>260</v>
      </c>
      <c r="J145" s="177"/>
      <c r="K145" s="178"/>
      <c r="L145" s="178"/>
      <c r="M145" s="178"/>
      <c r="N145" s="178"/>
      <c r="O145" s="178"/>
      <c r="P145" s="179"/>
      <c r="Q145" s="179"/>
      <c r="R145" s="179"/>
      <c r="S145" s="179"/>
      <c r="T145" s="179"/>
      <c r="U145" s="179"/>
      <c r="V145" s="213" t="s">
        <v>248</v>
      </c>
      <c r="W145" s="214"/>
      <c r="X145" s="215">
        <f>SUM(X146,X149)</f>
        <v>0</v>
      </c>
      <c r="Y145" s="262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9">
        <f t="shared" si="37"/>
        <v>0</v>
      </c>
      <c r="H146" s="157">
        <f t="shared" si="38"/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5" t="s">
        <v>69</v>
      </c>
      <c r="W146" s="575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200"/>
      <c r="K147" s="199"/>
      <c r="L147" s="199"/>
      <c r="M147" s="199">
        <v>0</v>
      </c>
      <c r="N147" s="232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32" t="s">
        <v>68</v>
      </c>
      <c r="V147" s="199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5"/>
      <c r="I148" s="61"/>
      <c r="J148" s="202"/>
      <c r="K148" s="201"/>
      <c r="L148" s="201"/>
      <c r="M148" s="201"/>
      <c r="N148" s="172"/>
      <c r="O148" s="185"/>
      <c r="P148" s="186"/>
      <c r="Q148" s="185"/>
      <c r="R148" s="187"/>
      <c r="S148" s="188"/>
      <c r="T148" s="188"/>
      <c r="U148" s="172"/>
      <c r="V148" s="201"/>
      <c r="W148" s="62"/>
      <c r="X148" s="62"/>
      <c r="Y148" s="63"/>
    </row>
    <row r="149" spans="1:25" ht="18" customHeight="1">
      <c r="A149" s="37"/>
      <c r="B149" s="38"/>
      <c r="C149" s="38"/>
      <c r="D149" s="28" t="s">
        <v>249</v>
      </c>
      <c r="E149" s="29">
        <v>0</v>
      </c>
      <c r="F149" s="40">
        <f>ROUND(X149/1000,0)</f>
        <v>0</v>
      </c>
      <c r="G149" s="30">
        <f t="shared" ref="G149" si="39">F149-E149</f>
        <v>0</v>
      </c>
      <c r="H149" s="31">
        <f t="shared" ref="H149" si="40"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5" t="s">
        <v>69</v>
      </c>
      <c r="W149" s="575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5"/>
      <c r="I150" s="57" t="s">
        <v>250</v>
      </c>
      <c r="J150" s="200"/>
      <c r="K150" s="199"/>
      <c r="L150" s="199"/>
      <c r="M150" s="199">
        <v>0</v>
      </c>
      <c r="N150" s="232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2" t="s">
        <v>53</v>
      </c>
      <c r="V150" s="199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9" t="s">
        <v>109</v>
      </c>
      <c r="E151" s="192">
        <f>E152</f>
        <v>500</v>
      </c>
      <c r="F151" s="192">
        <f>F152</f>
        <v>703</v>
      </c>
      <c r="G151" s="193">
        <f t="shared" ref="G151:G152" si="41">F151-E151</f>
        <v>203</v>
      </c>
      <c r="H151" s="194">
        <f t="shared" ref="H151:H152" si="42">IF(E151=0,0,G151/E151)</f>
        <v>0.40600000000000003</v>
      </c>
      <c r="I151" s="176" t="s">
        <v>153</v>
      </c>
      <c r="J151" s="177"/>
      <c r="K151" s="178"/>
      <c r="L151" s="178"/>
      <c r="M151" s="178"/>
      <c r="N151" s="178"/>
      <c r="O151" s="178"/>
      <c r="P151" s="179"/>
      <c r="Q151" s="179"/>
      <c r="R151" s="179"/>
      <c r="S151" s="179"/>
      <c r="T151" s="179"/>
      <c r="U151" s="179"/>
      <c r="V151" s="213" t="s">
        <v>69</v>
      </c>
      <c r="W151" s="214"/>
      <c r="X151" s="214">
        <f>X152</f>
        <v>703000</v>
      </c>
      <c r="Y151" s="262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500</v>
      </c>
      <c r="F152" s="40">
        <f>ROUND(X152/1000,0)</f>
        <v>703</v>
      </c>
      <c r="G152" s="269">
        <f t="shared" si="41"/>
        <v>203</v>
      </c>
      <c r="H152" s="157">
        <f t="shared" si="42"/>
        <v>0.40600000000000003</v>
      </c>
      <c r="I152" s="127" t="s">
        <v>307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5" t="s">
        <v>69</v>
      </c>
      <c r="W152" s="575"/>
      <c r="X152" s="129">
        <f>SUM(X153:X155)</f>
        <v>703000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7"/>
      <c r="H153" s="268"/>
      <c r="I153" s="57" t="s">
        <v>524</v>
      </c>
      <c r="J153" s="296"/>
      <c r="K153" s="295"/>
      <c r="L153" s="295"/>
      <c r="M153" s="295"/>
      <c r="N153" s="424"/>
      <c r="O153" s="64"/>
      <c r="P153" s="59"/>
      <c r="Q153" s="64"/>
      <c r="R153" s="71"/>
      <c r="S153" s="65"/>
      <c r="T153" s="65"/>
      <c r="U153" s="424" t="s">
        <v>53</v>
      </c>
      <c r="V153" s="295"/>
      <c r="W153" s="58"/>
      <c r="X153" s="58">
        <v>700000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7"/>
      <c r="H154" s="268"/>
      <c r="I154" s="525" t="s">
        <v>501</v>
      </c>
      <c r="J154" s="527"/>
      <c r="K154" s="527"/>
      <c r="L154" s="527"/>
      <c r="M154" s="527"/>
      <c r="N154" s="527"/>
      <c r="O154" s="527"/>
      <c r="P154" s="527"/>
      <c r="Q154" s="527"/>
      <c r="R154" s="527"/>
      <c r="S154" s="527"/>
      <c r="T154" s="527"/>
      <c r="U154" s="527"/>
      <c r="V154" s="527"/>
      <c r="W154" s="527"/>
      <c r="X154" s="527">
        <v>2000</v>
      </c>
      <c r="Y154" s="529" t="s">
        <v>25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5"/>
      <c r="I155" s="57" t="s">
        <v>525</v>
      </c>
      <c r="J155" s="296"/>
      <c r="K155" s="295"/>
      <c r="L155" s="295"/>
      <c r="M155" s="295"/>
      <c r="N155" s="295"/>
      <c r="O155" s="295"/>
      <c r="P155" s="295"/>
      <c r="Q155" s="44"/>
      <c r="R155" s="44"/>
      <c r="S155" s="44"/>
      <c r="T155" s="295"/>
      <c r="U155" s="295"/>
      <c r="V155" s="295"/>
      <c r="W155" s="58"/>
      <c r="X155" s="62">
        <v>1000</v>
      </c>
      <c r="Y155" s="47" t="s">
        <v>56</v>
      </c>
    </row>
    <row r="156" spans="1:25" ht="21" customHeight="1">
      <c r="A156" s="27" t="s">
        <v>154</v>
      </c>
      <c r="B156" s="28" t="s">
        <v>154</v>
      </c>
      <c r="C156" s="573" t="s">
        <v>253</v>
      </c>
      <c r="D156" s="574"/>
      <c r="E156" s="242">
        <f>E157+E160</f>
        <v>0</v>
      </c>
      <c r="F156" s="242">
        <f>F157+F160</f>
        <v>0</v>
      </c>
      <c r="G156" s="243">
        <f t="shared" ref="G156:G158" si="43">F156-E156</f>
        <v>0</v>
      </c>
      <c r="H156" s="244">
        <f t="shared" ref="H156:H158" si="44">IF(E156=0,0,G156/E156)</f>
        <v>0</v>
      </c>
      <c r="I156" s="245" t="s">
        <v>255</v>
      </c>
      <c r="J156" s="246"/>
      <c r="K156" s="247"/>
      <c r="L156" s="247"/>
      <c r="M156" s="246"/>
      <c r="N156" s="246"/>
      <c r="O156" s="246"/>
      <c r="P156" s="246"/>
      <c r="Q156" s="246" t="s">
        <v>64</v>
      </c>
      <c r="R156" s="248"/>
      <c r="S156" s="248"/>
      <c r="T156" s="248"/>
      <c r="U156" s="248"/>
      <c r="V156" s="248"/>
      <c r="W156" s="248"/>
      <c r="X156" s="249">
        <f>X157+X160</f>
        <v>0</v>
      </c>
      <c r="Y156" s="261" t="s">
        <v>25</v>
      </c>
    </row>
    <row r="157" spans="1:25" ht="21" customHeight="1">
      <c r="A157" s="37"/>
      <c r="B157" s="38"/>
      <c r="C157" s="28" t="s">
        <v>155</v>
      </c>
      <c r="D157" s="259" t="s">
        <v>109</v>
      </c>
      <c r="E157" s="192">
        <f>E158</f>
        <v>0</v>
      </c>
      <c r="F157" s="192">
        <f>F158</f>
        <v>0</v>
      </c>
      <c r="G157" s="193">
        <f t="shared" si="43"/>
        <v>0</v>
      </c>
      <c r="H157" s="194">
        <f t="shared" si="44"/>
        <v>0</v>
      </c>
      <c r="I157" s="176" t="s">
        <v>158</v>
      </c>
      <c r="J157" s="177"/>
      <c r="K157" s="178"/>
      <c r="L157" s="178"/>
      <c r="M157" s="178"/>
      <c r="N157" s="178"/>
      <c r="O157" s="178"/>
      <c r="P157" s="179"/>
      <c r="Q157" s="179"/>
      <c r="R157" s="179"/>
      <c r="S157" s="179"/>
      <c r="T157" s="179"/>
      <c r="U157" s="179"/>
      <c r="V157" s="213" t="s">
        <v>69</v>
      </c>
      <c r="W157" s="214"/>
      <c r="X157" s="215">
        <f>X158</f>
        <v>0</v>
      </c>
      <c r="Y157" s="262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 t="shared" si="43"/>
        <v>0</v>
      </c>
      <c r="H158" s="31">
        <f t="shared" si="44"/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75" t="s">
        <v>69</v>
      </c>
      <c r="W158" s="575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200"/>
      <c r="K159" s="199"/>
      <c r="L159" s="199"/>
      <c r="M159" s="199"/>
      <c r="N159" s="232"/>
      <c r="O159" s="64"/>
      <c r="P159" s="59"/>
      <c r="Q159" s="64"/>
      <c r="R159" s="71"/>
      <c r="S159" s="65"/>
      <c r="T159" s="65"/>
      <c r="U159" s="232"/>
      <c r="V159" s="199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9" t="s">
        <v>109</v>
      </c>
      <c r="E160" s="192">
        <f>E161</f>
        <v>0</v>
      </c>
      <c r="F160" s="192">
        <f>F161</f>
        <v>0</v>
      </c>
      <c r="G160" s="193">
        <f t="shared" ref="G160:G161" si="45">F160-E160</f>
        <v>0</v>
      </c>
      <c r="H160" s="194">
        <f t="shared" ref="H160:H161" si="46">IF(E160=0,0,G160/E160)</f>
        <v>0</v>
      </c>
      <c r="I160" s="176" t="s">
        <v>161</v>
      </c>
      <c r="J160" s="177"/>
      <c r="K160" s="178"/>
      <c r="L160" s="178"/>
      <c r="M160" s="178"/>
      <c r="N160" s="178"/>
      <c r="O160" s="178"/>
      <c r="P160" s="179"/>
      <c r="Q160" s="179"/>
      <c r="R160" s="179"/>
      <c r="S160" s="179"/>
      <c r="T160" s="179"/>
      <c r="U160" s="179"/>
      <c r="V160" s="213" t="s">
        <v>69</v>
      </c>
      <c r="W160" s="214"/>
      <c r="X160" s="214">
        <f>X161</f>
        <v>0</v>
      </c>
      <c r="Y160" s="262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 t="shared" si="45"/>
        <v>0</v>
      </c>
      <c r="H161" s="31">
        <f t="shared" si="46"/>
        <v>0</v>
      </c>
      <c r="I161" s="57" t="s">
        <v>162</v>
      </c>
      <c r="J161" s="200"/>
      <c r="K161" s="199"/>
      <c r="L161" s="199"/>
      <c r="M161" s="199"/>
      <c r="N161" s="232"/>
      <c r="O161" s="64"/>
      <c r="P161" s="59"/>
      <c r="Q161" s="64"/>
      <c r="R161" s="71"/>
      <c r="S161" s="65"/>
      <c r="T161" s="65"/>
      <c r="U161" s="232"/>
      <c r="V161" s="199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5"/>
      <c r="I162" s="61"/>
      <c r="J162" s="202"/>
      <c r="K162" s="201"/>
      <c r="L162" s="201"/>
      <c r="M162" s="201"/>
      <c r="N162" s="172"/>
      <c r="O162" s="185"/>
      <c r="P162" s="186"/>
      <c r="Q162" s="185"/>
      <c r="R162" s="187"/>
      <c r="S162" s="188"/>
      <c r="T162" s="188"/>
      <c r="U162" s="172"/>
      <c r="V162" s="201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73" t="s">
        <v>253</v>
      </c>
      <c r="D163" s="574"/>
      <c r="E163" s="242">
        <f>SUM(E164,E168)</f>
        <v>0</v>
      </c>
      <c r="F163" s="242">
        <f>SUM(F164,F168)</f>
        <v>16500</v>
      </c>
      <c r="G163" s="243">
        <f t="shared" ref="G163:G165" si="47">F163-E163</f>
        <v>16500</v>
      </c>
      <c r="H163" s="244">
        <f t="shared" ref="H163:H165" si="48">IF(E163=0,0,G163/E163)</f>
        <v>0</v>
      </c>
      <c r="I163" s="245" t="s">
        <v>256</v>
      </c>
      <c r="J163" s="246"/>
      <c r="K163" s="247"/>
      <c r="L163" s="247"/>
      <c r="M163" s="246"/>
      <c r="N163" s="246"/>
      <c r="O163" s="246"/>
      <c r="P163" s="246"/>
      <c r="Q163" s="246" t="s">
        <v>64</v>
      </c>
      <c r="R163" s="248"/>
      <c r="S163" s="248"/>
      <c r="T163" s="248"/>
      <c r="U163" s="248"/>
      <c r="V163" s="248"/>
      <c r="W163" s="248"/>
      <c r="X163" s="249">
        <f>X165+X168</f>
        <v>16500000</v>
      </c>
      <c r="Y163" s="261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9" t="s">
        <v>259</v>
      </c>
      <c r="E164" s="192">
        <f>E165</f>
        <v>0</v>
      </c>
      <c r="F164" s="192">
        <f>F165</f>
        <v>0</v>
      </c>
      <c r="G164" s="193">
        <f t="shared" si="47"/>
        <v>0</v>
      </c>
      <c r="H164" s="194">
        <f t="shared" si="48"/>
        <v>0</v>
      </c>
      <c r="I164" s="176" t="s">
        <v>261</v>
      </c>
      <c r="J164" s="177"/>
      <c r="K164" s="178"/>
      <c r="L164" s="178"/>
      <c r="M164" s="178"/>
      <c r="N164" s="178"/>
      <c r="O164" s="178"/>
      <c r="P164" s="179"/>
      <c r="Q164" s="179"/>
      <c r="R164" s="179"/>
      <c r="S164" s="179"/>
      <c r="T164" s="179"/>
      <c r="U164" s="179"/>
      <c r="V164" s="213" t="s">
        <v>248</v>
      </c>
      <c r="W164" s="214"/>
      <c r="X164" s="215">
        <f>SUM(X165:X165)</f>
        <v>0</v>
      </c>
      <c r="Y164" s="262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 t="shared" si="47"/>
        <v>0</v>
      </c>
      <c r="H165" s="31">
        <f t="shared" si="48"/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75" t="s">
        <v>69</v>
      </c>
      <c r="W165" s="575"/>
      <c r="X165" s="129">
        <f>SUM(X166:X167)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200"/>
      <c r="K166" s="199"/>
      <c r="L166" s="199"/>
      <c r="M166" s="240"/>
      <c r="N166" s="59"/>
      <c r="O166" s="59"/>
      <c r="P166" s="241"/>
      <c r="Q166" s="238"/>
      <c r="R166" s="59"/>
      <c r="S166" s="239"/>
      <c r="T166" s="59"/>
      <c r="U166" s="59" t="s">
        <v>53</v>
      </c>
      <c r="V166" s="295"/>
      <c r="W166" s="58"/>
      <c r="X166" s="295">
        <v>0</v>
      </c>
      <c r="Y166" s="47" t="s">
        <v>56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200"/>
      <c r="K167" s="199"/>
      <c r="L167" s="199"/>
      <c r="M167" s="199"/>
      <c r="N167" s="232"/>
      <c r="O167" s="64"/>
      <c r="P167" s="59"/>
      <c r="Q167" s="64"/>
      <c r="R167" s="71"/>
      <c r="S167" s="65"/>
      <c r="T167" s="65"/>
      <c r="U167" s="232"/>
      <c r="V167" s="199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9" t="s">
        <v>259</v>
      </c>
      <c r="E168" s="192">
        <f>E169</f>
        <v>0</v>
      </c>
      <c r="F168" s="192">
        <f>F169</f>
        <v>16500</v>
      </c>
      <c r="G168" s="193">
        <f t="shared" ref="G168:G169" si="49">F168-E168</f>
        <v>16500</v>
      </c>
      <c r="H168" s="194">
        <f t="shared" ref="H168:H169" si="50">IF(E168=0,0,G168/E168)</f>
        <v>0</v>
      </c>
      <c r="I168" s="176" t="s">
        <v>262</v>
      </c>
      <c r="J168" s="177"/>
      <c r="K168" s="178"/>
      <c r="L168" s="178"/>
      <c r="M168" s="178"/>
      <c r="N168" s="178"/>
      <c r="O168" s="178"/>
      <c r="P168" s="179"/>
      <c r="Q168" s="179"/>
      <c r="R168" s="179"/>
      <c r="S168" s="179"/>
      <c r="T168" s="179"/>
      <c r="U168" s="179"/>
      <c r="V168" s="213" t="s">
        <v>248</v>
      </c>
      <c r="W168" s="214"/>
      <c r="X168" s="214">
        <f>SUM(X169:X169)</f>
        <v>16500000</v>
      </c>
      <c r="Y168" s="262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16500</v>
      </c>
      <c r="G169" s="30">
        <f t="shared" si="49"/>
        <v>16500</v>
      </c>
      <c r="H169" s="31">
        <f t="shared" si="50"/>
        <v>0</v>
      </c>
      <c r="I169" s="127" t="s">
        <v>170</v>
      </c>
      <c r="J169" s="131"/>
      <c r="K169" s="199"/>
      <c r="L169" s="199"/>
      <c r="M169" s="199"/>
      <c r="N169" s="232"/>
      <c r="O169" s="64"/>
      <c r="P169" s="59"/>
      <c r="Q169" s="64"/>
      <c r="R169" s="71"/>
      <c r="S169" s="65"/>
      <c r="T169" s="65"/>
      <c r="U169" s="232"/>
      <c r="V169" s="575" t="s">
        <v>69</v>
      </c>
      <c r="W169" s="575"/>
      <c r="X169" s="129">
        <f>X170</f>
        <v>16500000</v>
      </c>
      <c r="Y169" s="130" t="s">
        <v>56</v>
      </c>
    </row>
    <row r="170" spans="1:27" ht="21" customHeight="1">
      <c r="A170" s="37"/>
      <c r="B170" s="38"/>
      <c r="C170" s="38" t="s">
        <v>228</v>
      </c>
      <c r="D170" s="38" t="s">
        <v>229</v>
      </c>
      <c r="E170" s="40"/>
      <c r="F170" s="40"/>
      <c r="G170" s="41"/>
      <c r="H170" s="25"/>
      <c r="I170" s="57" t="s">
        <v>535</v>
      </c>
      <c r="J170" s="296"/>
      <c r="K170" s="295"/>
      <c r="L170" s="295"/>
      <c r="M170" s="240"/>
      <c r="N170" s="59"/>
      <c r="O170" s="59"/>
      <c r="P170" s="241"/>
      <c r="Q170" s="238"/>
      <c r="R170" s="59"/>
      <c r="S170" s="239"/>
      <c r="T170" s="59"/>
      <c r="U170" s="59" t="s">
        <v>53</v>
      </c>
      <c r="V170" s="295"/>
      <c r="W170" s="58"/>
      <c r="X170" s="295">
        <v>16500000</v>
      </c>
      <c r="Y170" s="47" t="s">
        <v>56</v>
      </c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5"/>
      <c r="I171" s="61"/>
      <c r="J171" s="202"/>
      <c r="K171" s="201"/>
      <c r="L171" s="201"/>
      <c r="M171" s="201"/>
      <c r="N171" s="172"/>
      <c r="O171" s="185"/>
      <c r="P171" s="186"/>
      <c r="Q171" s="185"/>
      <c r="R171" s="187"/>
      <c r="S171" s="188"/>
      <c r="T171" s="188"/>
      <c r="U171" s="172"/>
      <c r="V171" s="201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73" t="s">
        <v>253</v>
      </c>
      <c r="D172" s="574"/>
      <c r="E172" s="242">
        <f>SUM(E173,E189,E194)</f>
        <v>4147</v>
      </c>
      <c r="F172" s="242">
        <f>SUM(F173,F189,F194)</f>
        <v>2988</v>
      </c>
      <c r="G172" s="243">
        <f t="shared" ref="G172:G174" si="51">F172-E172</f>
        <v>-1159</v>
      </c>
      <c r="H172" s="244">
        <f t="shared" ref="H172:H174" si="52">IF(E172=0,0,G172/E172)</f>
        <v>-0.27947914154810705</v>
      </c>
      <c r="I172" s="245" t="s">
        <v>257</v>
      </c>
      <c r="J172" s="246"/>
      <c r="K172" s="247"/>
      <c r="L172" s="247"/>
      <c r="M172" s="246"/>
      <c r="N172" s="246"/>
      <c r="O172" s="246"/>
      <c r="P172" s="246"/>
      <c r="Q172" s="246" t="s">
        <v>64</v>
      </c>
      <c r="R172" s="248"/>
      <c r="S172" s="248"/>
      <c r="T172" s="248"/>
      <c r="U172" s="248"/>
      <c r="V172" s="248"/>
      <c r="W172" s="248"/>
      <c r="X172" s="249">
        <f>SUM(X173,X189,X194)</f>
        <v>2988000</v>
      </c>
      <c r="Y172" s="261" t="s">
        <v>25</v>
      </c>
    </row>
    <row r="173" spans="1:27" ht="21" customHeight="1">
      <c r="A173" s="37"/>
      <c r="B173" s="38"/>
      <c r="C173" s="28" t="s">
        <v>171</v>
      </c>
      <c r="D173" s="259" t="s">
        <v>259</v>
      </c>
      <c r="E173" s="192">
        <f>SUM(E174,E177,E181,E185)</f>
        <v>3901</v>
      </c>
      <c r="F173" s="192">
        <f>SUM(F174,F177,F181,F185)</f>
        <v>2861</v>
      </c>
      <c r="G173" s="193">
        <f t="shared" si="51"/>
        <v>-1040</v>
      </c>
      <c r="H173" s="194">
        <f t="shared" si="52"/>
        <v>-0.26659830812612151</v>
      </c>
      <c r="I173" s="176" t="s">
        <v>263</v>
      </c>
      <c r="J173" s="177"/>
      <c r="K173" s="178"/>
      <c r="L173" s="178"/>
      <c r="M173" s="178"/>
      <c r="N173" s="178"/>
      <c r="O173" s="178"/>
      <c r="P173" s="179"/>
      <c r="Q173" s="179"/>
      <c r="R173" s="179"/>
      <c r="S173" s="179"/>
      <c r="T173" s="179"/>
      <c r="U173" s="179"/>
      <c r="V173" s="213" t="s">
        <v>248</v>
      </c>
      <c r="W173" s="214"/>
      <c r="X173" s="215">
        <f>SUM(X174,X177,X181,X185)</f>
        <v>2861000</v>
      </c>
      <c r="Y173" s="262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3000</v>
      </c>
      <c r="F174" s="40">
        <f>ROUND(X174/1000,0)</f>
        <v>2118</v>
      </c>
      <c r="G174" s="30">
        <f t="shared" si="51"/>
        <v>-882</v>
      </c>
      <c r="H174" s="31">
        <f t="shared" si="52"/>
        <v>-0.29399999999999998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75" t="s">
        <v>69</v>
      </c>
      <c r="W174" s="575"/>
      <c r="X174" s="129">
        <f>ROUND(SUM(W175:X176),-3)</f>
        <v>2118000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7" t="s">
        <v>284</v>
      </c>
      <c r="J175" s="200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232"/>
      <c r="W175" s="232"/>
      <c r="X175" s="443">
        <v>2117621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5"/>
      <c r="I176" s="288" t="s">
        <v>285</v>
      </c>
      <c r="J176" s="202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172"/>
      <c r="W176" s="172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 t="shared" ref="G177" si="53">F177-E177</f>
        <v>0</v>
      </c>
      <c r="H177" s="31">
        <f t="shared" ref="H177" si="54"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75" t="s">
        <v>69</v>
      </c>
      <c r="W177" s="575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7" t="s">
        <v>286</v>
      </c>
      <c r="J178" s="200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232"/>
      <c r="W178" s="232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7" t="s">
        <v>287</v>
      </c>
      <c r="J179" s="200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232"/>
      <c r="W179" s="232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5"/>
      <c r="I180" s="61"/>
      <c r="J180" s="202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172"/>
      <c r="W180" s="172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1</v>
      </c>
      <c r="F181" s="29">
        <f>ROUND(X181/1000,0)</f>
        <v>2</v>
      </c>
      <c r="G181" s="30">
        <f t="shared" ref="G181" si="55">F181-E181</f>
        <v>1</v>
      </c>
      <c r="H181" s="31">
        <f t="shared" ref="H181" si="56">IF(E181=0,0,G181/E181)</f>
        <v>1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75" t="s">
        <v>69</v>
      </c>
      <c r="W181" s="575"/>
      <c r="X181" s="129">
        <f>ROUNDUP(SUM(W182:X182),-3)</f>
        <v>2000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7" t="s">
        <v>288</v>
      </c>
      <c r="J182" s="200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232"/>
      <c r="W182" s="232"/>
      <c r="X182" s="443">
        <v>1055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7" t="s">
        <v>289</v>
      </c>
      <c r="J183" s="200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232"/>
      <c r="W183" s="232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5"/>
      <c r="I184" s="61"/>
      <c r="J184" s="202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172"/>
      <c r="W184" s="172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900</v>
      </c>
      <c r="F185" s="29">
        <f>ROUND(X185/1000,0)</f>
        <v>741</v>
      </c>
      <c r="G185" s="30">
        <f t="shared" ref="G185" si="57">F185-E185</f>
        <v>-159</v>
      </c>
      <c r="H185" s="31">
        <f t="shared" ref="H185" si="58">IF(E185=0,0,G185/E185)</f>
        <v>-0.17666666666666667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75" t="s">
        <v>69</v>
      </c>
      <c r="W185" s="575"/>
      <c r="X185" s="129">
        <f>ROUNDUP(SUM(W186:X187),-3)</f>
        <v>741000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7" t="s">
        <v>290</v>
      </c>
      <c r="J186" s="200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232"/>
      <c r="W186" s="232"/>
      <c r="X186" s="444">
        <v>740613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7" t="s">
        <v>291</v>
      </c>
      <c r="J187" s="200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232"/>
      <c r="W187" s="232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200"/>
      <c r="K188" s="199"/>
      <c r="L188" s="199"/>
      <c r="M188" s="199"/>
      <c r="N188" s="232"/>
      <c r="O188" s="64"/>
      <c r="P188" s="59"/>
      <c r="Q188" s="64"/>
      <c r="R188" s="71"/>
      <c r="S188" s="65"/>
      <c r="T188" s="65"/>
      <c r="U188" s="232"/>
      <c r="V188" s="199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9" t="s">
        <v>109</v>
      </c>
      <c r="E189" s="192">
        <f>E190</f>
        <v>246</v>
      </c>
      <c r="F189" s="192">
        <f>F190</f>
        <v>127</v>
      </c>
      <c r="G189" s="193">
        <f t="shared" ref="G189:G190" si="59">F189-E189</f>
        <v>-119</v>
      </c>
      <c r="H189" s="194">
        <f t="shared" ref="H189:H190" si="60">IF(E189=0,0,G189/E189)</f>
        <v>-0.48373983739837401</v>
      </c>
      <c r="I189" s="176" t="s">
        <v>175</v>
      </c>
      <c r="J189" s="177"/>
      <c r="K189" s="178"/>
      <c r="L189" s="178"/>
      <c r="M189" s="178"/>
      <c r="N189" s="178"/>
      <c r="O189" s="178"/>
      <c r="P189" s="179"/>
      <c r="Q189" s="179"/>
      <c r="R189" s="179"/>
      <c r="S189" s="179"/>
      <c r="T189" s="179"/>
      <c r="U189" s="179"/>
      <c r="V189" s="213" t="s">
        <v>69</v>
      </c>
      <c r="W189" s="214"/>
      <c r="X189" s="214">
        <f>X190</f>
        <v>127000</v>
      </c>
      <c r="Y189" s="262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246</v>
      </c>
      <c r="F190" s="40">
        <f>ROUND(X190/1000,0)</f>
        <v>127</v>
      </c>
      <c r="G190" s="30">
        <f t="shared" si="59"/>
        <v>-119</v>
      </c>
      <c r="H190" s="31">
        <f t="shared" si="60"/>
        <v>-0.48373983739837401</v>
      </c>
      <c r="I190" s="289" t="s">
        <v>292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75"/>
      <c r="W190" s="575"/>
      <c r="X190" s="129">
        <f>ROUNDUP(SUM(W191:X192),-3)</f>
        <v>127000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7" t="s">
        <v>316</v>
      </c>
      <c r="J191" s="200"/>
      <c r="K191" s="199"/>
      <c r="L191" s="199"/>
      <c r="M191" s="199"/>
      <c r="N191" s="199"/>
      <c r="O191" s="199"/>
      <c r="P191" s="199"/>
      <c r="Q191" s="44"/>
      <c r="R191" s="44"/>
      <c r="S191" s="44"/>
      <c r="T191" s="199"/>
      <c r="U191" s="199"/>
      <c r="V191" s="199"/>
      <c r="W191" s="58"/>
      <c r="X191" s="443">
        <v>126132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7" t="s">
        <v>317</v>
      </c>
      <c r="J192" s="296"/>
      <c r="K192" s="295"/>
      <c r="L192" s="295"/>
      <c r="M192" s="295"/>
      <c r="N192" s="295"/>
      <c r="O192" s="295"/>
      <c r="P192" s="295"/>
      <c r="Q192" s="44"/>
      <c r="R192" s="44"/>
      <c r="S192" s="44"/>
      <c r="T192" s="295"/>
      <c r="U192" s="295"/>
      <c r="V192" s="295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200"/>
      <c r="K193" s="199"/>
      <c r="L193" s="199"/>
      <c r="M193" s="199"/>
      <c r="N193" s="199"/>
      <c r="O193" s="199"/>
      <c r="P193" s="199"/>
      <c r="Q193" s="44"/>
      <c r="R193" s="44"/>
      <c r="S193" s="44"/>
      <c r="T193" s="199"/>
      <c r="U193" s="199"/>
      <c r="V193" s="199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9" t="s">
        <v>109</v>
      </c>
      <c r="E194" s="192">
        <f>E195</f>
        <v>0</v>
      </c>
      <c r="F194" s="192">
        <f>F195</f>
        <v>0</v>
      </c>
      <c r="G194" s="193">
        <f t="shared" ref="G194:G195" si="61">F194-E194</f>
        <v>0</v>
      </c>
      <c r="H194" s="194">
        <f t="shared" ref="H194:H195" si="62">IF(E194=0,0,G194/E194)</f>
        <v>0</v>
      </c>
      <c r="I194" s="176" t="s">
        <v>179</v>
      </c>
      <c r="J194" s="177"/>
      <c r="K194" s="178"/>
      <c r="L194" s="178"/>
      <c r="M194" s="178"/>
      <c r="N194" s="178"/>
      <c r="O194" s="178"/>
      <c r="P194" s="179"/>
      <c r="Q194" s="179"/>
      <c r="R194" s="179"/>
      <c r="S194" s="179"/>
      <c r="T194" s="179"/>
      <c r="U194" s="179"/>
      <c r="V194" s="213" t="s">
        <v>69</v>
      </c>
      <c r="W194" s="214"/>
      <c r="X194" s="214">
        <f>ROUND(SUM(W195:X196),-3)</f>
        <v>0</v>
      </c>
      <c r="Y194" s="262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 t="shared" si="61"/>
        <v>0</v>
      </c>
      <c r="H195" s="31">
        <f t="shared" si="62"/>
        <v>0</v>
      </c>
      <c r="I195" s="57"/>
      <c r="J195" s="200"/>
      <c r="K195" s="199"/>
      <c r="L195" s="199"/>
      <c r="M195" s="199"/>
      <c r="N195" s="232"/>
      <c r="O195" s="64"/>
      <c r="P195" s="59"/>
      <c r="Q195" s="64"/>
      <c r="R195" s="71"/>
      <c r="S195" s="65"/>
      <c r="T195" s="65"/>
      <c r="U195" s="232"/>
      <c r="V195" s="199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202"/>
      <c r="K196" s="201"/>
      <c r="L196" s="201"/>
      <c r="M196" s="201"/>
      <c r="N196" s="201"/>
      <c r="O196" s="201"/>
      <c r="P196" s="201"/>
      <c r="Q196" s="117"/>
      <c r="R196" s="117"/>
      <c r="S196" s="117"/>
      <c r="T196" s="201"/>
      <c r="U196" s="201"/>
      <c r="V196" s="201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73" t="s">
        <v>253</v>
      </c>
      <c r="D197" s="574"/>
      <c r="E197" s="242">
        <f>SUM(E198,E201,E209)</f>
        <v>1482</v>
      </c>
      <c r="F197" s="242">
        <f>SUM(F198,F201,F209)</f>
        <v>1721</v>
      </c>
      <c r="G197" s="243">
        <f t="shared" ref="G197:G199" si="63">F197-E197</f>
        <v>239</v>
      </c>
      <c r="H197" s="244">
        <f t="shared" ref="H197:H199" si="64">IF(E197=0,0,G197/E197)</f>
        <v>0.16126855600539811</v>
      </c>
      <c r="I197" s="245" t="s">
        <v>258</v>
      </c>
      <c r="J197" s="246"/>
      <c r="K197" s="247"/>
      <c r="L197" s="247"/>
      <c r="M197" s="246"/>
      <c r="N197" s="246"/>
      <c r="O197" s="246"/>
      <c r="P197" s="246"/>
      <c r="Q197" s="246" t="s">
        <v>64</v>
      </c>
      <c r="R197" s="248"/>
      <c r="S197" s="248"/>
      <c r="T197" s="248"/>
      <c r="U197" s="248"/>
      <c r="V197" s="248"/>
      <c r="W197" s="248"/>
      <c r="X197" s="258">
        <f>SUM(X198,X201,X209)</f>
        <v>1721000</v>
      </c>
      <c r="Y197" s="266" t="s">
        <v>243</v>
      </c>
      <c r="Z197" s="250"/>
      <c r="AA197" s="251"/>
      <c r="AB197" s="251"/>
      <c r="AC197" s="252"/>
      <c r="AD197" s="253"/>
      <c r="AE197" s="254"/>
      <c r="AF197" s="255"/>
      <c r="AG197" s="256"/>
      <c r="AH197" s="256"/>
      <c r="AI197" s="255"/>
      <c r="AJ197" s="255"/>
      <c r="AK197" s="255"/>
      <c r="AL197" s="255"/>
      <c r="AM197" s="255"/>
      <c r="AN197" s="254"/>
      <c r="AO197" s="254"/>
      <c r="AP197" s="254"/>
      <c r="AQ197" s="254"/>
      <c r="AR197" s="254"/>
      <c r="AS197" s="254"/>
      <c r="AT197" s="257"/>
      <c r="AU197" s="255"/>
    </row>
    <row r="198" spans="1:47" ht="21" customHeight="1">
      <c r="A198" s="37"/>
      <c r="B198" s="84"/>
      <c r="C198" s="28" t="s">
        <v>180</v>
      </c>
      <c r="D198" s="259" t="s">
        <v>109</v>
      </c>
      <c r="E198" s="192">
        <f>E199</f>
        <v>0</v>
      </c>
      <c r="F198" s="192">
        <f>F199</f>
        <v>0</v>
      </c>
      <c r="G198" s="193">
        <f t="shared" si="63"/>
        <v>0</v>
      </c>
      <c r="H198" s="194">
        <f t="shared" si="64"/>
        <v>0</v>
      </c>
      <c r="I198" s="176" t="s">
        <v>189</v>
      </c>
      <c r="J198" s="177"/>
      <c r="K198" s="178"/>
      <c r="L198" s="178"/>
      <c r="M198" s="178"/>
      <c r="N198" s="178"/>
      <c r="O198" s="178"/>
      <c r="P198" s="179"/>
      <c r="Q198" s="179"/>
      <c r="R198" s="179"/>
      <c r="S198" s="179"/>
      <c r="T198" s="179"/>
      <c r="U198" s="179"/>
      <c r="V198" s="213" t="s">
        <v>69</v>
      </c>
      <c r="W198" s="214"/>
      <c r="X198" s="215">
        <f>SUM(X199:X199)</f>
        <v>0</v>
      </c>
      <c r="Y198" s="262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 t="shared" si="63"/>
        <v>0</v>
      </c>
      <c r="H199" s="31">
        <f t="shared" si="64"/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75" t="s">
        <v>69</v>
      </c>
      <c r="W199" s="575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200"/>
      <c r="K200" s="199"/>
      <c r="L200" s="199"/>
      <c r="M200" s="199"/>
      <c r="N200" s="232"/>
      <c r="O200" s="64"/>
      <c r="P200" s="59"/>
      <c r="Q200" s="64"/>
      <c r="R200" s="71"/>
      <c r="S200" s="65"/>
      <c r="T200" s="65"/>
      <c r="U200" s="232"/>
      <c r="V200" s="199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9" t="s">
        <v>109</v>
      </c>
      <c r="E201" s="192">
        <f>E202</f>
        <v>28</v>
      </c>
      <c r="F201" s="192">
        <f>F202</f>
        <v>29</v>
      </c>
      <c r="G201" s="193">
        <f t="shared" ref="G201:G202" si="65">F201-E201</f>
        <v>1</v>
      </c>
      <c r="H201" s="194">
        <f t="shared" ref="H201:H202" si="66">IF(E201=0,0,G201/E201)</f>
        <v>3.5714285714285712E-2</v>
      </c>
      <c r="I201" s="176" t="s">
        <v>190</v>
      </c>
      <c r="J201" s="177"/>
      <c r="K201" s="178"/>
      <c r="L201" s="178"/>
      <c r="M201" s="178"/>
      <c r="N201" s="178"/>
      <c r="O201" s="178"/>
      <c r="P201" s="179"/>
      <c r="Q201" s="179"/>
      <c r="R201" s="179"/>
      <c r="S201" s="179"/>
      <c r="T201" s="179"/>
      <c r="U201" s="179"/>
      <c r="V201" s="213" t="s">
        <v>69</v>
      </c>
      <c r="W201" s="214"/>
      <c r="X201" s="214">
        <f>SUM(X202:X202)</f>
        <v>29000</v>
      </c>
      <c r="Y201" s="262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28</v>
      </c>
      <c r="F202" s="40">
        <f>ROUND(X202/1000,0)</f>
        <v>29</v>
      </c>
      <c r="G202" s="30">
        <f t="shared" si="65"/>
        <v>1</v>
      </c>
      <c r="H202" s="31">
        <f t="shared" si="66"/>
        <v>3.5714285714285712E-2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75"/>
      <c r="W202" s="575"/>
      <c r="X202" s="129">
        <f>ROUND(SUM(W203:X207),-3)</f>
        <v>29000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320</v>
      </c>
      <c r="J203" s="200"/>
      <c r="K203" s="199"/>
      <c r="L203" s="199"/>
      <c r="M203" s="199"/>
      <c r="N203" s="199"/>
      <c r="O203" s="199"/>
      <c r="P203" s="199"/>
      <c r="Q203" s="44"/>
      <c r="R203" s="44"/>
      <c r="S203" s="44"/>
      <c r="T203" s="199"/>
      <c r="U203" s="199"/>
      <c r="V203" s="199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523</v>
      </c>
      <c r="J204" s="296"/>
      <c r="K204" s="295"/>
      <c r="L204" s="295"/>
      <c r="M204" s="295"/>
      <c r="N204" s="295"/>
      <c r="O204" s="295"/>
      <c r="P204" s="295"/>
      <c r="Q204" s="44"/>
      <c r="R204" s="44"/>
      <c r="S204" s="44"/>
      <c r="T204" s="295"/>
      <c r="U204" s="295"/>
      <c r="V204" s="295"/>
      <c r="W204" s="58"/>
      <c r="X204" s="58">
        <v>2000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200"/>
      <c r="K205" s="199"/>
      <c r="L205" s="199"/>
      <c r="M205" s="199"/>
      <c r="N205" s="199"/>
      <c r="O205" s="199"/>
      <c r="P205" s="199"/>
      <c r="Q205" s="44"/>
      <c r="R205" s="44"/>
      <c r="S205" s="44"/>
      <c r="T205" s="199"/>
      <c r="U205" s="199"/>
      <c r="V205" s="199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00"/>
      <c r="K206" s="199"/>
      <c r="L206" s="199"/>
      <c r="M206" s="199"/>
      <c r="N206" s="199"/>
      <c r="O206" s="199"/>
      <c r="P206" s="199"/>
      <c r="Q206" s="44"/>
      <c r="R206" s="44"/>
      <c r="S206" s="44"/>
      <c r="T206" s="199"/>
      <c r="U206" s="199"/>
      <c r="V206" s="199"/>
      <c r="W206" s="58"/>
      <c r="X206" s="58">
        <v>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00"/>
      <c r="K207" s="199"/>
      <c r="L207" s="199"/>
      <c r="M207" s="199"/>
      <c r="N207" s="199"/>
      <c r="O207" s="199"/>
      <c r="P207" s="199"/>
      <c r="Q207" s="44"/>
      <c r="R207" s="44"/>
      <c r="S207" s="44"/>
      <c r="T207" s="199"/>
      <c r="U207" s="199"/>
      <c r="V207" s="199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200"/>
      <c r="K208" s="199"/>
      <c r="L208" s="199"/>
      <c r="M208" s="199"/>
      <c r="N208" s="199"/>
      <c r="O208" s="199"/>
      <c r="P208" s="199"/>
      <c r="Q208" s="44"/>
      <c r="R208" s="44"/>
      <c r="S208" s="44"/>
      <c r="T208" s="199"/>
      <c r="U208" s="199"/>
      <c r="V208" s="199"/>
      <c r="W208" s="58"/>
      <c r="X208" s="58" t="s">
        <v>322</v>
      </c>
      <c r="Y208" s="47"/>
      <c r="Z208" s="6"/>
    </row>
    <row r="209" spans="1:26" s="11" customFormat="1" ht="19.5" customHeight="1">
      <c r="A209" s="50"/>
      <c r="B209" s="80"/>
      <c r="C209" s="28" t="s">
        <v>145</v>
      </c>
      <c r="D209" s="259" t="s">
        <v>259</v>
      </c>
      <c r="E209" s="192">
        <f>E210</f>
        <v>1454</v>
      </c>
      <c r="F209" s="192">
        <f>F210</f>
        <v>1692</v>
      </c>
      <c r="G209" s="193">
        <f t="shared" ref="G209:G210" si="67">F209-E209</f>
        <v>238</v>
      </c>
      <c r="H209" s="194">
        <f t="shared" ref="H209:H210" si="68">IF(E209=0,0,G209/E209)</f>
        <v>0.16368638239339753</v>
      </c>
      <c r="I209" s="176" t="s">
        <v>242</v>
      </c>
      <c r="J209" s="177"/>
      <c r="K209" s="178"/>
      <c r="L209" s="178"/>
      <c r="M209" s="178"/>
      <c r="N209" s="178"/>
      <c r="O209" s="178"/>
      <c r="P209" s="179"/>
      <c r="Q209" s="179"/>
      <c r="R209" s="179"/>
      <c r="S209" s="179"/>
      <c r="T209" s="179"/>
      <c r="U209" s="179"/>
      <c r="V209" s="213" t="s">
        <v>248</v>
      </c>
      <c r="W209" s="214"/>
      <c r="X209" s="214">
        <f>SUM(X210:X210)</f>
        <v>1692000</v>
      </c>
      <c r="Y209" s="262" t="s">
        <v>243</v>
      </c>
      <c r="Z209" s="6"/>
    </row>
    <row r="210" spans="1:26" s="11" customFormat="1" ht="19.5" customHeight="1">
      <c r="A210" s="50"/>
      <c r="B210" s="80"/>
      <c r="C210" s="38" t="s">
        <v>187</v>
      </c>
      <c r="D210" s="38" t="s">
        <v>188</v>
      </c>
      <c r="E210" s="40">
        <v>1454</v>
      </c>
      <c r="F210" s="40">
        <f>ROUND(X210/1000,0)</f>
        <v>1692</v>
      </c>
      <c r="G210" s="30">
        <f t="shared" si="67"/>
        <v>238</v>
      </c>
      <c r="H210" s="31">
        <f t="shared" si="68"/>
        <v>0.16368638239339753</v>
      </c>
      <c r="I210" s="127" t="s">
        <v>242</v>
      </c>
      <c r="J210" s="13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575"/>
      <c r="W210" s="575"/>
      <c r="X210" s="129">
        <f>ROUND(SUM(W211:X213),-3)</f>
        <v>1692000</v>
      </c>
      <c r="Y210" s="130" t="s">
        <v>56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25" t="s">
        <v>511</v>
      </c>
      <c r="J211" s="526"/>
      <c r="K211" s="527"/>
      <c r="L211" s="527"/>
      <c r="M211" s="527"/>
      <c r="N211" s="527"/>
      <c r="O211" s="527"/>
      <c r="P211" s="527"/>
      <c r="Q211" s="527"/>
      <c r="R211" s="527"/>
      <c r="S211" s="527"/>
      <c r="T211" s="527"/>
      <c r="U211" s="527"/>
      <c r="V211" s="527"/>
      <c r="W211" s="528"/>
      <c r="X211" s="528">
        <v>10000</v>
      </c>
      <c r="Y211" s="529" t="s">
        <v>25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25" t="s">
        <v>502</v>
      </c>
      <c r="J212" s="526"/>
      <c r="K212" s="527"/>
      <c r="L212" s="527"/>
      <c r="M212" s="527"/>
      <c r="N212" s="527"/>
      <c r="O212" s="527"/>
      <c r="P212" s="527"/>
      <c r="Q212" s="527"/>
      <c r="R212" s="527"/>
      <c r="S212" s="527"/>
      <c r="T212" s="527"/>
      <c r="U212" s="527"/>
      <c r="V212" s="527"/>
      <c r="W212" s="528"/>
      <c r="X212" s="528">
        <v>2000</v>
      </c>
      <c r="Y212" s="529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7" t="s">
        <v>321</v>
      </c>
      <c r="J213" s="199"/>
      <c r="K213" s="199"/>
      <c r="L213" s="199"/>
      <c r="M213" s="199">
        <v>70000</v>
      </c>
      <c r="N213" s="199" t="s">
        <v>243</v>
      </c>
      <c r="O213" s="200" t="s">
        <v>244</v>
      </c>
      <c r="P213" s="199">
        <v>2</v>
      </c>
      <c r="Q213" s="200" t="s">
        <v>245</v>
      </c>
      <c r="R213" s="200" t="s">
        <v>244</v>
      </c>
      <c r="S213" s="199">
        <v>12</v>
      </c>
      <c r="T213" s="199" t="s">
        <v>246</v>
      </c>
      <c r="U213" s="232" t="s">
        <v>247</v>
      </c>
      <c r="V213" s="232"/>
      <c r="W213" s="200"/>
      <c r="X213" s="199">
        <f>ROUND(M213*P213*S213,-3)</f>
        <v>1680000</v>
      </c>
      <c r="Y213" s="47" t="s">
        <v>243</v>
      </c>
      <c r="Z213" s="6"/>
    </row>
    <row r="214" spans="1:26" s="11" customFormat="1" ht="19.5" customHeight="1" thickBot="1">
      <c r="A214" s="88"/>
      <c r="B214" s="89"/>
      <c r="C214" s="89"/>
      <c r="D214" s="90"/>
      <c r="E214" s="91"/>
      <c r="F214" s="91"/>
      <c r="G214" s="92"/>
      <c r="H214" s="93"/>
      <c r="I214" s="53"/>
      <c r="J214" s="55"/>
      <c r="K214" s="55"/>
      <c r="L214" s="55"/>
      <c r="M214" s="55"/>
      <c r="N214" s="55"/>
      <c r="O214" s="54"/>
      <c r="P214" s="55"/>
      <c r="Q214" s="54"/>
      <c r="R214" s="54"/>
      <c r="S214" s="55"/>
      <c r="T214" s="55"/>
      <c r="U214" s="94"/>
      <c r="V214" s="94"/>
      <c r="W214" s="54"/>
      <c r="X214" s="55"/>
      <c r="Y214" s="56"/>
      <c r="Z214" s="6"/>
    </row>
    <row r="225" spans="26:26" ht="19.5" customHeight="1">
      <c r="Z225" s="6" t="s">
        <v>61</v>
      </c>
    </row>
  </sheetData>
  <mergeCells count="29">
    <mergeCell ref="V210:W210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A1:D1"/>
    <mergeCell ref="A2:D2"/>
    <mergeCell ref="E2:E3"/>
    <mergeCell ref="A4:D4"/>
    <mergeCell ref="C172:D17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firstPageNumber="16" fitToHeight="0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4"/>
  <sheetViews>
    <sheetView tabSelected="1" workbookViewId="0">
      <selection activeCell="L12" sqref="L1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5" t="s">
        <v>522</v>
      </c>
      <c r="B1" s="565"/>
      <c r="C1" s="565"/>
      <c r="D1" s="565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6" t="s">
        <v>22</v>
      </c>
      <c r="B2" s="567"/>
      <c r="C2" s="567"/>
      <c r="D2" s="568" t="s">
        <v>519</v>
      </c>
      <c r="E2" s="591" t="s">
        <v>532</v>
      </c>
      <c r="F2" s="592"/>
      <c r="G2" s="592"/>
      <c r="H2" s="592"/>
      <c r="I2" s="592"/>
      <c r="J2" s="592"/>
      <c r="K2" s="592"/>
      <c r="L2" s="593"/>
      <c r="M2" s="576" t="s">
        <v>23</v>
      </c>
      <c r="N2" s="576"/>
      <c r="O2" s="594" t="s">
        <v>325</v>
      </c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6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9"/>
      <c r="E3" s="149" t="s">
        <v>326</v>
      </c>
      <c r="F3" s="149" t="s">
        <v>323</v>
      </c>
      <c r="G3" s="149" t="s">
        <v>324</v>
      </c>
      <c r="H3" s="149" t="s">
        <v>433</v>
      </c>
      <c r="I3" s="149" t="s">
        <v>327</v>
      </c>
      <c r="J3" s="149" t="s">
        <v>328</v>
      </c>
      <c r="K3" s="149" t="s">
        <v>329</v>
      </c>
      <c r="L3" s="149" t="s">
        <v>330</v>
      </c>
      <c r="M3" s="132" t="s">
        <v>331</v>
      </c>
      <c r="N3" s="96" t="s">
        <v>4</v>
      </c>
      <c r="O3" s="597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9"/>
    </row>
    <row r="4" spans="1:31" s="11" customFormat="1" ht="21" customHeight="1">
      <c r="A4" s="600" t="s">
        <v>31</v>
      </c>
      <c r="B4" s="601"/>
      <c r="C4" s="601"/>
      <c r="D4" s="313">
        <f t="shared" ref="D4:L4" si="0">SUM(D5,D111,D135,D187,D190)</f>
        <v>118132</v>
      </c>
      <c r="E4" s="313">
        <f t="shared" si="0"/>
        <v>158505</v>
      </c>
      <c r="F4" s="313">
        <f t="shared" ca="1" si="0"/>
        <v>118991</v>
      </c>
      <c r="G4" s="313">
        <f t="shared" si="0"/>
        <v>1644</v>
      </c>
      <c r="H4" s="313">
        <f t="shared" si="0"/>
        <v>2300</v>
      </c>
      <c r="I4" s="313">
        <f t="shared" si="0"/>
        <v>830</v>
      </c>
      <c r="J4" s="313">
        <f t="shared" si="0"/>
        <v>15803</v>
      </c>
      <c r="K4" s="313">
        <f t="shared" si="0"/>
        <v>16502</v>
      </c>
      <c r="L4" s="313">
        <f t="shared" si="0"/>
        <v>2435</v>
      </c>
      <c r="M4" s="314">
        <f>E4-D4</f>
        <v>40373</v>
      </c>
      <c r="N4" s="315">
        <f>IF(D4=0,0,M4/D4)</f>
        <v>0.34176175803338638</v>
      </c>
      <c r="O4" s="316" t="s">
        <v>332</v>
      </c>
      <c r="P4" s="317"/>
      <c r="Q4" s="317"/>
      <c r="R4" s="317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>
        <f>SUM(AD5,AD111,AD135,AD187,AD190)</f>
        <v>158505000</v>
      </c>
      <c r="AE4" s="319" t="s">
        <v>25</v>
      </c>
    </row>
    <row r="5" spans="1:31" s="11" customFormat="1" ht="21" customHeight="1">
      <c r="A5" s="101" t="s">
        <v>6</v>
      </c>
      <c r="B5" s="602" t="s">
        <v>7</v>
      </c>
      <c r="C5" s="603"/>
      <c r="D5" s="320">
        <f t="shared" ref="D5:L5" si="1">SUM(D6,D63,D72)</f>
        <v>97807</v>
      </c>
      <c r="E5" s="320">
        <f t="shared" si="1"/>
        <v>100774</v>
      </c>
      <c r="F5" s="320">
        <f t="shared" si="1"/>
        <v>94021</v>
      </c>
      <c r="G5" s="320">
        <f t="shared" si="1"/>
        <v>0</v>
      </c>
      <c r="H5" s="320">
        <f t="shared" si="1"/>
        <v>300</v>
      </c>
      <c r="I5" s="320">
        <f t="shared" si="1"/>
        <v>250</v>
      </c>
      <c r="J5" s="320">
        <f t="shared" si="1"/>
        <v>3766</v>
      </c>
      <c r="K5" s="320">
        <f t="shared" si="1"/>
        <v>2</v>
      </c>
      <c r="L5" s="320">
        <f t="shared" si="1"/>
        <v>2435</v>
      </c>
      <c r="M5" s="321">
        <f>E5-D5</f>
        <v>2967</v>
      </c>
      <c r="N5" s="322">
        <f>IF(D5=0,0,M5/D5)</f>
        <v>3.0335252078072122E-2</v>
      </c>
      <c r="O5" s="323" t="s">
        <v>295</v>
      </c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>
        <f>SUM(AD6,AD63,AD72)</f>
        <v>100774000</v>
      </c>
      <c r="AE5" s="325" t="s">
        <v>25</v>
      </c>
    </row>
    <row r="6" spans="1:31" s="11" customFormat="1" ht="21" customHeight="1">
      <c r="A6" s="37"/>
      <c r="B6" s="28" t="s">
        <v>8</v>
      </c>
      <c r="C6" s="326" t="s">
        <v>5</v>
      </c>
      <c r="D6" s="426">
        <f t="shared" ref="D6:L6" si="2">SUM(D7,D10,D13,D30,D38,D57)</f>
        <v>87011</v>
      </c>
      <c r="E6" s="327">
        <f t="shared" si="2"/>
        <v>89425</v>
      </c>
      <c r="F6" s="327">
        <f t="shared" si="2"/>
        <v>88775</v>
      </c>
      <c r="G6" s="327">
        <f t="shared" si="2"/>
        <v>0</v>
      </c>
      <c r="H6" s="327">
        <f t="shared" si="2"/>
        <v>300</v>
      </c>
      <c r="I6" s="327">
        <f t="shared" si="2"/>
        <v>250</v>
      </c>
      <c r="J6" s="327">
        <f t="shared" si="2"/>
        <v>100</v>
      </c>
      <c r="K6" s="327">
        <f t="shared" si="2"/>
        <v>0</v>
      </c>
      <c r="L6" s="327">
        <f t="shared" si="2"/>
        <v>0</v>
      </c>
      <c r="M6" s="328">
        <f>E6-D6</f>
        <v>2414</v>
      </c>
      <c r="N6" s="329">
        <f>IF(D6=0,0,M6/D6)</f>
        <v>2.7743618622932734E-2</v>
      </c>
      <c r="O6" s="330" t="s">
        <v>305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SUM(AD7,AD10,AD13,AD30,AD38,AD57)</f>
        <v>89425000</v>
      </c>
      <c r="AE6" s="332" t="s">
        <v>25</v>
      </c>
    </row>
    <row r="7" spans="1:31" s="11" customFormat="1" ht="21" customHeight="1">
      <c r="A7" s="37"/>
      <c r="B7" s="38"/>
      <c r="C7" s="28" t="s">
        <v>32</v>
      </c>
      <c r="D7" s="135">
        <v>52294</v>
      </c>
      <c r="E7" s="103">
        <f>ROUND(AD7/1000,0)</f>
        <v>53685</v>
      </c>
      <c r="F7" s="103">
        <f>SUMIF($AB$8:$AB$9,"보조",$AD$8:$AD$9)/1000</f>
        <v>53685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1391</v>
      </c>
      <c r="N7" s="281">
        <f>IF(D7=0,0,M7/D7)</f>
        <v>2.6599609897885033E-2</v>
      </c>
      <c r="O7" s="105" t="s">
        <v>333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53685000</v>
      </c>
      <c r="AE7" s="108" t="s">
        <v>334</v>
      </c>
    </row>
    <row r="8" spans="1:31" s="11" customFormat="1" ht="21" customHeight="1">
      <c r="A8" s="37"/>
      <c r="B8" s="38"/>
      <c r="C8" s="38"/>
      <c r="D8" s="447"/>
      <c r="E8" s="448"/>
      <c r="F8" s="448"/>
      <c r="G8" s="448"/>
      <c r="H8" s="448"/>
      <c r="I8" s="448"/>
      <c r="J8" s="448"/>
      <c r="K8" s="448"/>
      <c r="L8" s="448"/>
      <c r="M8" s="97"/>
      <c r="N8" s="60"/>
      <c r="O8" s="385" t="s">
        <v>492</v>
      </c>
      <c r="P8" s="385"/>
      <c r="Q8" s="385"/>
      <c r="R8" s="385"/>
      <c r="S8" s="277"/>
      <c r="T8" s="273"/>
      <c r="U8" s="273"/>
      <c r="V8" s="273"/>
      <c r="W8" s="273"/>
      <c r="X8" s="273"/>
      <c r="Y8" s="273"/>
      <c r="Z8" s="273"/>
      <c r="AA8" s="349"/>
      <c r="AB8" s="349" t="s">
        <v>335</v>
      </c>
      <c r="AC8" s="350"/>
      <c r="AD8" s="407">
        <v>53685000</v>
      </c>
      <c r="AE8" s="351" t="s">
        <v>334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5"/>
      <c r="P9" s="385"/>
      <c r="Q9" s="385"/>
      <c r="R9" s="385"/>
      <c r="S9" s="277"/>
      <c r="T9" s="273"/>
      <c r="U9" s="273"/>
      <c r="V9" s="273"/>
      <c r="W9" s="273"/>
      <c r="X9" s="273"/>
      <c r="Y9" s="273"/>
      <c r="Z9" s="273"/>
      <c r="AA9" s="349"/>
      <c r="AB9" s="349"/>
      <c r="AC9" s="350"/>
      <c r="AD9" s="407"/>
      <c r="AE9" s="351"/>
    </row>
    <row r="10" spans="1:31" s="11" customFormat="1" ht="21" customHeight="1">
      <c r="A10" s="37"/>
      <c r="B10" s="38"/>
      <c r="C10" s="28" t="s">
        <v>340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341</v>
      </c>
      <c r="P10" s="432"/>
      <c r="Q10" s="154"/>
      <c r="R10" s="154"/>
      <c r="S10" s="154"/>
      <c r="T10" s="153"/>
      <c r="U10" s="153"/>
      <c r="V10" s="151"/>
      <c r="W10" s="87" t="s">
        <v>342</v>
      </c>
      <c r="X10" s="87"/>
      <c r="Y10" s="87"/>
      <c r="Z10" s="87"/>
      <c r="AA10" s="87"/>
      <c r="AB10" s="87"/>
      <c r="AC10" s="107"/>
      <c r="AD10" s="107">
        <v>0</v>
      </c>
      <c r="AE10" s="108" t="s">
        <v>343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2"/>
      <c r="P11" s="152"/>
      <c r="Q11" s="152"/>
      <c r="R11" s="152"/>
      <c r="S11" s="152"/>
      <c r="T11" s="151"/>
      <c r="U11" s="151"/>
      <c r="V11" s="151"/>
      <c r="W11" s="151"/>
      <c r="X11" s="151"/>
      <c r="Y11" s="151"/>
      <c r="Z11" s="151"/>
      <c r="AA11" s="151"/>
      <c r="AB11" s="151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6"/>
      <c r="P12" s="296"/>
      <c r="Q12" s="296"/>
      <c r="R12" s="296"/>
      <c r="S12" s="295"/>
      <c r="T12" s="295"/>
      <c r="U12" s="296"/>
      <c r="V12" s="295"/>
      <c r="W12" s="295"/>
      <c r="X12" s="296"/>
      <c r="Y12" s="81"/>
      <c r="Z12" s="295"/>
      <c r="AA12" s="295"/>
      <c r="AB12" s="295"/>
      <c r="AC12" s="58"/>
      <c r="AD12" s="295"/>
      <c r="AE12" s="47"/>
    </row>
    <row r="13" spans="1:31" s="11" customFormat="1" ht="21" customHeight="1">
      <c r="A13" s="37"/>
      <c r="B13" s="38"/>
      <c r="C13" s="28" t="s">
        <v>33</v>
      </c>
      <c r="D13" s="135">
        <v>20732</v>
      </c>
      <c r="E13" s="103">
        <f>ROUND(AD13/1000,0)</f>
        <v>21126</v>
      </c>
      <c r="F13" s="103">
        <f>SUMIF($AB$14:$AB$29,"보조",$AD$14:$AD$29)/1000</f>
        <v>20976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394</v>
      </c>
      <c r="N13" s="109">
        <f>IF(D13=0,0,M13/D13)</f>
        <v>1.9004437584410575E-2</v>
      </c>
      <c r="O13" s="85" t="s">
        <v>34</v>
      </c>
      <c r="P13" s="432"/>
      <c r="Q13" s="154"/>
      <c r="R13" s="154"/>
      <c r="S13" s="154"/>
      <c r="T13" s="153"/>
      <c r="U13" s="153"/>
      <c r="V13" s="153"/>
      <c r="W13" s="431" t="s">
        <v>342</v>
      </c>
      <c r="X13" s="431"/>
      <c r="Y13" s="431"/>
      <c r="Z13" s="431"/>
      <c r="AA13" s="431"/>
      <c r="AB13" s="431"/>
      <c r="AC13" s="147"/>
      <c r="AD13" s="147">
        <f>명절휴가비+가족수당+연장근로수당+AD23+AD26</f>
        <v>21126000</v>
      </c>
      <c r="AE13" s="146" t="s">
        <v>334</v>
      </c>
    </row>
    <row r="14" spans="1:31" s="11" customFormat="1" ht="21" customHeight="1">
      <c r="A14" s="37"/>
      <c r="B14" s="38"/>
      <c r="C14" s="38"/>
      <c r="D14" s="445"/>
      <c r="E14" s="446"/>
      <c r="F14" s="446"/>
      <c r="G14" s="446"/>
      <c r="H14" s="446"/>
      <c r="I14" s="446"/>
      <c r="J14" s="446"/>
      <c r="K14" s="446"/>
      <c r="L14" s="446"/>
      <c r="M14" s="97"/>
      <c r="N14" s="60"/>
      <c r="O14" s="385" t="s">
        <v>344</v>
      </c>
      <c r="P14" s="277"/>
      <c r="Q14" s="277"/>
      <c r="R14" s="277"/>
      <c r="S14" s="277"/>
      <c r="T14" s="273"/>
      <c r="U14" s="273"/>
      <c r="V14" s="273"/>
      <c r="W14" s="349" t="s">
        <v>345</v>
      </c>
      <c r="X14" s="349"/>
      <c r="Y14" s="349"/>
      <c r="Z14" s="349"/>
      <c r="AA14" s="349"/>
      <c r="AB14" s="349"/>
      <c r="AC14" s="350" t="s">
        <v>346</v>
      </c>
      <c r="AD14" s="350">
        <f>ROUND(SUM(AD15:AD16),-3)</f>
        <v>5593000</v>
      </c>
      <c r="AE14" s="351" t="s">
        <v>334</v>
      </c>
    </row>
    <row r="15" spans="1:31" s="11" customFormat="1" ht="21" customHeight="1">
      <c r="A15" s="37"/>
      <c r="B15" s="38"/>
      <c r="C15" s="38"/>
      <c r="D15" s="447"/>
      <c r="E15" s="448"/>
      <c r="F15" s="448"/>
      <c r="G15" s="448"/>
      <c r="H15" s="448"/>
      <c r="I15" s="448"/>
      <c r="J15" s="448"/>
      <c r="K15" s="448"/>
      <c r="L15" s="448"/>
      <c r="M15" s="97"/>
      <c r="N15" s="60"/>
      <c r="O15" s="277" t="s">
        <v>493</v>
      </c>
      <c r="P15" s="277"/>
      <c r="Q15" s="277"/>
      <c r="R15" s="277"/>
      <c r="S15" s="277"/>
      <c r="T15" s="273"/>
      <c r="U15" s="273"/>
      <c r="V15" s="273"/>
      <c r="W15" s="273"/>
      <c r="X15" s="273"/>
      <c r="Y15" s="273"/>
      <c r="Z15" s="273"/>
      <c r="AA15" s="273"/>
      <c r="AB15" s="273" t="s">
        <v>335</v>
      </c>
      <c r="AC15" s="278"/>
      <c r="AD15" s="121">
        <v>5593000</v>
      </c>
      <c r="AE15" s="303" t="s">
        <v>334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7"/>
      <c r="P16" s="277"/>
      <c r="Q16" s="277"/>
      <c r="R16" s="277"/>
      <c r="S16" s="277"/>
      <c r="T16" s="273"/>
      <c r="U16" s="273"/>
      <c r="V16" s="273"/>
      <c r="W16" s="273"/>
      <c r="X16" s="273"/>
      <c r="Y16" s="273"/>
      <c r="Z16" s="273"/>
      <c r="AA16" s="273"/>
      <c r="AB16" s="273"/>
      <c r="AC16" s="278"/>
      <c r="AD16" s="121"/>
      <c r="AE16" s="303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5" t="s">
        <v>347</v>
      </c>
      <c r="P17" s="277"/>
      <c r="Q17" s="277"/>
      <c r="R17" s="277"/>
      <c r="S17" s="277"/>
      <c r="T17" s="273"/>
      <c r="U17" s="273"/>
      <c r="V17" s="273"/>
      <c r="W17" s="349" t="s">
        <v>345</v>
      </c>
      <c r="X17" s="349"/>
      <c r="Y17" s="349"/>
      <c r="Z17" s="349"/>
      <c r="AA17" s="349"/>
      <c r="AB17" s="349"/>
      <c r="AC17" s="350" t="s">
        <v>346</v>
      </c>
      <c r="AD17" s="350">
        <f>SUM(AD18:AD19)</f>
        <v>1560000</v>
      </c>
      <c r="AE17" s="351" t="s">
        <v>334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7" t="s">
        <v>422</v>
      </c>
      <c r="P18" s="277"/>
      <c r="Q18" s="277"/>
      <c r="R18" s="277"/>
      <c r="S18" s="277"/>
      <c r="T18" s="273"/>
      <c r="U18" s="273"/>
      <c r="V18" s="273"/>
      <c r="W18" s="273"/>
      <c r="X18" s="273"/>
      <c r="Y18" s="273"/>
      <c r="Z18" s="273"/>
      <c r="AA18" s="273"/>
      <c r="AB18" s="273" t="s">
        <v>335</v>
      </c>
      <c r="AC18" s="278"/>
      <c r="AD18" s="278">
        <v>1560000</v>
      </c>
      <c r="AE18" s="303" t="s">
        <v>334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7"/>
      <c r="P19" s="277"/>
      <c r="Q19" s="277"/>
      <c r="R19" s="277"/>
      <c r="S19" s="277"/>
      <c r="T19" s="273"/>
      <c r="U19" s="273"/>
      <c r="V19" s="273"/>
      <c r="W19" s="273"/>
      <c r="X19" s="273"/>
      <c r="Y19" s="273"/>
      <c r="Z19" s="273"/>
      <c r="AA19" s="273"/>
      <c r="AB19" s="273"/>
      <c r="AC19" s="278"/>
      <c r="AD19" s="278"/>
      <c r="AE19" s="303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5" t="s">
        <v>348</v>
      </c>
      <c r="P20" s="277"/>
      <c r="Q20" s="277"/>
      <c r="R20" s="277"/>
      <c r="S20" s="277"/>
      <c r="T20" s="273"/>
      <c r="U20" s="273"/>
      <c r="V20" s="273"/>
      <c r="W20" s="349" t="s">
        <v>345</v>
      </c>
      <c r="X20" s="349"/>
      <c r="Y20" s="349"/>
      <c r="Z20" s="349"/>
      <c r="AA20" s="349"/>
      <c r="AB20" s="349"/>
      <c r="AC20" s="350" t="s">
        <v>346</v>
      </c>
      <c r="AD20" s="350">
        <f>ROUND(SUM(AD21:AD22),-3)</f>
        <v>10437000</v>
      </c>
      <c r="AE20" s="351" t="s">
        <v>334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7" t="s">
        <v>493</v>
      </c>
      <c r="P21" s="277"/>
      <c r="Q21" s="277"/>
      <c r="R21" s="277"/>
      <c r="S21" s="277"/>
      <c r="T21" s="273"/>
      <c r="U21" s="273"/>
      <c r="V21" s="273"/>
      <c r="W21" s="273"/>
      <c r="X21" s="273"/>
      <c r="Y21" s="273"/>
      <c r="Z21" s="273"/>
      <c r="AA21" s="273"/>
      <c r="AB21" s="273" t="s">
        <v>335</v>
      </c>
      <c r="AC21" s="278"/>
      <c r="AD21" s="121">
        <v>10437000</v>
      </c>
      <c r="AE21" s="303" t="s">
        <v>334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7"/>
      <c r="P22" s="277"/>
      <c r="Q22" s="277"/>
      <c r="R22" s="277"/>
      <c r="S22" s="277"/>
      <c r="T22" s="273"/>
      <c r="U22" s="273"/>
      <c r="V22" s="273"/>
      <c r="W22" s="273"/>
      <c r="X22" s="273"/>
      <c r="Y22" s="273"/>
      <c r="Z22" s="273"/>
      <c r="AA22" s="273"/>
      <c r="AB22" s="273"/>
      <c r="AC22" s="278"/>
      <c r="AD22" s="121"/>
      <c r="AE22" s="303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5" t="s">
        <v>423</v>
      </c>
      <c r="P23" s="277"/>
      <c r="Q23" s="277"/>
      <c r="R23" s="277"/>
      <c r="S23" s="277"/>
      <c r="T23" s="273"/>
      <c r="U23" s="273"/>
      <c r="V23" s="273"/>
      <c r="W23" s="349" t="s">
        <v>345</v>
      </c>
      <c r="X23" s="349"/>
      <c r="Y23" s="349"/>
      <c r="Z23" s="349"/>
      <c r="AA23" s="349"/>
      <c r="AB23" s="349"/>
      <c r="AC23" s="350" t="s">
        <v>346</v>
      </c>
      <c r="AD23" s="350">
        <f>ROUND(SUM(AD24:AD25),-3)</f>
        <v>3386000</v>
      </c>
      <c r="AE23" s="351" t="s">
        <v>334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7" t="s">
        <v>493</v>
      </c>
      <c r="P24" s="277"/>
      <c r="Q24" s="277"/>
      <c r="R24" s="277"/>
      <c r="S24" s="277"/>
      <c r="T24" s="273"/>
      <c r="U24" s="273"/>
      <c r="V24" s="273"/>
      <c r="W24" s="273"/>
      <c r="X24" s="273"/>
      <c r="Y24" s="273"/>
      <c r="Z24" s="273"/>
      <c r="AA24" s="273"/>
      <c r="AB24" s="273" t="s">
        <v>335</v>
      </c>
      <c r="AC24" s="278"/>
      <c r="AD24" s="121">
        <v>3386000</v>
      </c>
      <c r="AE24" s="303" t="s">
        <v>334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7"/>
      <c r="P25" s="277"/>
      <c r="Q25" s="277"/>
      <c r="R25" s="277"/>
      <c r="S25" s="277"/>
      <c r="T25" s="273"/>
      <c r="U25" s="273"/>
      <c r="V25" s="273"/>
      <c r="W25" s="273"/>
      <c r="X25" s="273"/>
      <c r="Y25" s="273"/>
      <c r="Z25" s="273"/>
      <c r="AA25" s="273"/>
      <c r="AB25" s="273"/>
      <c r="AC25" s="278"/>
      <c r="AD25" s="121"/>
      <c r="AE25" s="303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5" t="s">
        <v>424</v>
      </c>
      <c r="P26" s="277"/>
      <c r="Q26" s="277"/>
      <c r="R26" s="277"/>
      <c r="S26" s="277"/>
      <c r="T26" s="273"/>
      <c r="U26" s="273"/>
      <c r="V26" s="273"/>
      <c r="W26" s="349" t="s">
        <v>345</v>
      </c>
      <c r="X26" s="349"/>
      <c r="Y26" s="349"/>
      <c r="Z26" s="349"/>
      <c r="AA26" s="349"/>
      <c r="AB26" s="349"/>
      <c r="AC26" s="350" t="s">
        <v>346</v>
      </c>
      <c r="AD26" s="350">
        <f>SUM(AD27:AD28)</f>
        <v>150000</v>
      </c>
      <c r="AE26" s="351" t="s">
        <v>334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7" t="s">
        <v>349</v>
      </c>
      <c r="P27" s="277"/>
      <c r="Q27" s="277"/>
      <c r="R27" s="277"/>
      <c r="S27" s="295">
        <v>0</v>
      </c>
      <c r="T27" s="295" t="s">
        <v>334</v>
      </c>
      <c r="U27" s="296" t="s">
        <v>336</v>
      </c>
      <c r="V27" s="295">
        <v>1</v>
      </c>
      <c r="W27" s="295" t="s">
        <v>350</v>
      </c>
      <c r="X27" s="296" t="s">
        <v>336</v>
      </c>
      <c r="Y27" s="298">
        <v>9</v>
      </c>
      <c r="Z27" s="427" t="s">
        <v>337</v>
      </c>
      <c r="AA27" s="427" t="s">
        <v>338</v>
      </c>
      <c r="AB27" s="273" t="s">
        <v>339</v>
      </c>
      <c r="AC27" s="278"/>
      <c r="AD27" s="121">
        <f>S27*V27*Y27</f>
        <v>0</v>
      </c>
      <c r="AE27" s="303" t="s">
        <v>334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7" t="s">
        <v>526</v>
      </c>
      <c r="P28" s="277"/>
      <c r="Q28" s="277"/>
      <c r="R28" s="277"/>
      <c r="S28" s="295"/>
      <c r="T28" s="295"/>
      <c r="U28" s="296"/>
      <c r="V28" s="295"/>
      <c r="W28" s="295"/>
      <c r="X28" s="296"/>
      <c r="Y28" s="298"/>
      <c r="Z28" s="427"/>
      <c r="AA28" s="427"/>
      <c r="AB28" s="273" t="s">
        <v>367</v>
      </c>
      <c r="AC28" s="278"/>
      <c r="AD28" s="121">
        <v>150000</v>
      </c>
      <c r="AE28" s="303" t="s">
        <v>334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7"/>
      <c r="P29" s="277"/>
      <c r="Q29" s="277"/>
      <c r="R29" s="277"/>
      <c r="S29" s="273"/>
      <c r="T29" s="337"/>
      <c r="U29" s="386"/>
      <c r="V29" s="337"/>
      <c r="W29" s="387"/>
      <c r="X29" s="387"/>
      <c r="Y29" s="273"/>
      <c r="Z29" s="273"/>
      <c r="AA29" s="273"/>
      <c r="AB29" s="273"/>
      <c r="AC29" s="273"/>
      <c r="AD29" s="273"/>
      <c r="AE29" s="303"/>
    </row>
    <row r="30" spans="1:31" s="11" customFormat="1" ht="21" customHeight="1">
      <c r="A30" s="37"/>
      <c r="B30" s="38"/>
      <c r="C30" s="28" t="s">
        <v>9</v>
      </c>
      <c r="D30" s="135">
        <v>6086</v>
      </c>
      <c r="E30" s="103">
        <f>ROUND(AD30/1000,0)</f>
        <v>6222</v>
      </c>
      <c r="F30" s="103">
        <f>SUMIF($AB$31:$AB$37,"보조",$AD$31:$AD$37)/1000</f>
        <v>6222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136</v>
      </c>
      <c r="N30" s="109">
        <f>IF(D30=0,0,M30/D30)</f>
        <v>2.23463687150838E-2</v>
      </c>
      <c r="O30" s="85" t="s">
        <v>35</v>
      </c>
      <c r="P30" s="432"/>
      <c r="Q30" s="154"/>
      <c r="R30" s="154"/>
      <c r="S30" s="154"/>
      <c r="T30" s="153"/>
      <c r="U30" s="153"/>
      <c r="V30" s="153"/>
      <c r="W30" s="431" t="s">
        <v>345</v>
      </c>
      <c r="X30" s="431"/>
      <c r="Y30" s="431"/>
      <c r="Z30" s="431"/>
      <c r="AA30" s="431"/>
      <c r="AB30" s="431"/>
      <c r="AC30" s="147" t="s">
        <v>346</v>
      </c>
      <c r="AD30" s="147">
        <f>SUM(AD31,AD34)</f>
        <v>6222000</v>
      </c>
      <c r="AE30" s="146" t="s">
        <v>334</v>
      </c>
    </row>
    <row r="31" spans="1:31" s="11" customFormat="1" ht="21" customHeight="1">
      <c r="A31" s="37"/>
      <c r="B31" s="38"/>
      <c r="C31" s="38"/>
      <c r="D31" s="445"/>
      <c r="E31" s="446"/>
      <c r="F31" s="446"/>
      <c r="G31" s="446"/>
      <c r="H31" s="446"/>
      <c r="I31" s="446"/>
      <c r="J31" s="446"/>
      <c r="K31" s="446"/>
      <c r="L31" s="446"/>
      <c r="M31" s="104"/>
      <c r="N31" s="60"/>
      <c r="O31" s="385" t="s">
        <v>425</v>
      </c>
      <c r="P31" s="277"/>
      <c r="Q31" s="277"/>
      <c r="R31" s="277"/>
      <c r="S31" s="277"/>
      <c r="T31" s="273"/>
      <c r="U31" s="273"/>
      <c r="V31" s="273"/>
      <c r="W31" s="349" t="s">
        <v>345</v>
      </c>
      <c r="X31" s="349"/>
      <c r="Y31" s="349"/>
      <c r="Z31" s="349"/>
      <c r="AA31" s="349"/>
      <c r="AB31" s="349"/>
      <c r="AC31" s="350"/>
      <c r="AD31" s="350">
        <f>SUM(AD32:AD33)</f>
        <v>6222000</v>
      </c>
      <c r="AE31" s="351" t="s">
        <v>334</v>
      </c>
    </row>
    <row r="32" spans="1:31" s="11" customFormat="1" ht="21" customHeight="1">
      <c r="A32" s="37"/>
      <c r="B32" s="38"/>
      <c r="C32" s="38"/>
      <c r="D32" s="447"/>
      <c r="E32" s="448"/>
      <c r="F32" s="448"/>
      <c r="G32" s="448"/>
      <c r="H32" s="448"/>
      <c r="I32" s="448"/>
      <c r="J32" s="448"/>
      <c r="K32" s="448"/>
      <c r="L32" s="448"/>
      <c r="M32" s="104"/>
      <c r="N32" s="60"/>
      <c r="O32" s="277" t="s">
        <v>494</v>
      </c>
      <c r="P32" s="277"/>
      <c r="Q32" s="277"/>
      <c r="R32" s="277"/>
      <c r="S32" s="273">
        <f>SUM(AD8,AD15,AD18,AD21,AD23)</f>
        <v>74661000</v>
      </c>
      <c r="T32" s="334" t="s">
        <v>334</v>
      </c>
      <c r="U32" s="334" t="s">
        <v>351</v>
      </c>
      <c r="V32" s="388">
        <v>12</v>
      </c>
      <c r="W32" s="333" t="s">
        <v>337</v>
      </c>
      <c r="X32" s="273"/>
      <c r="Y32" s="273"/>
      <c r="Z32" s="273"/>
      <c r="AA32" s="273" t="s">
        <v>338</v>
      </c>
      <c r="AB32" s="273" t="s">
        <v>335</v>
      </c>
      <c r="AC32" s="278"/>
      <c r="AD32" s="121">
        <f>ROUND(S32/V32,-3)</f>
        <v>6222000</v>
      </c>
      <c r="AE32" s="303" t="s">
        <v>334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7"/>
      <c r="P33" s="277"/>
      <c r="Q33" s="277"/>
      <c r="R33" s="277"/>
      <c r="S33" s="273"/>
      <c r="T33" s="334"/>
      <c r="U33" s="334"/>
      <c r="V33" s="388"/>
      <c r="W33" s="333"/>
      <c r="X33" s="273"/>
      <c r="Y33" s="273"/>
      <c r="Z33" s="273"/>
      <c r="AA33" s="273"/>
      <c r="AB33" s="273"/>
      <c r="AC33" s="278"/>
      <c r="AD33" s="121"/>
      <c r="AE33" s="303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5" t="s">
        <v>426</v>
      </c>
      <c r="P34" s="277"/>
      <c r="Q34" s="277"/>
      <c r="R34" s="277"/>
      <c r="S34" s="277"/>
      <c r="T34" s="273"/>
      <c r="U34" s="273"/>
      <c r="V34" s="273"/>
      <c r="W34" s="349" t="s">
        <v>352</v>
      </c>
      <c r="X34" s="349"/>
      <c r="Y34" s="349"/>
      <c r="Z34" s="349"/>
      <c r="AA34" s="349"/>
      <c r="AB34" s="349"/>
      <c r="AC34" s="350" t="s">
        <v>353</v>
      </c>
      <c r="AD34" s="350">
        <f>SUM(AD35:AD36)</f>
        <v>0</v>
      </c>
      <c r="AE34" s="351" t="s">
        <v>354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5" t="s">
        <v>427</v>
      </c>
      <c r="P35" s="435"/>
      <c r="Q35" s="435"/>
      <c r="R35" s="435"/>
      <c r="S35" s="434">
        <v>0</v>
      </c>
      <c r="T35" s="292" t="s">
        <v>334</v>
      </c>
      <c r="U35" s="292" t="s">
        <v>351</v>
      </c>
      <c r="V35" s="449">
        <v>12</v>
      </c>
      <c r="W35" s="395" t="s">
        <v>337</v>
      </c>
      <c r="X35" s="434"/>
      <c r="Y35" s="434"/>
      <c r="Z35" s="434"/>
      <c r="AA35" s="434" t="s">
        <v>338</v>
      </c>
      <c r="AB35" s="434" t="s">
        <v>339</v>
      </c>
      <c r="AC35" s="121"/>
      <c r="AD35" s="121">
        <f>ROUNDUP(S35/V35,-3)</f>
        <v>0</v>
      </c>
      <c r="AE35" s="122" t="s">
        <v>334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5" t="s">
        <v>355</v>
      </c>
      <c r="P36" s="435"/>
      <c r="Q36" s="435"/>
      <c r="R36" s="435"/>
      <c r="S36" s="434">
        <f>($K$7+$K$13)*1000</f>
        <v>0</v>
      </c>
      <c r="T36" s="292" t="s">
        <v>334</v>
      </c>
      <c r="U36" s="292" t="s">
        <v>351</v>
      </c>
      <c r="V36" s="449">
        <v>12</v>
      </c>
      <c r="W36" s="395" t="s">
        <v>337</v>
      </c>
      <c r="X36" s="434"/>
      <c r="Y36" s="434"/>
      <c r="Z36" s="434"/>
      <c r="AA36" s="434" t="s">
        <v>338</v>
      </c>
      <c r="AB36" s="434" t="s">
        <v>339</v>
      </c>
      <c r="AC36" s="121"/>
      <c r="AD36" s="121">
        <f>ROUND(S36/V36,-3)</f>
        <v>0</v>
      </c>
      <c r="AE36" s="122" t="s">
        <v>334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6"/>
      <c r="P37" s="152"/>
      <c r="Q37" s="152"/>
      <c r="R37" s="152"/>
      <c r="S37" s="152"/>
      <c r="T37" s="151"/>
      <c r="U37" s="151"/>
      <c r="V37" s="151"/>
      <c r="W37" s="151"/>
      <c r="X37" s="151"/>
      <c r="Y37" s="151"/>
      <c r="Z37" s="151"/>
      <c r="AA37" s="151"/>
      <c r="AB37" s="434"/>
      <c r="AC37" s="42"/>
      <c r="AD37" s="58"/>
      <c r="AE37" s="26"/>
    </row>
    <row r="38" spans="1:31" s="11" customFormat="1" ht="21" customHeight="1">
      <c r="A38" s="37"/>
      <c r="B38" s="38"/>
      <c r="C38" s="111" t="s">
        <v>356</v>
      </c>
      <c r="D38" s="135">
        <v>7549</v>
      </c>
      <c r="E38" s="103">
        <f>ROUND(AD38/1000,0)</f>
        <v>7892</v>
      </c>
      <c r="F38" s="103">
        <f>SUMIF($AB$39:$AB$56,"보조",$AD$39:$AD$56)/1000</f>
        <v>7892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343</v>
      </c>
      <c r="N38" s="109">
        <f>IF(D38=0,0,M38/D38)</f>
        <v>4.54364816531991E-2</v>
      </c>
      <c r="O38" s="85" t="s">
        <v>36</v>
      </c>
      <c r="P38" s="432"/>
      <c r="Q38" s="154"/>
      <c r="R38" s="154"/>
      <c r="S38" s="154"/>
      <c r="T38" s="153"/>
      <c r="U38" s="153"/>
      <c r="V38" s="153"/>
      <c r="W38" s="431" t="s">
        <v>357</v>
      </c>
      <c r="X38" s="431"/>
      <c r="Y38" s="431"/>
      <c r="Z38" s="431"/>
      <c r="AA38" s="431"/>
      <c r="AB38" s="431"/>
      <c r="AC38" s="147"/>
      <c r="AD38" s="147">
        <f>SUM(AD40,AD43,AD46,AD49,AD52,AD55)</f>
        <v>7892000</v>
      </c>
      <c r="AE38" s="146" t="s">
        <v>25</v>
      </c>
    </row>
    <row r="39" spans="1:31" s="11" customFormat="1" ht="21" customHeight="1">
      <c r="A39" s="37"/>
      <c r="B39" s="38"/>
      <c r="C39" s="38" t="s">
        <v>358</v>
      </c>
      <c r="D39" s="445"/>
      <c r="E39" s="446"/>
      <c r="F39" s="446"/>
      <c r="G39" s="446"/>
      <c r="H39" s="446"/>
      <c r="I39" s="446"/>
      <c r="J39" s="446"/>
      <c r="K39" s="446"/>
      <c r="L39" s="446"/>
      <c r="M39" s="104"/>
      <c r="N39" s="60"/>
      <c r="O39" s="152"/>
      <c r="P39" s="152"/>
      <c r="Q39" s="152"/>
      <c r="R39" s="152"/>
      <c r="S39" s="152"/>
      <c r="T39" s="151"/>
      <c r="U39" s="151"/>
      <c r="V39" s="151"/>
      <c r="W39" s="151"/>
      <c r="X39" s="151"/>
      <c r="Y39" s="151"/>
      <c r="Z39" s="151"/>
      <c r="AA39" s="151"/>
      <c r="AB39" s="151"/>
      <c r="AC39" s="42"/>
      <c r="AD39" s="42"/>
      <c r="AE39" s="26"/>
    </row>
    <row r="40" spans="1:31" s="11" customFormat="1" ht="21" customHeight="1">
      <c r="A40" s="37"/>
      <c r="B40" s="38"/>
      <c r="C40" s="38"/>
      <c r="D40" s="447"/>
      <c r="E40" s="448"/>
      <c r="F40" s="448"/>
      <c r="G40" s="448"/>
      <c r="H40" s="448"/>
      <c r="I40" s="448"/>
      <c r="J40" s="448"/>
      <c r="K40" s="448"/>
      <c r="L40" s="448"/>
      <c r="M40" s="104"/>
      <c r="N40" s="60"/>
      <c r="O40" s="385" t="s">
        <v>359</v>
      </c>
      <c r="P40" s="277"/>
      <c r="Q40" s="277"/>
      <c r="R40" s="277"/>
      <c r="S40" s="277"/>
      <c r="T40" s="273"/>
      <c r="U40" s="273"/>
      <c r="V40" s="273"/>
      <c r="W40" s="349" t="s">
        <v>345</v>
      </c>
      <c r="X40" s="349"/>
      <c r="Y40" s="349"/>
      <c r="Z40" s="349"/>
      <c r="AA40" s="349"/>
      <c r="AB40" s="349"/>
      <c r="AC40" s="350"/>
      <c r="AD40" s="350">
        <f>ROUND(SUM(AD41:AD42),-3)</f>
        <v>3193000</v>
      </c>
      <c r="AE40" s="351" t="s">
        <v>334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7" t="s">
        <v>493</v>
      </c>
      <c r="P41" s="277"/>
      <c r="Q41" s="277"/>
      <c r="R41" s="277"/>
      <c r="S41" s="273">
        <f>S32</f>
        <v>74661000</v>
      </c>
      <c r="T41" s="334" t="s">
        <v>334</v>
      </c>
      <c r="U41" s="333" t="s">
        <v>336</v>
      </c>
      <c r="V41" s="389">
        <v>0.09</v>
      </c>
      <c r="W41" s="334" t="s">
        <v>351</v>
      </c>
      <c r="X41" s="390">
        <v>2</v>
      </c>
      <c r="Y41" s="336"/>
      <c r="Z41" s="336"/>
      <c r="AA41" s="334" t="s">
        <v>338</v>
      </c>
      <c r="AB41" s="273" t="s">
        <v>335</v>
      </c>
      <c r="AC41" s="278"/>
      <c r="AD41" s="121">
        <f>ROUNDUP(S41*V41/X41,-3)-167000</f>
        <v>3193000</v>
      </c>
      <c r="AE41" s="303" t="s">
        <v>334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7"/>
      <c r="P42" s="277"/>
      <c r="Q42" s="277"/>
      <c r="R42" s="277"/>
      <c r="S42" s="273"/>
      <c r="T42" s="334"/>
      <c r="U42" s="333"/>
      <c r="V42" s="389"/>
      <c r="W42" s="334"/>
      <c r="X42" s="390"/>
      <c r="Y42" s="336"/>
      <c r="Z42" s="336"/>
      <c r="AA42" s="334"/>
      <c r="AB42" s="273"/>
      <c r="AC42" s="278"/>
      <c r="AD42" s="121"/>
      <c r="AE42" s="303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5" t="s">
        <v>360</v>
      </c>
      <c r="P43" s="277"/>
      <c r="Q43" s="277"/>
      <c r="R43" s="277"/>
      <c r="S43" s="277"/>
      <c r="T43" s="273"/>
      <c r="U43" s="273"/>
      <c r="V43" s="273"/>
      <c r="W43" s="349" t="s">
        <v>345</v>
      </c>
      <c r="X43" s="349"/>
      <c r="Y43" s="349"/>
      <c r="Z43" s="349"/>
      <c r="AA43" s="349"/>
      <c r="AB43" s="349"/>
      <c r="AC43" s="350" t="s">
        <v>346</v>
      </c>
      <c r="AD43" s="350">
        <f>ROUND(SUM(AD44:AD45),-3)</f>
        <v>2806000</v>
      </c>
      <c r="AE43" s="351" t="s">
        <v>334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7" t="s">
        <v>493</v>
      </c>
      <c r="P44" s="277"/>
      <c r="Q44" s="277"/>
      <c r="R44" s="277"/>
      <c r="S44" s="273">
        <f>S41</f>
        <v>74661000</v>
      </c>
      <c r="T44" s="334" t="s">
        <v>334</v>
      </c>
      <c r="U44" s="333" t="s">
        <v>336</v>
      </c>
      <c r="V44" s="391">
        <v>7.0900000000000005E-2</v>
      </c>
      <c r="W44" s="334" t="s">
        <v>351</v>
      </c>
      <c r="X44" s="392">
        <v>2</v>
      </c>
      <c r="Y44" s="336"/>
      <c r="Z44" s="336"/>
      <c r="AA44" s="334" t="s">
        <v>338</v>
      </c>
      <c r="AB44" s="273" t="s">
        <v>335</v>
      </c>
      <c r="AC44" s="278"/>
      <c r="AD44" s="121">
        <f>ROUNDUP(S44*V44/X44,-3)+159000</f>
        <v>2806000</v>
      </c>
      <c r="AE44" s="303" t="s">
        <v>334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7"/>
      <c r="P45" s="277"/>
      <c r="Q45" s="277"/>
      <c r="R45" s="277"/>
      <c r="S45" s="273"/>
      <c r="T45" s="273"/>
      <c r="U45" s="334"/>
      <c r="V45" s="391"/>
      <c r="W45" s="273"/>
      <c r="X45" s="334"/>
      <c r="Y45" s="273"/>
      <c r="Z45" s="273"/>
      <c r="AA45" s="273"/>
      <c r="AB45" s="273"/>
      <c r="AC45" s="278"/>
      <c r="AD45" s="121"/>
      <c r="AE45" s="303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5" t="s">
        <v>361</v>
      </c>
      <c r="P46" s="277"/>
      <c r="Q46" s="277"/>
      <c r="R46" s="277"/>
      <c r="S46" s="277"/>
      <c r="T46" s="273"/>
      <c r="U46" s="273"/>
      <c r="V46" s="273"/>
      <c r="W46" s="349" t="s">
        <v>345</v>
      </c>
      <c r="X46" s="349"/>
      <c r="Y46" s="349"/>
      <c r="Z46" s="349"/>
      <c r="AA46" s="349"/>
      <c r="AB46" s="349"/>
      <c r="AC46" s="350" t="s">
        <v>346</v>
      </c>
      <c r="AD46" s="350">
        <f>ROUND(SUM(AD47:AD48),-3)</f>
        <v>359000</v>
      </c>
      <c r="AE46" s="351" t="s">
        <v>334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7" t="s">
        <v>493</v>
      </c>
      <c r="P47" s="277"/>
      <c r="Q47" s="277"/>
      <c r="R47" s="277"/>
      <c r="S47" s="393">
        <f>AD44</f>
        <v>2806000</v>
      </c>
      <c r="T47" s="334" t="s">
        <v>334</v>
      </c>
      <c r="U47" s="333" t="s">
        <v>336</v>
      </c>
      <c r="V47" s="391">
        <v>0.12809999999999999</v>
      </c>
      <c r="W47" s="333"/>
      <c r="X47" s="335"/>
      <c r="Y47" s="336"/>
      <c r="Z47" s="336"/>
      <c r="AA47" s="334" t="s">
        <v>338</v>
      </c>
      <c r="AB47" s="273" t="s">
        <v>335</v>
      </c>
      <c r="AC47" s="278"/>
      <c r="AD47" s="121">
        <f>ROUND(S47*V47,-3)</f>
        <v>359000</v>
      </c>
      <c r="AE47" s="303" t="s">
        <v>334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7"/>
      <c r="P48" s="277"/>
      <c r="Q48" s="277"/>
      <c r="R48" s="277"/>
      <c r="S48" s="393"/>
      <c r="T48" s="334"/>
      <c r="U48" s="333"/>
      <c r="V48" s="391"/>
      <c r="W48" s="333"/>
      <c r="X48" s="335"/>
      <c r="Y48" s="336"/>
      <c r="Z48" s="336"/>
      <c r="AA48" s="334"/>
      <c r="AB48" s="273"/>
      <c r="AC48" s="278"/>
      <c r="AD48" s="121"/>
      <c r="AE48" s="303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5" t="s">
        <v>362</v>
      </c>
      <c r="P49" s="277"/>
      <c r="Q49" s="277"/>
      <c r="R49" s="277"/>
      <c r="S49" s="277"/>
      <c r="T49" s="273"/>
      <c r="U49" s="273"/>
      <c r="V49" s="273"/>
      <c r="W49" s="349" t="s">
        <v>345</v>
      </c>
      <c r="X49" s="349"/>
      <c r="Y49" s="349"/>
      <c r="Z49" s="349"/>
      <c r="AA49" s="349"/>
      <c r="AB49" s="349"/>
      <c r="AC49" s="350" t="s">
        <v>346</v>
      </c>
      <c r="AD49" s="350">
        <f>ROUND(SUM(AD50:AD51),-3)</f>
        <v>921000</v>
      </c>
      <c r="AE49" s="351" t="s">
        <v>334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7" t="s">
        <v>493</v>
      </c>
      <c r="P50" s="277"/>
      <c r="Q50" s="277"/>
      <c r="R50" s="277"/>
      <c r="S50" s="273">
        <f>S44</f>
        <v>74661000</v>
      </c>
      <c r="T50" s="334" t="s">
        <v>334</v>
      </c>
      <c r="U50" s="333" t="s">
        <v>336</v>
      </c>
      <c r="V50" s="391">
        <v>1.15E-2</v>
      </c>
      <c r="W50" s="333"/>
      <c r="X50" s="335"/>
      <c r="Y50" s="336"/>
      <c r="Z50" s="336"/>
      <c r="AA50" s="334" t="s">
        <v>338</v>
      </c>
      <c r="AB50" s="273" t="s">
        <v>335</v>
      </c>
      <c r="AC50" s="278"/>
      <c r="AD50" s="121">
        <f>ROUNDUP(S50*V50,-3)+62000</f>
        <v>921000</v>
      </c>
      <c r="AE50" s="303" t="s">
        <v>334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7"/>
      <c r="P51" s="277"/>
      <c r="Q51" s="277"/>
      <c r="R51" s="277"/>
      <c r="S51" s="273"/>
      <c r="T51" s="334"/>
      <c r="U51" s="333"/>
      <c r="V51" s="391"/>
      <c r="W51" s="333"/>
      <c r="X51" s="335"/>
      <c r="Y51" s="336"/>
      <c r="Z51" s="336"/>
      <c r="AA51" s="334"/>
      <c r="AB51" s="273"/>
      <c r="AC51" s="278"/>
      <c r="AD51" s="121"/>
      <c r="AE51" s="303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5" t="s">
        <v>363</v>
      </c>
      <c r="P52" s="277"/>
      <c r="Q52" s="277"/>
      <c r="R52" s="277"/>
      <c r="S52" s="277"/>
      <c r="T52" s="273"/>
      <c r="U52" s="273"/>
      <c r="V52" s="273"/>
      <c r="W52" s="349" t="s">
        <v>345</v>
      </c>
      <c r="X52" s="349"/>
      <c r="Y52" s="349"/>
      <c r="Z52" s="349"/>
      <c r="AA52" s="349"/>
      <c r="AB52" s="349"/>
      <c r="AC52" s="350" t="s">
        <v>346</v>
      </c>
      <c r="AD52" s="350">
        <f>ROUND(SUM(AD53:AD54),-3)</f>
        <v>613000</v>
      </c>
      <c r="AE52" s="351" t="s">
        <v>334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7" t="s">
        <v>493</v>
      </c>
      <c r="P53" s="277"/>
      <c r="Q53" s="277"/>
      <c r="R53" s="277"/>
      <c r="S53" s="273">
        <f>S50</f>
        <v>74661000</v>
      </c>
      <c r="T53" s="334" t="s">
        <v>334</v>
      </c>
      <c r="U53" s="333" t="s">
        <v>336</v>
      </c>
      <c r="V53" s="394">
        <v>7.6E-3</v>
      </c>
      <c r="W53" s="333"/>
      <c r="X53" s="335"/>
      <c r="Y53" s="336"/>
      <c r="Z53" s="336"/>
      <c r="AA53" s="334" t="s">
        <v>338</v>
      </c>
      <c r="AB53" s="273" t="s">
        <v>335</v>
      </c>
      <c r="AC53" s="278"/>
      <c r="AD53" s="121">
        <f>ROUND(S53*V53,-3)+46000</f>
        <v>613000</v>
      </c>
      <c r="AE53" s="303" t="s">
        <v>334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7"/>
      <c r="P54" s="277"/>
      <c r="Q54" s="277"/>
      <c r="R54" s="277"/>
      <c r="S54" s="273"/>
      <c r="T54" s="334"/>
      <c r="U54" s="333"/>
      <c r="V54" s="394"/>
      <c r="W54" s="333"/>
      <c r="X54" s="335"/>
      <c r="Y54" s="336"/>
      <c r="Z54" s="336"/>
      <c r="AA54" s="334"/>
      <c r="AB54" s="273"/>
      <c r="AC54" s="278"/>
      <c r="AD54" s="121"/>
      <c r="AE54" s="303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8" t="s">
        <v>428</v>
      </c>
      <c r="P55" s="277"/>
      <c r="Q55" s="277"/>
      <c r="R55" s="277"/>
      <c r="S55" s="273"/>
      <c r="T55" s="334"/>
      <c r="U55" s="333"/>
      <c r="V55" s="394"/>
      <c r="W55" s="466"/>
      <c r="X55" s="467"/>
      <c r="Y55" s="468"/>
      <c r="Z55" s="468"/>
      <c r="AA55" s="383"/>
      <c r="AB55" s="349" t="s">
        <v>339</v>
      </c>
      <c r="AC55" s="350"/>
      <c r="AD55" s="407">
        <v>0</v>
      </c>
      <c r="AE55" s="351" t="s">
        <v>334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7"/>
      <c r="P56" s="277"/>
      <c r="Q56" s="277"/>
      <c r="R56" s="277"/>
      <c r="S56" s="277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8"/>
      <c r="AE56" s="303"/>
    </row>
    <row r="57" spans="1:31" s="11" customFormat="1" ht="21" customHeight="1">
      <c r="A57" s="37"/>
      <c r="B57" s="38"/>
      <c r="C57" s="28" t="s">
        <v>364</v>
      </c>
      <c r="D57" s="135">
        <v>350</v>
      </c>
      <c r="E57" s="103">
        <f>ROUND(AD57/1000,0)</f>
        <v>500</v>
      </c>
      <c r="F57" s="103">
        <f>SUMIF($AB$58:$AB$62,"보조",$AD$58:$AD$62)/1000</f>
        <v>0</v>
      </c>
      <c r="G57" s="103">
        <f>SUMIF($AB$58:$AB$62,"4종",$AD$58:$AD$62)/1000</f>
        <v>0</v>
      </c>
      <c r="H57" s="103">
        <f>SUMIF($AB$58:$AB$62,"6종",$AD$58:$AD$62)/1000</f>
        <v>300</v>
      </c>
      <c r="I57" s="103">
        <f>SUMIF($AB$58:$AB$62,"후원",$AD$58:$AD$62)/1000</f>
        <v>100</v>
      </c>
      <c r="J57" s="103">
        <f>SUMIF($AB$58:$AB$62,"입소",$AD$58:$AD$62)/1000</f>
        <v>100</v>
      </c>
      <c r="K57" s="103">
        <f>SUMIF($AB$58:$AB$62,"법인",$AD$58:$AD$62)/1000</f>
        <v>0</v>
      </c>
      <c r="L57" s="103">
        <f>SUMIF($AB$58:$AB$62,"잡수",$AD$58:$AD$62)/1000</f>
        <v>0</v>
      </c>
      <c r="M57" s="102">
        <f>E57-D57</f>
        <v>150</v>
      </c>
      <c r="N57" s="109">
        <f>IF(D57=0,0,M57/D57)</f>
        <v>0.42857142857142855</v>
      </c>
      <c r="O57" s="85" t="s">
        <v>365</v>
      </c>
      <c r="P57" s="432"/>
      <c r="Q57" s="154"/>
      <c r="R57" s="154"/>
      <c r="S57" s="154"/>
      <c r="T57" s="153"/>
      <c r="U57" s="153"/>
      <c r="V57" s="153"/>
      <c r="W57" s="431" t="s">
        <v>357</v>
      </c>
      <c r="X57" s="431"/>
      <c r="Y57" s="431"/>
      <c r="Z57" s="431"/>
      <c r="AA57" s="431"/>
      <c r="AB57" s="431"/>
      <c r="AC57" s="147"/>
      <c r="AD57" s="147">
        <f>SUM(AD58:AD62)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45"/>
      <c r="E58" s="446"/>
      <c r="F58" s="446"/>
      <c r="G58" s="446"/>
      <c r="H58" s="446"/>
      <c r="I58" s="446"/>
      <c r="J58" s="446"/>
      <c r="K58" s="446"/>
      <c r="L58" s="446"/>
      <c r="M58" s="97"/>
      <c r="N58" s="60"/>
      <c r="O58" s="476" t="s">
        <v>366</v>
      </c>
      <c r="P58" s="476"/>
      <c r="Q58" s="476"/>
      <c r="R58" s="476"/>
      <c r="S58" s="475"/>
      <c r="T58" s="475"/>
      <c r="U58" s="395"/>
      <c r="V58" s="475"/>
      <c r="W58" s="475"/>
      <c r="X58" s="395"/>
      <c r="Y58" s="475"/>
      <c r="Z58" s="475"/>
      <c r="AA58" s="475"/>
      <c r="AB58" s="475" t="s">
        <v>308</v>
      </c>
      <c r="AC58" s="396"/>
      <c r="AD58" s="475">
        <v>300000</v>
      </c>
      <c r="AE58" s="397" t="s">
        <v>25</v>
      </c>
    </row>
    <row r="59" spans="1:31" s="11" customFormat="1" ht="21" customHeight="1">
      <c r="A59" s="37"/>
      <c r="B59" s="38"/>
      <c r="C59" s="38"/>
      <c r="D59" s="447"/>
      <c r="E59" s="448"/>
      <c r="F59" s="448"/>
      <c r="G59" s="448"/>
      <c r="H59" s="448"/>
      <c r="I59" s="448"/>
      <c r="J59" s="448"/>
      <c r="K59" s="448"/>
      <c r="L59" s="448"/>
      <c r="M59" s="97"/>
      <c r="N59" s="60"/>
      <c r="O59" s="476" t="s">
        <v>516</v>
      </c>
      <c r="P59" s="402"/>
      <c r="Q59" s="476"/>
      <c r="R59" s="476"/>
      <c r="S59" s="295">
        <v>50000</v>
      </c>
      <c r="T59" s="44" t="s">
        <v>56</v>
      </c>
      <c r="U59" s="238">
        <v>2</v>
      </c>
      <c r="V59" s="295" t="s">
        <v>55</v>
      </c>
      <c r="W59" s="64"/>
      <c r="X59" s="64"/>
      <c r="Y59" s="67"/>
      <c r="Z59" s="65"/>
      <c r="AA59" s="524" t="s">
        <v>53</v>
      </c>
      <c r="AB59" s="295" t="s">
        <v>381</v>
      </c>
      <c r="AC59" s="58"/>
      <c r="AD59" s="58">
        <f>S59*U59</f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6" t="s">
        <v>429</v>
      </c>
      <c r="P60" s="475"/>
      <c r="Q60" s="476"/>
      <c r="R60" s="476"/>
      <c r="S60" s="295">
        <v>50000</v>
      </c>
      <c r="T60" s="44" t="s">
        <v>56</v>
      </c>
      <c r="U60" s="238">
        <v>2</v>
      </c>
      <c r="V60" s="295" t="s">
        <v>55</v>
      </c>
      <c r="W60" s="64"/>
      <c r="X60" s="64"/>
      <c r="Y60" s="67"/>
      <c r="Z60" s="65"/>
      <c r="AA60" s="524" t="s">
        <v>53</v>
      </c>
      <c r="AB60" s="295" t="s">
        <v>367</v>
      </c>
      <c r="AC60" s="58"/>
      <c r="AD60" s="58">
        <f>S60*U60</f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76"/>
      <c r="P61" s="475"/>
      <c r="Q61" s="476"/>
      <c r="R61" s="476"/>
      <c r="S61" s="295"/>
      <c r="T61" s="44"/>
      <c r="U61" s="238"/>
      <c r="V61" s="295"/>
      <c r="W61" s="64"/>
      <c r="X61" s="64"/>
      <c r="Y61" s="67"/>
      <c r="Z61" s="65"/>
      <c r="AA61" s="524"/>
      <c r="AB61" s="295"/>
      <c r="AC61" s="58"/>
      <c r="AD61" s="58"/>
      <c r="AE61" s="122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435"/>
      <c r="P62" s="434"/>
      <c r="Q62" s="435"/>
      <c r="R62" s="435"/>
      <c r="S62" s="295"/>
      <c r="T62" s="44"/>
      <c r="U62" s="238"/>
      <c r="V62" s="295"/>
      <c r="W62" s="64"/>
      <c r="X62" s="64"/>
      <c r="Y62" s="67"/>
      <c r="Z62" s="65"/>
      <c r="AA62" s="427"/>
      <c r="AB62" s="295"/>
      <c r="AC62" s="58"/>
      <c r="AD62" s="58"/>
      <c r="AE62" s="122"/>
    </row>
    <row r="63" spans="1:31" s="11" customFormat="1" ht="21" customHeight="1">
      <c r="A63" s="37"/>
      <c r="B63" s="28" t="s">
        <v>368</v>
      </c>
      <c r="C63" s="28" t="s">
        <v>5</v>
      </c>
      <c r="D63" s="102">
        <f t="shared" ref="D63:L63" si="3">SUM(D64,D66,D68)</f>
        <v>230</v>
      </c>
      <c r="E63" s="102">
        <f t="shared" si="3"/>
        <v>180</v>
      </c>
      <c r="F63" s="102">
        <f t="shared" si="3"/>
        <v>0</v>
      </c>
      <c r="G63" s="102">
        <f t="shared" si="3"/>
        <v>0</v>
      </c>
      <c r="H63" s="102">
        <f t="shared" si="3"/>
        <v>0</v>
      </c>
      <c r="I63" s="102">
        <f t="shared" si="3"/>
        <v>0</v>
      </c>
      <c r="J63" s="102">
        <f t="shared" si="3"/>
        <v>180</v>
      </c>
      <c r="K63" s="102">
        <f t="shared" si="3"/>
        <v>0</v>
      </c>
      <c r="L63" s="102">
        <f t="shared" si="3"/>
        <v>0</v>
      </c>
      <c r="M63" s="102">
        <f>E63-D63</f>
        <v>-50</v>
      </c>
      <c r="N63" s="109">
        <f>IF(D63=0,0,M63/D63)</f>
        <v>-0.21739130434782608</v>
      </c>
      <c r="O63" s="154" t="s">
        <v>369</v>
      </c>
      <c r="P63" s="154"/>
      <c r="Q63" s="154"/>
      <c r="R63" s="154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82"/>
      <c r="AD63" s="82">
        <f>SUM(AD64,AD66,AD68)</f>
        <v>180000</v>
      </c>
      <c r="AE63" s="83" t="s">
        <v>25</v>
      </c>
    </row>
    <row r="64" spans="1:31" s="11" customFormat="1" ht="21" customHeight="1">
      <c r="A64" s="37"/>
      <c r="B64" s="38" t="s">
        <v>370</v>
      </c>
      <c r="C64" s="28" t="s">
        <v>10</v>
      </c>
      <c r="D64" s="135">
        <v>0</v>
      </c>
      <c r="E64" s="102">
        <f>AD64/1000</f>
        <v>0</v>
      </c>
      <c r="F64" s="103">
        <f>SUMIF($AB$65:$AB$65,"보조",$AD$65:$AD$65)/1000</f>
        <v>0</v>
      </c>
      <c r="G64" s="103">
        <f>SUMIF($AB$65:$AB$65,"4종",$AD$65:$AD$65)/1000</f>
        <v>0</v>
      </c>
      <c r="H64" s="103">
        <f>SUMIF($AB$65:$AB$65,"6종",$AD$65:$AD$65)/1000</f>
        <v>0</v>
      </c>
      <c r="I64" s="103">
        <f>SUMIF($AB$65:$AB$65,"후원",$AD$65:$AD$65)/1000</f>
        <v>0</v>
      </c>
      <c r="J64" s="103">
        <f>SUMIF($AB$65:$AB$65,"입소",$AD$65:$AD$65)/1000</f>
        <v>0</v>
      </c>
      <c r="K64" s="103">
        <f>SUMIF($AB$65:$AB$65,"법인",$AD$65:$AD$65)/1000</f>
        <v>0</v>
      </c>
      <c r="L64" s="103">
        <f>SUMIF($AB$65:$AB$65,"잡수",$AD$65:$AD$65)/1000</f>
        <v>0</v>
      </c>
      <c r="M64" s="102">
        <f>E64-D64</f>
        <v>0</v>
      </c>
      <c r="N64" s="109">
        <f>IF(D64=0,0,M64/D64)</f>
        <v>0</v>
      </c>
      <c r="O64" s="85" t="s">
        <v>37</v>
      </c>
      <c r="P64" s="131"/>
      <c r="Q64" s="139"/>
      <c r="R64" s="139"/>
      <c r="S64" s="139"/>
      <c r="T64" s="79"/>
      <c r="U64" s="79"/>
      <c r="V64" s="79"/>
      <c r="W64" s="79"/>
      <c r="X64" s="79"/>
      <c r="Y64" s="431" t="s">
        <v>371</v>
      </c>
      <c r="Z64" s="431"/>
      <c r="AA64" s="431"/>
      <c r="AB64" s="431"/>
      <c r="AC64" s="147"/>
      <c r="AD64" s="147">
        <f>AD65</f>
        <v>0</v>
      </c>
      <c r="AE64" s="146" t="s">
        <v>25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435" t="s">
        <v>372</v>
      </c>
      <c r="P65" s="435"/>
      <c r="Q65" s="435"/>
      <c r="R65" s="435"/>
      <c r="S65" s="434"/>
      <c r="T65" s="297"/>
      <c r="U65" s="297"/>
      <c r="V65" s="434"/>
      <c r="W65" s="435"/>
      <c r="X65" s="434"/>
      <c r="Y65" s="434"/>
      <c r="Z65" s="434"/>
      <c r="AA65" s="434"/>
      <c r="AB65" s="434" t="s">
        <v>339</v>
      </c>
      <c r="AC65" s="434"/>
      <c r="AD65" s="434">
        <v>0</v>
      </c>
      <c r="AE65" s="122" t="s">
        <v>334</v>
      </c>
    </row>
    <row r="66" spans="1:31" s="11" customFormat="1" ht="21" customHeight="1">
      <c r="A66" s="37"/>
      <c r="B66" s="38"/>
      <c r="C66" s="28" t="s">
        <v>11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373</v>
      </c>
      <c r="P66" s="432"/>
      <c r="Q66" s="154"/>
      <c r="R66" s="154"/>
      <c r="S66" s="154"/>
      <c r="T66" s="153"/>
      <c r="U66" s="153"/>
      <c r="V66" s="153"/>
      <c r="W66" s="153"/>
      <c r="X66" s="153"/>
      <c r="Y66" s="431" t="s">
        <v>371</v>
      </c>
      <c r="Z66" s="431"/>
      <c r="AA66" s="431"/>
      <c r="AB66" s="431"/>
      <c r="AC66" s="147"/>
      <c r="AD66" s="147">
        <v>0</v>
      </c>
      <c r="AE66" s="146" t="s">
        <v>25</v>
      </c>
    </row>
    <row r="67" spans="1:31" s="11" customFormat="1" ht="21" customHeight="1">
      <c r="A67" s="37"/>
      <c r="B67" s="38"/>
      <c r="C67" s="49"/>
      <c r="D67" s="134"/>
      <c r="E67" s="100"/>
      <c r="F67" s="100"/>
      <c r="G67" s="100"/>
      <c r="H67" s="100"/>
      <c r="I67" s="100"/>
      <c r="J67" s="100"/>
      <c r="K67" s="100"/>
      <c r="L67" s="100"/>
      <c r="M67" s="100"/>
      <c r="N67" s="75"/>
      <c r="O67" s="356"/>
      <c r="P67" s="356"/>
      <c r="Q67" s="356"/>
      <c r="R67" s="356"/>
      <c r="S67" s="355"/>
      <c r="T67" s="76"/>
      <c r="U67" s="76"/>
      <c r="V67" s="355"/>
      <c r="W67" s="356"/>
      <c r="X67" s="355"/>
      <c r="Y67" s="355"/>
      <c r="Z67" s="355"/>
      <c r="AA67" s="355"/>
      <c r="AB67" s="355"/>
      <c r="AC67" s="355"/>
      <c r="AD67" s="355"/>
      <c r="AE67" s="63"/>
    </row>
    <row r="68" spans="1:31" s="11" customFormat="1" ht="21" customHeight="1">
      <c r="A68" s="37"/>
      <c r="B68" s="38"/>
      <c r="C68" s="38" t="s">
        <v>374</v>
      </c>
      <c r="D68" s="133">
        <v>230</v>
      </c>
      <c r="E68" s="97">
        <f>AD68/1000</f>
        <v>180</v>
      </c>
      <c r="F68" s="103">
        <f>SUMIF($AB$69:$AB$71,"보조",$AD$69:$AD$71)/1000</f>
        <v>0</v>
      </c>
      <c r="G68" s="103">
        <f>SUMIF($AB$69:$AB$71,"4종",$AD$69:$AD$71)/1000</f>
        <v>0</v>
      </c>
      <c r="H68" s="103">
        <f>SUMIF($AB$69:$AB$71,"7종",$AD$69:$AD$71)/1000</f>
        <v>0</v>
      </c>
      <c r="I68" s="103">
        <f>SUMIF($AB$69:$AB$71,"후원",$AD$69:$AD$71)/1000</f>
        <v>0</v>
      </c>
      <c r="J68" s="103">
        <f>SUMIF($AB$69:$AB$71,"입소",$AD$69:$AD$71)/1000</f>
        <v>180</v>
      </c>
      <c r="K68" s="103">
        <f>SUMIF($AB$69:$AB$71,"법인",$AD$69:$AD$71)/1000</f>
        <v>0</v>
      </c>
      <c r="L68" s="103">
        <f>SUMIF($AB$69:$AB$71,"잡수",$AD$69:$AD$71)/1000</f>
        <v>0</v>
      </c>
      <c r="M68" s="97">
        <f>E68-D68</f>
        <v>-50</v>
      </c>
      <c r="N68" s="60">
        <f>IF(D68=0,0,M68/D68)</f>
        <v>-0.21739130434782608</v>
      </c>
      <c r="O68" s="105" t="s">
        <v>38</v>
      </c>
      <c r="P68" s="152"/>
      <c r="Q68" s="152"/>
      <c r="R68" s="152"/>
      <c r="S68" s="152"/>
      <c r="T68" s="151"/>
      <c r="U68" s="151"/>
      <c r="V68" s="151"/>
      <c r="W68" s="151"/>
      <c r="X68" s="151"/>
      <c r="Y68" s="431" t="s">
        <v>371</v>
      </c>
      <c r="Z68" s="431"/>
      <c r="AA68" s="431"/>
      <c r="AB68" s="431"/>
      <c r="AC68" s="147"/>
      <c r="AD68" s="147">
        <f>SUM(AD69:AD71)</f>
        <v>180000</v>
      </c>
      <c r="AE68" s="146" t="s">
        <v>25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70" t="s">
        <v>431</v>
      </c>
      <c r="P69" s="435"/>
      <c r="Q69" s="435"/>
      <c r="R69" s="435"/>
      <c r="S69" s="469">
        <v>50000</v>
      </c>
      <c r="T69" s="469" t="s">
        <v>25</v>
      </c>
      <c r="U69" s="470" t="s">
        <v>26</v>
      </c>
      <c r="V69" s="471">
        <v>3</v>
      </c>
      <c r="W69" s="470" t="s">
        <v>26</v>
      </c>
      <c r="X69" s="472">
        <v>1</v>
      </c>
      <c r="Y69" s="473"/>
      <c r="Z69" s="474"/>
      <c r="AA69" s="474" t="s">
        <v>27</v>
      </c>
      <c r="AB69" s="474" t="s">
        <v>430</v>
      </c>
      <c r="AC69" s="434"/>
      <c r="AD69" s="450">
        <v>100000</v>
      </c>
      <c r="AE69" s="122" t="s">
        <v>334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70" t="s">
        <v>432</v>
      </c>
      <c r="P70" s="435"/>
      <c r="Q70" s="435"/>
      <c r="R70" s="435"/>
      <c r="S70" s="469">
        <v>20000</v>
      </c>
      <c r="T70" s="469" t="s">
        <v>25</v>
      </c>
      <c r="U70" s="470" t="s">
        <v>26</v>
      </c>
      <c r="V70" s="471">
        <v>4</v>
      </c>
      <c r="W70" s="469"/>
      <c r="X70" s="470"/>
      <c r="Y70" s="473"/>
      <c r="Z70" s="474"/>
      <c r="AA70" s="474" t="s">
        <v>27</v>
      </c>
      <c r="AB70" s="474" t="s">
        <v>430</v>
      </c>
      <c r="AC70" s="435"/>
      <c r="AD70" s="450">
        <f>S70*V70</f>
        <v>80000</v>
      </c>
      <c r="AE70" s="122" t="s">
        <v>334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5"/>
      <c r="P71" s="435"/>
      <c r="Q71" s="435"/>
      <c r="R71" s="435"/>
      <c r="S71" s="434"/>
      <c r="T71" s="297"/>
      <c r="U71" s="297"/>
      <c r="V71" s="434"/>
      <c r="W71" s="435"/>
      <c r="X71" s="434"/>
      <c r="Y71" s="434"/>
      <c r="Z71" s="434"/>
      <c r="AA71" s="434"/>
      <c r="AB71" s="434"/>
      <c r="AC71" s="434"/>
      <c r="AD71" s="434"/>
      <c r="AE71" s="122"/>
    </row>
    <row r="72" spans="1:31" s="11" customFormat="1" ht="21" customHeight="1">
      <c r="A72" s="37"/>
      <c r="B72" s="28" t="s">
        <v>12</v>
      </c>
      <c r="C72" s="143" t="s">
        <v>5</v>
      </c>
      <c r="D72" s="144">
        <f t="shared" ref="D72:L72" si="4">SUM(D73,D76,D85,D94,D100,D104)</f>
        <v>10566</v>
      </c>
      <c r="E72" s="144">
        <f t="shared" si="4"/>
        <v>11169</v>
      </c>
      <c r="F72" s="144">
        <f t="shared" si="4"/>
        <v>5246</v>
      </c>
      <c r="G72" s="144">
        <f t="shared" si="4"/>
        <v>0</v>
      </c>
      <c r="H72" s="144">
        <f t="shared" si="4"/>
        <v>0</v>
      </c>
      <c r="I72" s="144">
        <f t="shared" si="4"/>
        <v>0</v>
      </c>
      <c r="J72" s="144">
        <f t="shared" si="4"/>
        <v>3486</v>
      </c>
      <c r="K72" s="144">
        <f t="shared" si="4"/>
        <v>2</v>
      </c>
      <c r="L72" s="144">
        <f t="shared" si="4"/>
        <v>2435</v>
      </c>
      <c r="M72" s="451">
        <f>E72-D72</f>
        <v>603</v>
      </c>
      <c r="N72" s="145">
        <f>IF(D72=0,0,M72/D72)</f>
        <v>5.7069846678023853E-2</v>
      </c>
      <c r="O72" s="432" t="s">
        <v>376</v>
      </c>
      <c r="P72" s="432"/>
      <c r="Q72" s="432"/>
      <c r="R72" s="432"/>
      <c r="S72" s="431"/>
      <c r="T72" s="155"/>
      <c r="U72" s="431"/>
      <c r="V72" s="604"/>
      <c r="W72" s="604"/>
      <c r="X72" s="431"/>
      <c r="Y72" s="431"/>
      <c r="Z72" s="431"/>
      <c r="AA72" s="431"/>
      <c r="AB72" s="431"/>
      <c r="AC72" s="431"/>
      <c r="AD72" s="431">
        <f>SUM(AD73,AD76,AD85,AD94,AD100,AD104)</f>
        <v>11169000</v>
      </c>
      <c r="AE72" s="146" t="s">
        <v>25</v>
      </c>
    </row>
    <row r="73" spans="1:31" s="11" customFormat="1" ht="21" customHeight="1">
      <c r="A73" s="37"/>
      <c r="B73" s="38"/>
      <c r="C73" s="38" t="s">
        <v>377</v>
      </c>
      <c r="D73" s="133">
        <v>60</v>
      </c>
      <c r="E73" s="97">
        <f>AD73/1000</f>
        <v>60</v>
      </c>
      <c r="F73" s="103">
        <f>SUMIF($AB$74:$AB$75,"보조",$AD$74:$AD$75)/1000</f>
        <v>0</v>
      </c>
      <c r="G73" s="103">
        <f>SUMIF($AB$74:$AB$75,"7종",$AD$74:$AD$75)/1000</f>
        <v>0</v>
      </c>
      <c r="H73" s="103">
        <f>SUMIF($AB$74:$AB$75,"4종",$AD$74:$AD$75)/1000</f>
        <v>0</v>
      </c>
      <c r="I73" s="103">
        <f>SUMIF($AB$74:$AB$75,"후원",$AD$74:$AD$75)/1000</f>
        <v>0</v>
      </c>
      <c r="J73" s="103">
        <f>SUMIF($AB$74:$AB$75,"입소",$AD$74:$AD$75)/1000</f>
        <v>60</v>
      </c>
      <c r="K73" s="103">
        <f>SUMIF($AB$74:$AB$75,"법인",$AD$74:$AD$75)/1000</f>
        <v>0</v>
      </c>
      <c r="L73" s="103">
        <f>SUMIF($AB$74:$AB$75,"잡수",$AD$74:$AD$75)/1000</f>
        <v>0</v>
      </c>
      <c r="M73" s="97">
        <f>E73-D73</f>
        <v>0</v>
      </c>
      <c r="N73" s="60">
        <f>IF(D73=0,0,M73/D73)</f>
        <v>0</v>
      </c>
      <c r="O73" s="105" t="s">
        <v>40</v>
      </c>
      <c r="P73" s="152"/>
      <c r="Q73" s="152"/>
      <c r="R73" s="152"/>
      <c r="S73" s="152"/>
      <c r="T73" s="151"/>
      <c r="U73" s="151"/>
      <c r="V73" s="151"/>
      <c r="W73" s="151"/>
      <c r="X73" s="151"/>
      <c r="Y73" s="431" t="s">
        <v>371</v>
      </c>
      <c r="Z73" s="431"/>
      <c r="AA73" s="431"/>
      <c r="AB73" s="431"/>
      <c r="AC73" s="147"/>
      <c r="AD73" s="147">
        <f>SUM(AD74:AD75)</f>
        <v>60000</v>
      </c>
      <c r="AE73" s="14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5" t="s">
        <v>378</v>
      </c>
      <c r="P74" s="435"/>
      <c r="Q74" s="435"/>
      <c r="R74" s="435"/>
      <c r="S74" s="469">
        <v>30000</v>
      </c>
      <c r="T74" s="480" t="s">
        <v>25</v>
      </c>
      <c r="U74" s="480" t="s">
        <v>26</v>
      </c>
      <c r="V74" s="479">
        <v>2</v>
      </c>
      <c r="W74" s="481" t="s">
        <v>497</v>
      </c>
      <c r="X74" s="479" t="s">
        <v>27</v>
      </c>
      <c r="Y74" s="469"/>
      <c r="Z74" s="469"/>
      <c r="AA74" s="469"/>
      <c r="AB74" s="469" t="s">
        <v>498</v>
      </c>
      <c r="AC74" s="469"/>
      <c r="AD74" s="469">
        <f>S74*V74</f>
        <v>60000</v>
      </c>
      <c r="AE74" s="478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35" t="s">
        <v>379</v>
      </c>
      <c r="P75" s="435"/>
      <c r="Q75" s="435"/>
      <c r="R75" s="435"/>
      <c r="S75" s="434"/>
      <c r="T75" s="297"/>
      <c r="U75" s="297"/>
      <c r="V75" s="434"/>
      <c r="W75" s="297"/>
      <c r="X75" s="434"/>
      <c r="Y75" s="434"/>
      <c r="Z75" s="434"/>
      <c r="AA75" s="434"/>
      <c r="AB75" s="434" t="s">
        <v>339</v>
      </c>
      <c r="AC75" s="434"/>
      <c r="AD75" s="434">
        <v>0</v>
      </c>
      <c r="AE75" s="122" t="s">
        <v>334</v>
      </c>
    </row>
    <row r="76" spans="1:31" s="11" customFormat="1" ht="21" customHeight="1">
      <c r="A76" s="37"/>
      <c r="B76" s="38"/>
      <c r="C76" s="28" t="s">
        <v>41</v>
      </c>
      <c r="D76" s="135">
        <v>1316</v>
      </c>
      <c r="E76" s="102">
        <f>ROUND(AD76/1000,0)</f>
        <v>1892</v>
      </c>
      <c r="F76" s="103">
        <f>SUMIF($AB$77:$AB$83,"보조",$AD$77:$AD$83)/1000</f>
        <v>941</v>
      </c>
      <c r="G76" s="103">
        <f>SUMIF($AB$77:$AB$83,"4종",$AD$77:$AD$83)/1000</f>
        <v>0</v>
      </c>
      <c r="H76" s="103">
        <f>SUMIF($AB$77:$AB$83,"6종",$AD$77:$AD$83)/1000</f>
        <v>0</v>
      </c>
      <c r="I76" s="103">
        <f>SUMIF($AB$77:$AB$83,"후원",$AD$77:$AD$83)/1000</f>
        <v>0</v>
      </c>
      <c r="J76" s="103">
        <f>SUMIF($AB$77:$AB$83,"입소",$AD$77:$AD$83)/1000</f>
        <v>951</v>
      </c>
      <c r="K76" s="103">
        <f>SUMIF($AB$77:$AB$83,"법인",$AD$77:$AD$83)/1000</f>
        <v>0</v>
      </c>
      <c r="L76" s="103">
        <f>SUMIF($AB$77:$AB$83,"잡수",$AD$77:$AD$83)/1000</f>
        <v>0</v>
      </c>
      <c r="M76" s="112">
        <f>E76-D76</f>
        <v>576</v>
      </c>
      <c r="N76" s="109">
        <f>IF(D76=0,0,M76/D76)</f>
        <v>0.43768996960486323</v>
      </c>
      <c r="O76" s="304" t="s">
        <v>42</v>
      </c>
      <c r="P76" s="305"/>
      <c r="Q76" s="305"/>
      <c r="R76" s="305"/>
      <c r="S76" s="305"/>
      <c r="T76" s="306"/>
      <c r="U76" s="306"/>
      <c r="V76" s="306"/>
      <c r="W76" s="306"/>
      <c r="X76" s="306"/>
      <c r="Y76" s="307" t="s">
        <v>28</v>
      </c>
      <c r="Z76" s="307"/>
      <c r="AA76" s="307"/>
      <c r="AB76" s="307"/>
      <c r="AC76" s="308"/>
      <c r="AD76" s="308">
        <f>SUM(AD77:AD84)</f>
        <v>1892000</v>
      </c>
      <c r="AE76" s="146" t="s">
        <v>25</v>
      </c>
    </row>
    <row r="77" spans="1:31" s="11" customFormat="1" ht="21" customHeight="1">
      <c r="A77" s="37"/>
      <c r="B77" s="38"/>
      <c r="C77" s="38" t="s">
        <v>380</v>
      </c>
      <c r="D77" s="445"/>
      <c r="E77" s="446"/>
      <c r="F77" s="446"/>
      <c r="G77" s="446"/>
      <c r="H77" s="446"/>
      <c r="I77" s="446"/>
      <c r="J77" s="446"/>
      <c r="K77" s="446"/>
      <c r="L77" s="446"/>
      <c r="M77" s="97"/>
      <c r="N77" s="60"/>
      <c r="O77" s="309" t="s">
        <v>440</v>
      </c>
      <c r="P77" s="435"/>
      <c r="Q77" s="435"/>
      <c r="R77" s="435"/>
      <c r="S77" s="434"/>
      <c r="T77" s="297"/>
      <c r="U77" s="434"/>
      <c r="V77" s="310"/>
      <c r="W77" s="311"/>
      <c r="X77" s="311"/>
      <c r="Y77" s="310"/>
      <c r="Z77" s="312"/>
      <c r="AA77" s="310"/>
      <c r="AB77" s="293" t="s">
        <v>335</v>
      </c>
      <c r="AC77" s="293"/>
      <c r="AD77" s="475">
        <v>600000</v>
      </c>
      <c r="AE77" s="398" t="s">
        <v>25</v>
      </c>
    </row>
    <row r="78" spans="1:31" s="11" customFormat="1" ht="21" customHeight="1">
      <c r="A78" s="37"/>
      <c r="B78" s="38"/>
      <c r="C78" s="38"/>
      <c r="D78" s="447"/>
      <c r="E78" s="448"/>
      <c r="F78" s="448"/>
      <c r="G78" s="448"/>
      <c r="H78" s="448"/>
      <c r="I78" s="448"/>
      <c r="J78" s="448"/>
      <c r="K78" s="448"/>
      <c r="L78" s="448"/>
      <c r="M78" s="97"/>
      <c r="N78" s="60"/>
      <c r="O78" s="470" t="s">
        <v>438</v>
      </c>
      <c r="P78" s="470"/>
      <c r="Q78" s="470"/>
      <c r="R78" s="470"/>
      <c r="S78" s="469"/>
      <c r="T78" s="477"/>
      <c r="U78" s="477"/>
      <c r="V78" s="469">
        <v>31000</v>
      </c>
      <c r="W78" s="469" t="s">
        <v>25</v>
      </c>
      <c r="X78" s="469" t="s">
        <v>26</v>
      </c>
      <c r="Y78" s="469">
        <v>11</v>
      </c>
      <c r="Z78" s="469" t="s">
        <v>29</v>
      </c>
      <c r="AA78" s="469" t="s">
        <v>27</v>
      </c>
      <c r="AB78" s="469" t="s">
        <v>439</v>
      </c>
      <c r="AC78" s="469"/>
      <c r="AD78" s="469">
        <f>V78*Y78</f>
        <v>341000</v>
      </c>
      <c r="AE78" s="478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70"/>
      <c r="P79" s="470"/>
      <c r="Q79" s="470"/>
      <c r="R79" s="470"/>
      <c r="S79" s="469"/>
      <c r="T79" s="477"/>
      <c r="U79" s="477"/>
      <c r="V79" s="469">
        <v>31000</v>
      </c>
      <c r="W79" s="469" t="s">
        <v>25</v>
      </c>
      <c r="X79" s="469" t="s">
        <v>26</v>
      </c>
      <c r="Y79" s="469">
        <v>1</v>
      </c>
      <c r="Z79" s="469" t="s">
        <v>29</v>
      </c>
      <c r="AA79" s="469" t="s">
        <v>27</v>
      </c>
      <c r="AB79" s="469" t="s">
        <v>381</v>
      </c>
      <c r="AC79" s="469"/>
      <c r="AD79" s="469">
        <f>V79*Y79</f>
        <v>31000</v>
      </c>
      <c r="AE79" s="478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35" t="s">
        <v>441</v>
      </c>
      <c r="P80" s="435"/>
      <c r="Q80" s="435"/>
      <c r="R80" s="435"/>
      <c r="S80" s="434"/>
      <c r="T80" s="297"/>
      <c r="U80" s="297"/>
      <c r="V80" s="310">
        <v>55000</v>
      </c>
      <c r="W80" s="311" t="s">
        <v>334</v>
      </c>
      <c r="X80" s="311" t="s">
        <v>26</v>
      </c>
      <c r="Y80" s="310">
        <v>4</v>
      </c>
      <c r="Z80" s="312" t="s">
        <v>375</v>
      </c>
      <c r="AA80" s="310" t="s">
        <v>27</v>
      </c>
      <c r="AB80" s="469" t="s">
        <v>381</v>
      </c>
      <c r="AC80" s="434"/>
      <c r="AD80" s="434">
        <f>V80*Y80</f>
        <v>220000</v>
      </c>
      <c r="AE80" s="122" t="s">
        <v>334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70" t="s">
        <v>442</v>
      </c>
      <c r="P81" s="470"/>
      <c r="Q81" s="470"/>
      <c r="R81" s="470"/>
      <c r="S81" s="469"/>
      <c r="T81" s="477"/>
      <c r="U81" s="477"/>
      <c r="V81" s="469"/>
      <c r="W81" s="469"/>
      <c r="X81" s="469"/>
      <c r="Y81" s="469"/>
      <c r="Z81" s="469"/>
      <c r="AA81" s="469"/>
      <c r="AB81" s="469" t="s">
        <v>430</v>
      </c>
      <c r="AC81" s="469"/>
      <c r="AD81" s="469">
        <v>200000</v>
      </c>
      <c r="AE81" s="478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70" t="s">
        <v>443</v>
      </c>
      <c r="P82" s="470"/>
      <c r="Q82" s="470"/>
      <c r="R82" s="470"/>
      <c r="S82" s="469"/>
      <c r="T82" s="477"/>
      <c r="U82" s="477"/>
      <c r="V82" s="469"/>
      <c r="W82" s="469"/>
      <c r="X82" s="469"/>
      <c r="Y82" s="469"/>
      <c r="Z82" s="469"/>
      <c r="AA82" s="469"/>
      <c r="AB82" s="469" t="s">
        <v>430</v>
      </c>
      <c r="AC82" s="469"/>
      <c r="AD82" s="469">
        <v>200000</v>
      </c>
      <c r="AE82" s="478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70" t="s">
        <v>444</v>
      </c>
      <c r="P83" s="470"/>
      <c r="Q83" s="470"/>
      <c r="R83" s="470"/>
      <c r="S83" s="469"/>
      <c r="T83" s="477"/>
      <c r="U83" s="477"/>
      <c r="V83" s="479"/>
      <c r="W83" s="480"/>
      <c r="X83" s="480"/>
      <c r="Y83" s="479"/>
      <c r="Z83" s="481"/>
      <c r="AA83" s="479"/>
      <c r="AB83" s="469" t="s">
        <v>430</v>
      </c>
      <c r="AC83" s="469"/>
      <c r="AD83" s="469">
        <v>300000</v>
      </c>
      <c r="AE83" s="478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452"/>
      <c r="AC84" s="452"/>
      <c r="AD84" s="453"/>
      <c r="AE84" s="454"/>
    </row>
    <row r="85" spans="1:31" s="11" customFormat="1" ht="21" customHeight="1">
      <c r="A85" s="37"/>
      <c r="B85" s="38"/>
      <c r="C85" s="38" t="s">
        <v>39</v>
      </c>
      <c r="D85" s="133">
        <v>6500</v>
      </c>
      <c r="E85" s="97">
        <f>ROUND(AD85/1000,0)</f>
        <v>6107</v>
      </c>
      <c r="F85" s="103">
        <f>SUMIF($AB$86:$AB$93,"보조",$AD$86:$AD$93)/1000</f>
        <v>4305</v>
      </c>
      <c r="G85" s="103">
        <f>SUMIF($AB$86:$AB$93,"4종",$AD$86:$AD$93)/1000</f>
        <v>0</v>
      </c>
      <c r="H85" s="103">
        <f>SUMIF($AB$86:$AB$93,"6종",$AD$86:$AD$93)/1000</f>
        <v>0</v>
      </c>
      <c r="I85" s="103">
        <f>SUMIF($AB$86:$AB$93,"후원",$AD$86:$AD$93)/1000</f>
        <v>0</v>
      </c>
      <c r="J85" s="103">
        <f>SUMIF($AB$86:$AB$93,"입소",$AD$86:$AD$93)/1000</f>
        <v>1045</v>
      </c>
      <c r="K85" s="103">
        <f>SUMIF($AB$86:$AB$93,"법인",$AD$86:$AD$93)/1000</f>
        <v>2</v>
      </c>
      <c r="L85" s="103">
        <f>SUMIF($AB$86:$AB$93,"잡수",$AD$86:$AD$93)/1000</f>
        <v>755</v>
      </c>
      <c r="M85" s="423">
        <f>E85-D85</f>
        <v>-393</v>
      </c>
      <c r="N85" s="60">
        <f>IF(D85=0,0,M85/D85)</f>
        <v>-6.0461538461538462E-2</v>
      </c>
      <c r="O85" s="338" t="s">
        <v>43</v>
      </c>
      <c r="P85" s="339"/>
      <c r="Q85" s="339"/>
      <c r="R85" s="339"/>
      <c r="S85" s="339"/>
      <c r="T85" s="340"/>
      <c r="U85" s="340"/>
      <c r="V85" s="340"/>
      <c r="W85" s="340"/>
      <c r="X85" s="340"/>
      <c r="Y85" s="341" t="s">
        <v>371</v>
      </c>
      <c r="Z85" s="341"/>
      <c r="AA85" s="341"/>
      <c r="AB85" s="341"/>
      <c r="AC85" s="342"/>
      <c r="AD85" s="342">
        <f>ROUND(SUM(AD86:AD93),-3)</f>
        <v>6107000</v>
      </c>
      <c r="AE85" s="343" t="s">
        <v>25</v>
      </c>
    </row>
    <row r="86" spans="1:31" s="11" customFormat="1" ht="21" customHeight="1">
      <c r="A86" s="37"/>
      <c r="B86" s="38"/>
      <c r="C86" s="38"/>
      <c r="D86" s="445"/>
      <c r="E86" s="446"/>
      <c r="F86" s="446"/>
      <c r="G86" s="446"/>
      <c r="H86" s="446"/>
      <c r="I86" s="446"/>
      <c r="J86" s="446"/>
      <c r="K86" s="446"/>
      <c r="L86" s="446"/>
      <c r="M86" s="97"/>
      <c r="N86" s="60"/>
      <c r="O86" s="482" t="s">
        <v>445</v>
      </c>
      <c r="P86" s="470"/>
      <c r="Q86" s="470"/>
      <c r="R86" s="470"/>
      <c r="S86" s="469">
        <v>45000</v>
      </c>
      <c r="T86" s="480" t="s">
        <v>25</v>
      </c>
      <c r="U86" s="480" t="s">
        <v>26</v>
      </c>
      <c r="V86" s="479">
        <v>11</v>
      </c>
      <c r="W86" s="481" t="s">
        <v>29</v>
      </c>
      <c r="X86" s="479" t="s">
        <v>27</v>
      </c>
      <c r="Y86" s="469"/>
      <c r="Z86" s="469"/>
      <c r="AA86" s="469"/>
      <c r="AB86" s="469" t="s">
        <v>439</v>
      </c>
      <c r="AC86" s="469"/>
      <c r="AD86" s="469">
        <f>S86*V86</f>
        <v>495000</v>
      </c>
      <c r="AE86" s="478" t="s">
        <v>25</v>
      </c>
    </row>
    <row r="87" spans="1:31" s="11" customFormat="1" ht="21" customHeight="1">
      <c r="A87" s="37"/>
      <c r="B87" s="38"/>
      <c r="C87" s="38"/>
      <c r="D87" s="447"/>
      <c r="E87" s="448"/>
      <c r="F87" s="448"/>
      <c r="G87" s="448"/>
      <c r="H87" s="448"/>
      <c r="I87" s="448"/>
      <c r="J87" s="448"/>
      <c r="K87" s="448"/>
      <c r="L87" s="448"/>
      <c r="M87" s="97"/>
      <c r="N87" s="60"/>
      <c r="O87" s="470"/>
      <c r="P87" s="470"/>
      <c r="Q87" s="470"/>
      <c r="R87" s="470"/>
      <c r="S87" s="469">
        <v>45000</v>
      </c>
      <c r="T87" s="480" t="s">
        <v>25</v>
      </c>
      <c r="U87" s="480" t="s">
        <v>26</v>
      </c>
      <c r="V87" s="479">
        <v>1</v>
      </c>
      <c r="W87" s="481" t="s">
        <v>29</v>
      </c>
      <c r="X87" s="479" t="s">
        <v>27</v>
      </c>
      <c r="Y87" s="469"/>
      <c r="Z87" s="469"/>
      <c r="AA87" s="469"/>
      <c r="AB87" s="469" t="s">
        <v>381</v>
      </c>
      <c r="AC87" s="469"/>
      <c r="AD87" s="469">
        <f>S87*V87</f>
        <v>45000</v>
      </c>
      <c r="AE87" s="478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70" t="s">
        <v>446</v>
      </c>
      <c r="P88" s="470"/>
      <c r="Q88" s="470"/>
      <c r="R88" s="470"/>
      <c r="S88" s="469">
        <v>476250</v>
      </c>
      <c r="T88" s="477" t="s">
        <v>25</v>
      </c>
      <c r="U88" s="477" t="s">
        <v>26</v>
      </c>
      <c r="V88" s="469">
        <v>8</v>
      </c>
      <c r="W88" s="470" t="s">
        <v>29</v>
      </c>
      <c r="X88" s="469" t="s">
        <v>27</v>
      </c>
      <c r="Y88" s="469"/>
      <c r="Z88" s="469"/>
      <c r="AA88" s="469"/>
      <c r="AB88" s="469" t="s">
        <v>439</v>
      </c>
      <c r="AC88" s="469"/>
      <c r="AD88" s="469">
        <f>S88*V88</f>
        <v>3810000</v>
      </c>
      <c r="AE88" s="478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70"/>
      <c r="P89" s="470"/>
      <c r="Q89" s="470"/>
      <c r="R89" s="470"/>
      <c r="S89" s="469">
        <v>500000</v>
      </c>
      <c r="T89" s="477" t="s">
        <v>25</v>
      </c>
      <c r="U89" s="477" t="s">
        <v>26</v>
      </c>
      <c r="V89" s="469">
        <v>2</v>
      </c>
      <c r="W89" s="470" t="s">
        <v>29</v>
      </c>
      <c r="X89" s="469" t="s">
        <v>27</v>
      </c>
      <c r="Y89" s="469"/>
      <c r="Z89" s="469"/>
      <c r="AA89" s="469"/>
      <c r="AB89" s="469" t="s">
        <v>512</v>
      </c>
      <c r="AC89" s="469"/>
      <c r="AD89" s="469">
        <f>S89*V89</f>
        <v>1000000</v>
      </c>
      <c r="AE89" s="478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70"/>
      <c r="P90" s="470"/>
      <c r="Q90" s="470"/>
      <c r="R90" s="470"/>
      <c r="S90" s="469">
        <v>350000</v>
      </c>
      <c r="T90" s="477" t="s">
        <v>25</v>
      </c>
      <c r="U90" s="477" t="s">
        <v>26</v>
      </c>
      <c r="V90" s="469">
        <v>2</v>
      </c>
      <c r="W90" s="470" t="s">
        <v>29</v>
      </c>
      <c r="X90" s="469" t="s">
        <v>27</v>
      </c>
      <c r="Y90" s="469"/>
      <c r="Z90" s="469"/>
      <c r="AA90" s="469"/>
      <c r="AB90" s="469" t="s">
        <v>513</v>
      </c>
      <c r="AC90" s="469"/>
      <c r="AD90" s="469">
        <f>S90*V90</f>
        <v>700000</v>
      </c>
      <c r="AE90" s="478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70" t="s">
        <v>448</v>
      </c>
      <c r="P91" s="470"/>
      <c r="Q91" s="470"/>
      <c r="R91" s="470"/>
      <c r="S91" s="469"/>
      <c r="T91" s="477"/>
      <c r="V91" s="469"/>
      <c r="W91" s="470"/>
      <c r="X91" s="469"/>
      <c r="Y91" s="469"/>
      <c r="Z91" s="469"/>
      <c r="AA91" s="469"/>
      <c r="AB91" s="469" t="s">
        <v>386</v>
      </c>
      <c r="AC91" s="469"/>
      <c r="AD91" s="469">
        <v>55000</v>
      </c>
      <c r="AE91" s="478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70"/>
      <c r="P92" s="470"/>
      <c r="Q92" s="470"/>
      <c r="R92" s="470"/>
      <c r="S92" s="469"/>
      <c r="T92" s="477"/>
      <c r="V92" s="469"/>
      <c r="W92" s="470"/>
      <c r="X92" s="469"/>
      <c r="Y92" s="469"/>
      <c r="Z92" s="469"/>
      <c r="AA92" s="469"/>
      <c r="AB92" s="469" t="s">
        <v>166</v>
      </c>
      <c r="AC92" s="469"/>
      <c r="AD92" s="469">
        <v>2000</v>
      </c>
      <c r="AE92" s="478" t="s">
        <v>25</v>
      </c>
    </row>
    <row r="93" spans="1:31" s="13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150"/>
      <c r="P93" s="296"/>
      <c r="Q93" s="296"/>
      <c r="R93" s="296"/>
      <c r="S93" s="295"/>
      <c r="T93" s="45"/>
      <c r="U93" s="45"/>
      <c r="V93" s="295"/>
      <c r="W93" s="296"/>
      <c r="X93" s="295"/>
      <c r="Y93" s="295"/>
      <c r="Z93" s="295"/>
      <c r="AA93" s="295"/>
      <c r="AB93" s="434"/>
      <c r="AC93" s="434"/>
      <c r="AD93" s="434"/>
      <c r="AE93" s="47"/>
    </row>
    <row r="94" spans="1:31" ht="21" customHeight="1">
      <c r="A94" s="37"/>
      <c r="B94" s="38"/>
      <c r="C94" s="28" t="s">
        <v>15</v>
      </c>
      <c r="D94" s="135">
        <v>470</v>
      </c>
      <c r="E94" s="102">
        <f>ROUND(AD94/1000,0)</f>
        <v>520</v>
      </c>
      <c r="F94" s="103">
        <f>SUMIF($AB$95:$AB$99,"보조",$AD$95:$AD$99)/1000</f>
        <v>0</v>
      </c>
      <c r="G94" s="103">
        <f>SUMIF($AB$95:$AB$99,"4종",$AD$95:$AD$99)/1000</f>
        <v>0</v>
      </c>
      <c r="H94" s="103">
        <f>SUMIF($AB$95:$AB$99,"6종",$AD$95:$AD$99)/1000</f>
        <v>0</v>
      </c>
      <c r="I94" s="103">
        <f>SUMIF($AB$95:$AB$99,"후원",$AD$95:$AD$99)/1000</f>
        <v>0</v>
      </c>
      <c r="J94" s="103">
        <f>SUMIF($AB$95:$AB$99,"입소",$AD$95:$AD$99)/1000</f>
        <v>520</v>
      </c>
      <c r="K94" s="103">
        <f>SUMIF($AB$95:$AB$99,"법인",$AD$95:$AD$99)/1000</f>
        <v>0</v>
      </c>
      <c r="L94" s="103">
        <f>SUMIF($AB$95:$AB$99,"잡수",$AD$95:$AD$99)/1000</f>
        <v>0</v>
      </c>
      <c r="M94" s="112">
        <f>E94-D94</f>
        <v>50</v>
      </c>
      <c r="N94" s="109">
        <f>IF(D94=0,0,M94/D94)</f>
        <v>0.10638297872340426</v>
      </c>
      <c r="O94" s="344" t="s">
        <v>44</v>
      </c>
      <c r="P94" s="345"/>
      <c r="Q94" s="345"/>
      <c r="R94" s="345"/>
      <c r="S94" s="345"/>
      <c r="T94" s="346"/>
      <c r="U94" s="346"/>
      <c r="V94" s="346"/>
      <c r="W94" s="346"/>
      <c r="X94" s="346"/>
      <c r="Y94" s="341" t="s">
        <v>371</v>
      </c>
      <c r="Z94" s="341"/>
      <c r="AA94" s="341"/>
      <c r="AB94" s="341"/>
      <c r="AC94" s="342"/>
      <c r="AD94" s="342">
        <f>SUM(AD95:AD99)</f>
        <v>520000</v>
      </c>
      <c r="AE94" s="343" t="s">
        <v>25</v>
      </c>
    </row>
    <row r="95" spans="1:31" s="11" customFormat="1" ht="21" customHeight="1">
      <c r="A95" s="37"/>
      <c r="B95" s="38"/>
      <c r="C95" s="38"/>
      <c r="D95" s="445"/>
      <c r="E95" s="446"/>
      <c r="F95" s="446"/>
      <c r="G95" s="446"/>
      <c r="H95" s="446"/>
      <c r="I95" s="446"/>
      <c r="J95" s="446"/>
      <c r="K95" s="446"/>
      <c r="L95" s="446"/>
      <c r="M95" s="97"/>
      <c r="N95" s="60"/>
      <c r="O95" s="470" t="s">
        <v>449</v>
      </c>
      <c r="P95" s="483"/>
      <c r="Q95" s="483"/>
      <c r="R95" s="483"/>
      <c r="S95" s="470"/>
      <c r="T95" s="443"/>
      <c r="U95" s="484"/>
      <c r="V95" s="479">
        <v>20000</v>
      </c>
      <c r="W95" s="480" t="s">
        <v>25</v>
      </c>
      <c r="X95" s="480" t="s">
        <v>26</v>
      </c>
      <c r="Y95" s="479">
        <v>2</v>
      </c>
      <c r="Z95" s="481" t="s">
        <v>450</v>
      </c>
      <c r="AA95" s="479" t="s">
        <v>27</v>
      </c>
      <c r="AB95" s="469" t="s">
        <v>430</v>
      </c>
      <c r="AC95" s="469"/>
      <c r="AD95" s="469">
        <f>V95*Y95</f>
        <v>40000</v>
      </c>
      <c r="AE95" s="478" t="s">
        <v>25</v>
      </c>
    </row>
    <row r="96" spans="1:31" s="11" customFormat="1" ht="21" customHeight="1">
      <c r="A96" s="37"/>
      <c r="B96" s="38"/>
      <c r="C96" s="38"/>
      <c r="D96" s="447"/>
      <c r="E96" s="448"/>
      <c r="F96" s="448"/>
      <c r="G96" s="448"/>
      <c r="H96" s="448"/>
      <c r="I96" s="448"/>
      <c r="J96" s="448"/>
      <c r="K96" s="448"/>
      <c r="L96" s="448"/>
      <c r="M96" s="97"/>
      <c r="N96" s="60"/>
      <c r="O96" s="470" t="s">
        <v>451</v>
      </c>
      <c r="P96" s="483"/>
      <c r="Q96" s="483"/>
      <c r="R96" s="483"/>
      <c r="S96" s="469">
        <v>600000</v>
      </c>
      <c r="T96" s="477" t="s">
        <v>25</v>
      </c>
      <c r="U96" s="477" t="s">
        <v>26</v>
      </c>
      <c r="V96" s="469">
        <v>1</v>
      </c>
      <c r="W96" s="470" t="s">
        <v>450</v>
      </c>
      <c r="X96" s="474" t="s">
        <v>106</v>
      </c>
      <c r="Y96" s="485">
        <v>3</v>
      </c>
      <c r="Z96" s="469"/>
      <c r="AA96" s="469" t="s">
        <v>27</v>
      </c>
      <c r="AB96" s="469" t="s">
        <v>430</v>
      </c>
      <c r="AC96" s="469"/>
      <c r="AD96" s="469">
        <f>ROUNDDOWN(S96*V96/Y96,-4)</f>
        <v>200000</v>
      </c>
      <c r="AE96" s="478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70" t="s">
        <v>452</v>
      </c>
      <c r="P97" s="483"/>
      <c r="Q97" s="483"/>
      <c r="R97" s="483"/>
      <c r="S97" s="469">
        <v>200000</v>
      </c>
      <c r="T97" s="477" t="s">
        <v>25</v>
      </c>
      <c r="U97" s="477" t="s">
        <v>26</v>
      </c>
      <c r="V97" s="469">
        <v>1</v>
      </c>
      <c r="W97" s="470" t="s">
        <v>450</v>
      </c>
      <c r="X97" s="474"/>
      <c r="Y97" s="485"/>
      <c r="Z97" s="469"/>
      <c r="AA97" s="469" t="s">
        <v>27</v>
      </c>
      <c r="AB97" s="469" t="s">
        <v>430</v>
      </c>
      <c r="AC97" s="469"/>
      <c r="AD97" s="469">
        <f>S97*V97</f>
        <v>200000</v>
      </c>
      <c r="AE97" s="478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470" t="s">
        <v>453</v>
      </c>
      <c r="P98" s="483"/>
      <c r="Q98" s="483"/>
      <c r="R98" s="483"/>
      <c r="S98" s="470"/>
      <c r="T98" s="443"/>
      <c r="U98" s="484"/>
      <c r="V98" s="479"/>
      <c r="W98" s="480"/>
      <c r="X98" s="480"/>
      <c r="Y98" s="479"/>
      <c r="Z98" s="481"/>
      <c r="AA98" s="479" t="s">
        <v>27</v>
      </c>
      <c r="AB98" s="469" t="s">
        <v>381</v>
      </c>
      <c r="AC98" s="469"/>
      <c r="AD98" s="469">
        <v>80000</v>
      </c>
      <c r="AE98" s="478" t="s">
        <v>25</v>
      </c>
    </row>
    <row r="99" spans="1:31" s="11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277"/>
      <c r="P99" s="433"/>
      <c r="Q99" s="433"/>
      <c r="R99" s="433"/>
      <c r="S99" s="433"/>
      <c r="T99" s="278"/>
      <c r="U99" s="347"/>
      <c r="V99" s="277"/>
      <c r="W99" s="337"/>
      <c r="X99" s="273"/>
      <c r="Y99" s="273"/>
      <c r="Z99" s="273"/>
      <c r="AA99" s="277"/>
      <c r="AB99" s="277"/>
      <c r="AC99" s="273"/>
      <c r="AD99" s="273"/>
      <c r="AE99" s="122"/>
    </row>
    <row r="100" spans="1:31" s="11" customFormat="1" ht="21" customHeight="1">
      <c r="A100" s="37"/>
      <c r="B100" s="38"/>
      <c r="C100" s="28" t="s">
        <v>45</v>
      </c>
      <c r="D100" s="135">
        <v>680</v>
      </c>
      <c r="E100" s="102">
        <f>ROUND(AD100/1000,0)</f>
        <v>580</v>
      </c>
      <c r="F100" s="103">
        <f>SUMIF($AB$101:$AB$103,"보조",$AD$101:$AD$103)/1000</f>
        <v>0</v>
      </c>
      <c r="G100" s="103">
        <f>SUMIF($AB$101:$AB$103,"4종",$AD$101:$AD$103)/1000</f>
        <v>0</v>
      </c>
      <c r="H100" s="103">
        <f>SUMIF($AB$101:$AB$103,"6종",$AD$101:$AD$103)/1000</f>
        <v>0</v>
      </c>
      <c r="I100" s="103">
        <f>SUMIF($AB$101:$AB$103,"후원",$AD$101:$AD$103)/1000</f>
        <v>0</v>
      </c>
      <c r="J100" s="103">
        <f>SUMIF($AB$101:$AB$103,"입소",$AD$101:$AD$103)/1000</f>
        <v>580</v>
      </c>
      <c r="K100" s="103">
        <f>SUMIF($AB$101:$AB$103,"법인",$AD$101:$AD$103)/1000</f>
        <v>0</v>
      </c>
      <c r="L100" s="103">
        <f>SUMIF($AB$101:$AB$103,"잡수",$AD$101:$AD$103)/1000</f>
        <v>0</v>
      </c>
      <c r="M100" s="156">
        <f>E100-D100</f>
        <v>-100</v>
      </c>
      <c r="N100" s="109">
        <f>IF(D100=0,0,M100/D100)</f>
        <v>-0.14705882352941177</v>
      </c>
      <c r="O100" s="85" t="s">
        <v>46</v>
      </c>
      <c r="P100" s="154"/>
      <c r="Q100" s="154"/>
      <c r="R100" s="154"/>
      <c r="S100" s="154"/>
      <c r="T100" s="153"/>
      <c r="U100" s="153"/>
      <c r="V100" s="153"/>
      <c r="W100" s="153"/>
      <c r="X100" s="153"/>
      <c r="Y100" s="431" t="s">
        <v>371</v>
      </c>
      <c r="Z100" s="431"/>
      <c r="AA100" s="431"/>
      <c r="AB100" s="307"/>
      <c r="AC100" s="308"/>
      <c r="AD100" s="308">
        <f>SUM(AD101:AD102)</f>
        <v>580000</v>
      </c>
      <c r="AE100" s="146" t="s">
        <v>25</v>
      </c>
    </row>
    <row r="101" spans="1:31" s="11" customFormat="1" ht="21" customHeight="1">
      <c r="A101" s="37"/>
      <c r="B101" s="38"/>
      <c r="C101" s="38"/>
      <c r="D101" s="445"/>
      <c r="E101" s="446"/>
      <c r="F101" s="446"/>
      <c r="G101" s="446"/>
      <c r="H101" s="446"/>
      <c r="I101" s="446"/>
      <c r="J101" s="446"/>
      <c r="K101" s="446"/>
      <c r="L101" s="446"/>
      <c r="M101" s="97"/>
      <c r="N101" s="60"/>
      <c r="O101" s="470" t="s">
        <v>454</v>
      </c>
      <c r="P101" s="470"/>
      <c r="Q101" s="470"/>
      <c r="R101" s="470"/>
      <c r="S101" s="469">
        <v>40000</v>
      </c>
      <c r="T101" s="477" t="s">
        <v>25</v>
      </c>
      <c r="U101" s="477" t="s">
        <v>26</v>
      </c>
      <c r="V101" s="469">
        <v>12</v>
      </c>
      <c r="W101" s="470" t="s">
        <v>29</v>
      </c>
      <c r="X101" s="469" t="s">
        <v>27</v>
      </c>
      <c r="Y101" s="469"/>
      <c r="Z101" s="469"/>
      <c r="AA101" s="469"/>
      <c r="AB101" s="469" t="s">
        <v>430</v>
      </c>
      <c r="AC101" s="469"/>
      <c r="AD101" s="469">
        <f>S101*V101</f>
        <v>480000</v>
      </c>
      <c r="AE101" s="478" t="s">
        <v>25</v>
      </c>
    </row>
    <row r="102" spans="1:31" s="11" customFormat="1" ht="21" customHeight="1">
      <c r="A102" s="37"/>
      <c r="B102" s="38"/>
      <c r="C102" s="38"/>
      <c r="D102" s="447"/>
      <c r="E102" s="448"/>
      <c r="F102" s="448"/>
      <c r="G102" s="448"/>
      <c r="H102" s="448"/>
      <c r="I102" s="448"/>
      <c r="J102" s="448"/>
      <c r="K102" s="448"/>
      <c r="L102" s="448"/>
      <c r="M102" s="97"/>
      <c r="N102" s="60"/>
      <c r="O102" s="470" t="s">
        <v>455</v>
      </c>
      <c r="P102" s="470"/>
      <c r="Q102" s="470"/>
      <c r="R102" s="470"/>
      <c r="S102" s="469"/>
      <c r="T102" s="477"/>
      <c r="U102" s="477"/>
      <c r="V102" s="469"/>
      <c r="W102" s="470"/>
      <c r="X102" s="469"/>
      <c r="Y102" s="469"/>
      <c r="Z102" s="469"/>
      <c r="AA102" s="469"/>
      <c r="AB102" s="469" t="s">
        <v>430</v>
      </c>
      <c r="AC102" s="469"/>
      <c r="AD102" s="469">
        <v>100000</v>
      </c>
      <c r="AE102" s="478" t="s">
        <v>25</v>
      </c>
    </row>
    <row r="103" spans="1:31" s="11" customFormat="1" ht="21" customHeight="1">
      <c r="A103" s="37"/>
      <c r="B103" s="38"/>
      <c r="C103" s="49"/>
      <c r="D103" s="114"/>
      <c r="E103" s="100"/>
      <c r="F103" s="100"/>
      <c r="G103" s="100"/>
      <c r="H103" s="100"/>
      <c r="I103" s="100"/>
      <c r="J103" s="100"/>
      <c r="K103" s="100"/>
      <c r="L103" s="100"/>
      <c r="M103" s="100"/>
      <c r="N103" s="75"/>
      <c r="O103" s="430"/>
      <c r="P103" s="430"/>
      <c r="Q103" s="430"/>
      <c r="R103" s="430"/>
      <c r="S103" s="429"/>
      <c r="T103" s="400"/>
      <c r="U103" s="429"/>
      <c r="V103" s="590"/>
      <c r="W103" s="590"/>
      <c r="X103" s="429"/>
      <c r="Y103" s="429"/>
      <c r="Z103" s="429"/>
      <c r="AA103" s="429"/>
      <c r="AB103" s="429"/>
      <c r="AC103" s="429"/>
      <c r="AD103" s="429"/>
      <c r="AE103" s="401"/>
    </row>
    <row r="104" spans="1:31" s="11" customFormat="1" ht="21" customHeight="1">
      <c r="A104" s="37"/>
      <c r="B104" s="38"/>
      <c r="C104" s="28" t="s">
        <v>382</v>
      </c>
      <c r="D104" s="115">
        <v>1540</v>
      </c>
      <c r="E104" s="102">
        <f>ROUND(AD104/1000,0)</f>
        <v>2010</v>
      </c>
      <c r="F104" s="103">
        <f>SUMIF($AB$106:$AB$110,"보조",$AD$106:$AD$110)/1000</f>
        <v>0</v>
      </c>
      <c r="G104" s="103">
        <f>SUMIF($AB$106:$AB$110,"4종",$AD$106:$AD$110)/1000</f>
        <v>0</v>
      </c>
      <c r="H104" s="103">
        <f>SUMIF($AB$106:$AB$110,"6종",$AD$106:$AD$110)/1000</f>
        <v>0</v>
      </c>
      <c r="I104" s="103">
        <f>SUMIF($AB$106:$AB$110,"후원",$AD$106:$AD$110)/1000</f>
        <v>0</v>
      </c>
      <c r="J104" s="103">
        <f>SUMIF($AB$106:$AB$110,"입소",$AD$106:$AD$110)/1000</f>
        <v>330</v>
      </c>
      <c r="K104" s="103">
        <f>SUMIF($AB$106:$AB$110,"법인",$AD$106:$AD$110)/1000</f>
        <v>0</v>
      </c>
      <c r="L104" s="103">
        <f>SUMIF($AB$106:$AB$110,"잡수",$AD$106:$AD$110)/1000</f>
        <v>1680</v>
      </c>
      <c r="M104" s="112">
        <f>E104-D104</f>
        <v>470</v>
      </c>
      <c r="N104" s="109">
        <f>IF(D104=0,0,M104/D104)</f>
        <v>0.30519480519480519</v>
      </c>
      <c r="O104" s="105" t="s">
        <v>383</v>
      </c>
      <c r="P104" s="154"/>
      <c r="Q104" s="154"/>
      <c r="R104" s="154"/>
      <c r="S104" s="154"/>
      <c r="T104" s="153"/>
      <c r="U104" s="153"/>
      <c r="V104" s="153"/>
      <c r="W104" s="153"/>
      <c r="X104" s="153"/>
      <c r="Y104" s="431" t="s">
        <v>384</v>
      </c>
      <c r="Z104" s="431"/>
      <c r="AA104" s="431"/>
      <c r="AB104" s="431"/>
      <c r="AC104" s="147"/>
      <c r="AD104" s="147">
        <f>SUM(AD105,AD107)</f>
        <v>2010000</v>
      </c>
      <c r="AE104" s="146" t="s">
        <v>25</v>
      </c>
    </row>
    <row r="105" spans="1:31" s="11" customFormat="1" ht="21" customHeight="1">
      <c r="A105" s="37"/>
      <c r="B105" s="38"/>
      <c r="C105" s="38"/>
      <c r="D105" s="445"/>
      <c r="E105" s="446"/>
      <c r="F105" s="446"/>
      <c r="G105" s="446"/>
      <c r="H105" s="446"/>
      <c r="I105" s="446"/>
      <c r="J105" s="446"/>
      <c r="K105" s="446"/>
      <c r="L105" s="446"/>
      <c r="M105" s="97"/>
      <c r="N105" s="60"/>
      <c r="O105" s="470" t="s">
        <v>456</v>
      </c>
      <c r="P105" s="486"/>
      <c r="Q105" s="486"/>
      <c r="R105" s="486"/>
      <c r="S105" s="486"/>
      <c r="T105" s="487"/>
      <c r="U105" s="487"/>
      <c r="V105" s="487"/>
      <c r="W105" s="487"/>
      <c r="X105" s="487"/>
      <c r="Y105" s="488" t="s">
        <v>371</v>
      </c>
      <c r="Z105" s="488"/>
      <c r="AA105" s="488"/>
      <c r="AB105" s="488"/>
      <c r="AC105" s="489"/>
      <c r="AD105" s="489">
        <f>AD106</f>
        <v>210000</v>
      </c>
      <c r="AE105" s="490" t="s">
        <v>56</v>
      </c>
    </row>
    <row r="106" spans="1:31" s="11" customFormat="1" ht="20.25" customHeight="1">
      <c r="A106" s="37"/>
      <c r="B106" s="38"/>
      <c r="C106" s="38"/>
      <c r="D106" s="445"/>
      <c r="E106" s="446"/>
      <c r="F106" s="446"/>
      <c r="G106" s="448"/>
      <c r="H106" s="446"/>
      <c r="I106" s="446"/>
      <c r="J106" s="448"/>
      <c r="K106" s="446"/>
      <c r="L106" s="446"/>
      <c r="M106" s="97"/>
      <c r="N106" s="60"/>
      <c r="O106" s="470" t="s">
        <v>528</v>
      </c>
      <c r="P106" s="470"/>
      <c r="Q106" s="470"/>
      <c r="R106" s="470"/>
      <c r="S106" s="469">
        <v>70000</v>
      </c>
      <c r="T106" s="469" t="s">
        <v>25</v>
      </c>
      <c r="U106" s="491" t="s">
        <v>26</v>
      </c>
      <c r="V106" s="469">
        <v>3</v>
      </c>
      <c r="W106" s="469" t="s">
        <v>450</v>
      </c>
      <c r="X106" s="491"/>
      <c r="Y106" s="469"/>
      <c r="Z106" s="469"/>
      <c r="AA106" s="469" t="s">
        <v>27</v>
      </c>
      <c r="AB106" s="469" t="s">
        <v>430</v>
      </c>
      <c r="AC106" s="443"/>
      <c r="AD106" s="443">
        <f>S106*V106</f>
        <v>210000</v>
      </c>
      <c r="AE106" s="478" t="s">
        <v>25</v>
      </c>
    </row>
    <row r="107" spans="1:31" s="11" customFormat="1" ht="20.25" customHeight="1">
      <c r="A107" s="37"/>
      <c r="B107" s="38"/>
      <c r="C107" s="38"/>
      <c r="D107" s="447"/>
      <c r="E107" s="448"/>
      <c r="F107" s="448"/>
      <c r="G107" s="448"/>
      <c r="H107" s="448"/>
      <c r="I107" s="448"/>
      <c r="J107" s="448"/>
      <c r="K107" s="448"/>
      <c r="L107" s="448"/>
      <c r="M107" s="97"/>
      <c r="N107" s="60"/>
      <c r="O107" s="492" t="s">
        <v>457</v>
      </c>
      <c r="P107" s="470"/>
      <c r="Q107" s="470"/>
      <c r="R107" s="470"/>
      <c r="S107" s="469"/>
      <c r="T107" s="469"/>
      <c r="U107" s="491"/>
      <c r="V107" s="469"/>
      <c r="W107" s="469"/>
      <c r="X107" s="491"/>
      <c r="Y107" s="493" t="s">
        <v>371</v>
      </c>
      <c r="Z107" s="493"/>
      <c r="AA107" s="493"/>
      <c r="AB107" s="493"/>
      <c r="AC107" s="494"/>
      <c r="AD107" s="494">
        <f>SUM(AD108:AD109)</f>
        <v>1800000</v>
      </c>
      <c r="AE107" s="495" t="s">
        <v>56</v>
      </c>
    </row>
    <row r="108" spans="1:31" s="11" customFormat="1" ht="20.25" customHeight="1">
      <c r="A108" s="37"/>
      <c r="B108" s="38"/>
      <c r="C108" s="38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0" t="s">
        <v>458</v>
      </c>
      <c r="P108" s="470"/>
      <c r="Q108" s="470"/>
      <c r="R108" s="470"/>
      <c r="S108" s="469">
        <v>140000</v>
      </c>
      <c r="T108" s="469" t="s">
        <v>25</v>
      </c>
      <c r="U108" s="491" t="s">
        <v>26</v>
      </c>
      <c r="V108" s="469">
        <v>12</v>
      </c>
      <c r="W108" s="469" t="s">
        <v>450</v>
      </c>
      <c r="X108" s="491"/>
      <c r="Y108" s="469"/>
      <c r="Z108" s="469"/>
      <c r="AA108" s="469" t="s">
        <v>27</v>
      </c>
      <c r="AB108" s="469" t="s">
        <v>386</v>
      </c>
      <c r="AC108" s="443"/>
      <c r="AD108" s="443">
        <f>S108*V108</f>
        <v>1680000</v>
      </c>
      <c r="AE108" s="478" t="s">
        <v>25</v>
      </c>
    </row>
    <row r="109" spans="1:31" s="11" customFormat="1" ht="20.25" customHeight="1">
      <c r="A109" s="37"/>
      <c r="B109" s="38"/>
      <c r="C109" s="39"/>
      <c r="D109" s="116"/>
      <c r="E109" s="97"/>
      <c r="F109" s="97"/>
      <c r="G109" s="97"/>
      <c r="H109" s="97"/>
      <c r="I109" s="97"/>
      <c r="J109" s="97"/>
      <c r="K109" s="97"/>
      <c r="L109" s="97"/>
      <c r="M109" s="97"/>
      <c r="N109" s="60"/>
      <c r="O109" s="476" t="s">
        <v>527</v>
      </c>
      <c r="P109" s="475"/>
      <c r="Q109" s="476"/>
      <c r="R109" s="476"/>
      <c r="S109" s="295"/>
      <c r="T109" s="44"/>
      <c r="U109" s="238"/>
      <c r="V109" s="295"/>
      <c r="W109" s="64"/>
      <c r="X109" s="64"/>
      <c r="Y109" s="67"/>
      <c r="Z109" s="65"/>
      <c r="AA109" s="533"/>
      <c r="AB109" s="295" t="s">
        <v>381</v>
      </c>
      <c r="AC109" s="58"/>
      <c r="AD109" s="58">
        <v>120000</v>
      </c>
      <c r="AE109" s="122" t="s">
        <v>56</v>
      </c>
    </row>
    <row r="110" spans="1:31" s="11" customFormat="1" ht="21" customHeight="1">
      <c r="A110" s="37"/>
      <c r="B110" s="49"/>
      <c r="C110" s="99"/>
      <c r="D110" s="134"/>
      <c r="E110" s="100"/>
      <c r="F110" s="100"/>
      <c r="G110" s="100"/>
      <c r="H110" s="100"/>
      <c r="I110" s="100"/>
      <c r="J110" s="100"/>
      <c r="K110" s="100"/>
      <c r="L110" s="100"/>
      <c r="M110" s="100"/>
      <c r="N110" s="75"/>
      <c r="O110" s="356"/>
      <c r="P110" s="356"/>
      <c r="Q110" s="356"/>
      <c r="R110" s="356"/>
      <c r="S110" s="355"/>
      <c r="T110" s="356"/>
      <c r="U110" s="355"/>
      <c r="V110" s="117"/>
      <c r="W110" s="117"/>
      <c r="X110" s="355"/>
      <c r="Y110" s="355"/>
      <c r="Z110" s="355"/>
      <c r="AA110" s="355"/>
      <c r="AB110" s="355"/>
      <c r="AC110" s="355"/>
      <c r="AD110" s="355"/>
      <c r="AE110" s="63"/>
    </row>
    <row r="111" spans="1:31" s="11" customFormat="1" ht="21" customHeight="1">
      <c r="A111" s="101" t="s">
        <v>47</v>
      </c>
      <c r="B111" s="583" t="s">
        <v>20</v>
      </c>
      <c r="C111" s="583"/>
      <c r="D111" s="159">
        <f>D112</f>
        <v>2700</v>
      </c>
      <c r="E111" s="159">
        <f>E112</f>
        <v>39747</v>
      </c>
      <c r="F111" s="159">
        <f t="shared" ref="F111:L111" si="5">F112</f>
        <v>20000</v>
      </c>
      <c r="G111" s="159">
        <f t="shared" si="5"/>
        <v>0</v>
      </c>
      <c r="H111" s="159">
        <f t="shared" si="5"/>
        <v>2000</v>
      </c>
      <c r="I111" s="159">
        <f t="shared" si="5"/>
        <v>0</v>
      </c>
      <c r="J111" s="159">
        <f t="shared" si="5"/>
        <v>1247</v>
      </c>
      <c r="K111" s="159">
        <f t="shared" si="5"/>
        <v>16500</v>
      </c>
      <c r="L111" s="159">
        <f t="shared" si="5"/>
        <v>0</v>
      </c>
      <c r="M111" s="455">
        <f>E111-D111</f>
        <v>37047</v>
      </c>
      <c r="N111" s="141">
        <f>IF(D111=0,0,M111/D111)</f>
        <v>13.721111111111112</v>
      </c>
      <c r="O111" s="152" t="s">
        <v>387</v>
      </c>
      <c r="P111" s="152"/>
      <c r="Q111" s="152"/>
      <c r="R111" s="152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>
        <f>AD112</f>
        <v>39747000</v>
      </c>
      <c r="AE111" s="26" t="s">
        <v>25</v>
      </c>
    </row>
    <row r="112" spans="1:31" s="11" customFormat="1" ht="21" customHeight="1">
      <c r="A112" s="158" t="s">
        <v>388</v>
      </c>
      <c r="B112" s="38" t="s">
        <v>17</v>
      </c>
      <c r="C112" s="38" t="s">
        <v>389</v>
      </c>
      <c r="D112" s="97">
        <f t="shared" ref="D112:L112" si="6">SUM(D113,D116,D128)</f>
        <v>2700</v>
      </c>
      <c r="E112" s="97">
        <f t="shared" si="6"/>
        <v>39747</v>
      </c>
      <c r="F112" s="97">
        <f t="shared" si="6"/>
        <v>20000</v>
      </c>
      <c r="G112" s="97">
        <f t="shared" si="6"/>
        <v>0</v>
      </c>
      <c r="H112" s="97">
        <f t="shared" si="6"/>
        <v>2000</v>
      </c>
      <c r="I112" s="97">
        <f t="shared" si="6"/>
        <v>0</v>
      </c>
      <c r="J112" s="97">
        <f t="shared" si="6"/>
        <v>1247</v>
      </c>
      <c r="K112" s="97">
        <f t="shared" si="6"/>
        <v>16500</v>
      </c>
      <c r="L112" s="97">
        <f t="shared" si="6"/>
        <v>0</v>
      </c>
      <c r="M112" s="97">
        <f>E112-D112</f>
        <v>37047</v>
      </c>
      <c r="N112" s="60">
        <f>IF(D112=0,0,M112/D112)</f>
        <v>13.721111111111112</v>
      </c>
      <c r="O112" s="154" t="s">
        <v>390</v>
      </c>
      <c r="P112" s="154"/>
      <c r="Q112" s="154"/>
      <c r="R112" s="154"/>
      <c r="S112" s="154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82"/>
      <c r="AD112" s="82">
        <f>AD113+AD116+AD128</f>
        <v>39747000</v>
      </c>
      <c r="AE112" s="83" t="s">
        <v>25</v>
      </c>
    </row>
    <row r="113" spans="1:31" s="11" customFormat="1" ht="21" customHeight="1">
      <c r="A113" s="37"/>
      <c r="B113" s="38"/>
      <c r="C113" s="28" t="s">
        <v>390</v>
      </c>
      <c r="D113" s="156">
        <v>0</v>
      </c>
      <c r="E113" s="156">
        <f>ROUND(AD113/1000,0)</f>
        <v>0</v>
      </c>
      <c r="F113" s="103">
        <f>SUMIF($AB$115:$AB$115,"보조",$AD$115:$AD$115)/1000</f>
        <v>0</v>
      </c>
      <c r="G113" s="103">
        <f>SUMIF($AB$115:$AB$115,"4종",$AD$115:$AD$115)/1000</f>
        <v>0</v>
      </c>
      <c r="H113" s="103">
        <f>SUMIF($AB$115:$AB$115,"6종",$AD$115:$AD$115)/1000</f>
        <v>0</v>
      </c>
      <c r="I113" s="103">
        <v>0</v>
      </c>
      <c r="J113" s="103">
        <f>SUMIF($AB$115:$AB$115,"입소",$AD$115:$AD$115)/1000</f>
        <v>0</v>
      </c>
      <c r="K113" s="103">
        <f>SUMIF($AB$115:$AB$115,"법인",$AD$115:$AD$115)/1000</f>
        <v>0</v>
      </c>
      <c r="L113" s="103">
        <f>SUMIF($AB$115:$AB$115,"잡수",$AD$115:$AD$115)/1000</f>
        <v>0</v>
      </c>
      <c r="M113" s="156">
        <f>E113-D113</f>
        <v>0</v>
      </c>
      <c r="N113" s="157">
        <f>IF(D113=0,0,M113/D113)</f>
        <v>0</v>
      </c>
      <c r="O113" s="85" t="s">
        <v>48</v>
      </c>
      <c r="P113" s="154"/>
      <c r="Q113" s="154"/>
      <c r="R113" s="154"/>
      <c r="S113" s="154"/>
      <c r="T113" s="153"/>
      <c r="U113" s="153"/>
      <c r="V113" s="153"/>
      <c r="W113" s="153"/>
      <c r="X113" s="153"/>
      <c r="Y113" s="431" t="s">
        <v>389</v>
      </c>
      <c r="Z113" s="431"/>
      <c r="AA113" s="431"/>
      <c r="AB113" s="431"/>
      <c r="AC113" s="147"/>
      <c r="AD113" s="308">
        <f>SUM(AD114:AD115)</f>
        <v>0</v>
      </c>
      <c r="AE113" s="146" t="s">
        <v>25</v>
      </c>
    </row>
    <row r="114" spans="1:31" s="11" customFormat="1" ht="21" customHeight="1">
      <c r="A114" s="37"/>
      <c r="B114" s="38"/>
      <c r="C114" s="38"/>
      <c r="D114" s="538"/>
      <c r="E114" s="423"/>
      <c r="F114" s="539"/>
      <c r="G114" s="539"/>
      <c r="H114" s="539"/>
      <c r="I114" s="539"/>
      <c r="J114" s="539"/>
      <c r="K114" s="539"/>
      <c r="L114" s="539"/>
      <c r="M114" s="423"/>
      <c r="N114" s="268"/>
      <c r="O114" s="588"/>
      <c r="P114" s="589"/>
      <c r="Q114" s="589"/>
      <c r="R114" s="589"/>
      <c r="S114" s="152"/>
      <c r="T114" s="151"/>
      <c r="U114" s="151"/>
      <c r="V114" s="151"/>
      <c r="W114" s="151"/>
      <c r="X114" s="151"/>
      <c r="Y114" s="151"/>
      <c r="Z114" s="151"/>
      <c r="AA114" s="151"/>
      <c r="AB114" s="106"/>
      <c r="AC114" s="106"/>
      <c r="AD114" s="404">
        <v>0</v>
      </c>
      <c r="AE114" s="408" t="s">
        <v>56</v>
      </c>
    </row>
    <row r="115" spans="1:31" s="11" customFormat="1" ht="33.75" customHeight="1">
      <c r="A115" s="37"/>
      <c r="B115" s="38"/>
      <c r="C115" s="38"/>
      <c r="D115" s="133"/>
      <c r="E115" s="97"/>
      <c r="F115" s="97"/>
      <c r="G115" s="97"/>
      <c r="H115" s="97"/>
      <c r="I115" s="97"/>
      <c r="J115" s="97"/>
      <c r="K115" s="97"/>
      <c r="L115" s="97"/>
      <c r="M115" s="97"/>
      <c r="N115" s="60"/>
      <c r="O115" s="588"/>
      <c r="P115" s="589"/>
      <c r="Q115" s="589"/>
      <c r="R115" s="589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404">
        <v>0</v>
      </c>
      <c r="AE115" s="408" t="s">
        <v>536</v>
      </c>
    </row>
    <row r="116" spans="1:31" s="11" customFormat="1" ht="21" customHeight="1">
      <c r="A116" s="37"/>
      <c r="B116" s="38"/>
      <c r="C116" s="28" t="s">
        <v>18</v>
      </c>
      <c r="D116" s="135">
        <v>2500</v>
      </c>
      <c r="E116" s="102">
        <f>ROUND(AD116/1000,0)</f>
        <v>300</v>
      </c>
      <c r="F116" s="103">
        <f>SUMIF($AB$117:$AB$127,"보조",$AD$117:$AD$127)/1000</f>
        <v>0</v>
      </c>
      <c r="G116" s="103">
        <f>SUMIF($AB$117:$AB$127,"4종",$AD$117:$AD$127)/1000</f>
        <v>0</v>
      </c>
      <c r="H116" s="103">
        <f>SUMIF($AB$117:$AB$127,"6종",$AD$117:$AD$127)/1000</f>
        <v>0</v>
      </c>
      <c r="I116" s="103">
        <f>SUMIF($AB$117:$AB$127,"후원",$AD$117:$AD$127)/1000</f>
        <v>0</v>
      </c>
      <c r="J116" s="103">
        <f>SUMIF($AB$117:$AB$127,"입소",$AD$117:$AD$127)/1000</f>
        <v>300</v>
      </c>
      <c r="K116" s="103">
        <f>SUMIF($AB$117:$AB$127,"법인",$AD$117:$AD$127)/1000</f>
        <v>0</v>
      </c>
      <c r="L116" s="103">
        <f>SUMIF($AB$117:$AB$127,"잡수",$AD$117:$AD$127)/1000</f>
        <v>0</v>
      </c>
      <c r="M116" s="112">
        <f>E116-D116</f>
        <v>-2200</v>
      </c>
      <c r="N116" s="109">
        <f>IF(D116=0,0,M116/D116)</f>
        <v>-0.88</v>
      </c>
      <c r="O116" s="85" t="s">
        <v>49</v>
      </c>
      <c r="P116" s="154"/>
      <c r="Q116" s="154"/>
      <c r="R116" s="154"/>
      <c r="S116" s="154"/>
      <c r="T116" s="153"/>
      <c r="U116" s="153"/>
      <c r="V116" s="153"/>
      <c r="W116" s="153"/>
      <c r="X116" s="153"/>
      <c r="Y116" s="431" t="s">
        <v>371</v>
      </c>
      <c r="Z116" s="431"/>
      <c r="AA116" s="431"/>
      <c r="AB116" s="431"/>
      <c r="AC116" s="147"/>
      <c r="AD116" s="308">
        <f>SUM(AD117:AD127)</f>
        <v>300000</v>
      </c>
      <c r="AE116" s="146" t="s">
        <v>25</v>
      </c>
    </row>
    <row r="117" spans="1:31" s="11" customFormat="1" ht="21" customHeight="1">
      <c r="A117" s="37"/>
      <c r="B117" s="38"/>
      <c r="C117" s="38"/>
      <c r="D117" s="445"/>
      <c r="E117" s="446"/>
      <c r="F117" s="446"/>
      <c r="G117" s="446"/>
      <c r="H117" s="446"/>
      <c r="I117" s="446"/>
      <c r="J117" s="446"/>
      <c r="K117" s="446"/>
      <c r="L117" s="446"/>
      <c r="M117" s="97"/>
      <c r="N117" s="60"/>
      <c r="O117" s="588" t="s">
        <v>490</v>
      </c>
      <c r="P117" s="589"/>
      <c r="Q117" s="589"/>
      <c r="R117" s="589"/>
      <c r="S117" s="469"/>
      <c r="T117" s="477"/>
      <c r="U117" s="477"/>
      <c r="V117" s="469"/>
      <c r="W117" s="470"/>
      <c r="X117" s="469"/>
      <c r="Y117" s="469"/>
      <c r="Z117" s="469"/>
      <c r="AA117" s="469"/>
      <c r="AB117" s="469" t="s">
        <v>462</v>
      </c>
      <c r="AC117" s="469"/>
      <c r="AD117" s="469">
        <v>0</v>
      </c>
      <c r="AE117" s="478" t="s">
        <v>25</v>
      </c>
    </row>
    <row r="118" spans="1:31" s="11" customFormat="1" ht="21" customHeight="1">
      <c r="A118" s="37"/>
      <c r="B118" s="38"/>
      <c r="C118" s="38"/>
      <c r="D118" s="447"/>
      <c r="E118" s="448"/>
      <c r="F118" s="448"/>
      <c r="G118" s="448"/>
      <c r="H118" s="448"/>
      <c r="I118" s="448"/>
      <c r="J118" s="448"/>
      <c r="K118" s="448"/>
      <c r="L118" s="448"/>
      <c r="M118" s="97"/>
      <c r="N118" s="60"/>
      <c r="O118" s="470" t="s">
        <v>530</v>
      </c>
      <c r="P118" s="470"/>
      <c r="Q118" s="470"/>
      <c r="R118" s="486"/>
      <c r="S118" s="486"/>
      <c r="T118" s="487"/>
      <c r="U118" s="487"/>
      <c r="V118" s="487"/>
      <c r="W118" s="487"/>
      <c r="X118" s="487"/>
      <c r="Y118" s="487"/>
      <c r="Z118" s="487"/>
      <c r="AA118" s="487"/>
      <c r="AB118" s="469" t="s">
        <v>430</v>
      </c>
      <c r="AC118" s="497"/>
      <c r="AD118" s="443">
        <v>300000</v>
      </c>
      <c r="AE118" s="478" t="s">
        <v>25</v>
      </c>
    </row>
    <row r="119" spans="1:31" s="11" customFormat="1" ht="2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5" t="s">
        <v>529</v>
      </c>
      <c r="P119" s="435"/>
      <c r="Q119" s="435"/>
      <c r="R119" s="435"/>
      <c r="S119" s="434"/>
      <c r="T119" s="403"/>
      <c r="U119" s="297"/>
      <c r="V119" s="121"/>
      <c r="W119" s="121"/>
      <c r="X119" s="434"/>
      <c r="Y119" s="434"/>
      <c r="Z119" s="434"/>
      <c r="AA119" s="434"/>
      <c r="AB119" s="434"/>
      <c r="AC119" s="434"/>
      <c r="AD119" s="434"/>
      <c r="AE119" s="122"/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5"/>
      <c r="P120" s="435"/>
      <c r="Q120" s="435"/>
      <c r="R120" s="435"/>
      <c r="S120" s="434"/>
      <c r="T120" s="297"/>
      <c r="U120" s="297"/>
      <c r="V120" s="434"/>
      <c r="W120" s="435"/>
      <c r="X120" s="434"/>
      <c r="Y120" s="434"/>
      <c r="Z120" s="434"/>
      <c r="AA120" s="434"/>
      <c r="AB120" s="434" t="s">
        <v>367</v>
      </c>
      <c r="AC120" s="434"/>
      <c r="AD120" s="434"/>
      <c r="AE120" s="122" t="s">
        <v>334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5"/>
      <c r="P121" s="435"/>
      <c r="Q121" s="435"/>
      <c r="R121" s="435"/>
      <c r="S121" s="434"/>
      <c r="T121" s="403"/>
      <c r="U121" s="297"/>
      <c r="V121" s="121"/>
      <c r="W121" s="121"/>
      <c r="X121" s="434"/>
      <c r="Y121" s="434"/>
      <c r="Z121" s="434"/>
      <c r="AA121" s="434"/>
      <c r="AB121" s="434" t="s">
        <v>367</v>
      </c>
      <c r="AC121" s="434"/>
      <c r="AD121" s="434"/>
      <c r="AE121" s="122" t="s">
        <v>334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5"/>
      <c r="P122" s="435"/>
      <c r="Q122" s="435"/>
      <c r="R122" s="435"/>
      <c r="S122" s="434"/>
      <c r="T122" s="403"/>
      <c r="U122" s="297"/>
      <c r="V122" s="121"/>
      <c r="W122" s="121"/>
      <c r="X122" s="434"/>
      <c r="Y122" s="434"/>
      <c r="Z122" s="434"/>
      <c r="AA122" s="434"/>
      <c r="AB122" s="434" t="s">
        <v>367</v>
      </c>
      <c r="AC122" s="434"/>
      <c r="AD122" s="434"/>
      <c r="AE122" s="122" t="s">
        <v>334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5"/>
      <c r="P123" s="435"/>
      <c r="Q123" s="435"/>
      <c r="R123" s="435"/>
      <c r="S123" s="434"/>
      <c r="T123" s="403"/>
      <c r="U123" s="297"/>
      <c r="V123" s="121"/>
      <c r="W123" s="121"/>
      <c r="X123" s="434"/>
      <c r="Y123" s="434"/>
      <c r="Z123" s="434"/>
      <c r="AA123" s="434"/>
      <c r="AB123" s="434" t="s">
        <v>367</v>
      </c>
      <c r="AC123" s="434"/>
      <c r="AD123" s="434"/>
      <c r="AE123" s="122" t="s">
        <v>334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5"/>
      <c r="P124" s="435"/>
      <c r="Q124" s="435"/>
      <c r="R124" s="435"/>
      <c r="S124" s="434"/>
      <c r="T124" s="403"/>
      <c r="U124" s="297"/>
      <c r="V124" s="121"/>
      <c r="W124" s="121"/>
      <c r="X124" s="434"/>
      <c r="Y124" s="434"/>
      <c r="Z124" s="434"/>
      <c r="AA124" s="434"/>
      <c r="AB124" s="434" t="s">
        <v>367</v>
      </c>
      <c r="AC124" s="434"/>
      <c r="AD124" s="434"/>
      <c r="AE124" s="122" t="s">
        <v>334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35"/>
      <c r="P125" s="435"/>
      <c r="Q125" s="435"/>
      <c r="R125" s="435"/>
      <c r="S125" s="434"/>
      <c r="T125" s="403"/>
      <c r="U125" s="297"/>
      <c r="V125" s="121"/>
      <c r="W125" s="121"/>
      <c r="X125" s="434"/>
      <c r="Y125" s="434"/>
      <c r="Z125" s="434"/>
      <c r="AA125" s="434"/>
      <c r="AB125" s="434" t="s">
        <v>367</v>
      </c>
      <c r="AC125" s="434"/>
      <c r="AD125" s="434"/>
      <c r="AE125" s="122" t="s">
        <v>334</v>
      </c>
    </row>
    <row r="126" spans="1:31" s="11" customFormat="1" ht="21" hidden="1" customHeight="1">
      <c r="A126" s="37"/>
      <c r="B126" s="38"/>
      <c r="C126" s="38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435"/>
      <c r="P126" s="435"/>
      <c r="Q126" s="435"/>
      <c r="R126" s="435"/>
      <c r="S126" s="434"/>
      <c r="T126" s="403"/>
      <c r="U126" s="297"/>
      <c r="V126" s="121"/>
      <c r="W126" s="121"/>
      <c r="X126" s="434"/>
      <c r="Y126" s="434"/>
      <c r="Z126" s="434"/>
      <c r="AA126" s="434"/>
      <c r="AB126" s="434" t="s">
        <v>367</v>
      </c>
      <c r="AC126" s="434"/>
      <c r="AD126" s="434"/>
      <c r="AE126" s="122" t="s">
        <v>334</v>
      </c>
    </row>
    <row r="127" spans="1:31" s="11" customFormat="1" ht="21" hidden="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35"/>
      <c r="P127" s="435"/>
      <c r="Q127" s="435"/>
      <c r="R127" s="435"/>
      <c r="S127" s="434"/>
      <c r="T127" s="403"/>
      <c r="U127" s="297"/>
      <c r="V127" s="121"/>
      <c r="W127" s="121"/>
      <c r="X127" s="434"/>
      <c r="Y127" s="434"/>
      <c r="Z127" s="434"/>
      <c r="AA127" s="434"/>
      <c r="AB127" s="434" t="s">
        <v>367</v>
      </c>
      <c r="AC127" s="434"/>
      <c r="AD127" s="434"/>
      <c r="AE127" s="122" t="s">
        <v>334</v>
      </c>
    </row>
    <row r="128" spans="1:31" s="11" customFormat="1" ht="21" customHeight="1">
      <c r="A128" s="37"/>
      <c r="B128" s="38"/>
      <c r="C128" s="28" t="s">
        <v>50</v>
      </c>
      <c r="D128" s="135">
        <v>200</v>
      </c>
      <c r="E128" s="102">
        <f>ROUND(AD128/1000,0)</f>
        <v>39447</v>
      </c>
      <c r="F128" s="103">
        <f>SUMIF($AB$129:$AB$134,"보조",$AD$129:$AD$134)/1000</f>
        <v>20000</v>
      </c>
      <c r="G128" s="103">
        <f>SUMIF($AB$129:$AB$134,"4종",$AD$129:$AD$134)/1000</f>
        <v>0</v>
      </c>
      <c r="H128" s="103">
        <f>SUMIF($AB$129:$AB$134,"6종",$AD$129:$AD$134)/1000</f>
        <v>2000</v>
      </c>
      <c r="I128" s="103">
        <f>SUMIF($AB$129:$AB$134,"후원",$AD$129:$AD$134)/1000</f>
        <v>0</v>
      </c>
      <c r="J128" s="103">
        <f>SUMIF($AB$129:$AB$134,"입소",$AD$129:$AD$134)/1000</f>
        <v>947</v>
      </c>
      <c r="K128" s="103">
        <f>SUMIF($AB$129:$AB$134,"법인",$AD$129:$AD$134)/1000</f>
        <v>16500</v>
      </c>
      <c r="L128" s="103">
        <f>SUMIF($AB$129:$AB$134,"잡수",$AD$129:$AD$134)/1000</f>
        <v>0</v>
      </c>
      <c r="M128" s="112">
        <f>E128-D128</f>
        <v>39247</v>
      </c>
      <c r="N128" s="109">
        <f>IF(D128=0,0,M128/D128)</f>
        <v>196.23500000000001</v>
      </c>
      <c r="O128" s="85" t="s">
        <v>51</v>
      </c>
      <c r="P128" s="154"/>
      <c r="Q128" s="154"/>
      <c r="R128" s="154"/>
      <c r="S128" s="154"/>
      <c r="T128" s="153"/>
      <c r="U128" s="153"/>
      <c r="V128" s="153"/>
      <c r="W128" s="153"/>
      <c r="X128" s="153"/>
      <c r="Y128" s="431" t="s">
        <v>371</v>
      </c>
      <c r="Z128" s="431"/>
      <c r="AA128" s="431"/>
      <c r="AB128" s="431"/>
      <c r="AC128" s="147"/>
      <c r="AD128" s="147">
        <f>SUM(AD129:AD134)</f>
        <v>39447000</v>
      </c>
      <c r="AE128" s="146" t="s">
        <v>25</v>
      </c>
    </row>
    <row r="129" spans="1:31" s="1" customFormat="1" ht="21" customHeight="1">
      <c r="A129" s="37"/>
      <c r="B129" s="38"/>
      <c r="C129" s="38" t="s">
        <v>391</v>
      </c>
      <c r="D129" s="445"/>
      <c r="E129" s="446"/>
      <c r="F129" s="446"/>
      <c r="G129" s="446"/>
      <c r="H129" s="446"/>
      <c r="I129" s="446"/>
      <c r="J129" s="446"/>
      <c r="K129" s="446"/>
      <c r="L129" s="446"/>
      <c r="M129" s="97"/>
      <c r="N129" s="60"/>
      <c r="O129" s="470" t="s">
        <v>490</v>
      </c>
      <c r="P129" s="470"/>
      <c r="Q129" s="470"/>
      <c r="R129" s="470"/>
      <c r="S129" s="469"/>
      <c r="T129" s="477"/>
      <c r="U129" s="477"/>
      <c r="V129" s="469"/>
      <c r="W129" s="470"/>
      <c r="X129" s="469"/>
      <c r="Y129" s="469"/>
      <c r="Z129" s="469"/>
      <c r="AA129" s="469"/>
      <c r="AB129" s="469" t="s">
        <v>462</v>
      </c>
      <c r="AC129" s="469"/>
      <c r="AD129" s="469">
        <v>2000000</v>
      </c>
      <c r="AE129" s="478" t="s">
        <v>25</v>
      </c>
    </row>
    <row r="130" spans="1:31" s="1" customFormat="1" ht="21" customHeight="1">
      <c r="A130" s="37"/>
      <c r="B130" s="38"/>
      <c r="C130" s="38"/>
      <c r="D130" s="447"/>
      <c r="E130" s="448"/>
      <c r="F130" s="448"/>
      <c r="G130" s="448"/>
      <c r="H130" s="448"/>
      <c r="I130" s="448"/>
      <c r="J130" s="448"/>
      <c r="K130" s="448"/>
      <c r="L130" s="448"/>
      <c r="M130" s="97"/>
      <c r="N130" s="60"/>
      <c r="O130" s="470" t="s">
        <v>459</v>
      </c>
      <c r="P130" s="470"/>
      <c r="Q130" s="470"/>
      <c r="R130" s="470"/>
      <c r="S130" s="469"/>
      <c r="T130" s="477"/>
      <c r="U130" s="477"/>
      <c r="V130" s="469"/>
      <c r="W130" s="470"/>
      <c r="X130" s="469"/>
      <c r="Y130" s="469"/>
      <c r="Z130" s="469"/>
      <c r="AA130" s="469"/>
      <c r="AB130" s="469" t="s">
        <v>430</v>
      </c>
      <c r="AC130" s="469"/>
      <c r="AD130" s="469">
        <v>847000</v>
      </c>
      <c r="AE130" s="478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70" t="s">
        <v>460</v>
      </c>
      <c r="P131" s="470"/>
      <c r="Q131" s="470"/>
      <c r="R131" s="470"/>
      <c r="S131" s="469"/>
      <c r="T131" s="477"/>
      <c r="U131" s="477"/>
      <c r="V131" s="469">
        <v>60000</v>
      </c>
      <c r="W131" s="470" t="s">
        <v>25</v>
      </c>
      <c r="X131" s="469" t="s">
        <v>26</v>
      </c>
      <c r="Y131" s="469">
        <v>1</v>
      </c>
      <c r="Z131" s="469" t="s">
        <v>450</v>
      </c>
      <c r="AA131" s="469" t="s">
        <v>27</v>
      </c>
      <c r="AB131" s="469" t="s">
        <v>430</v>
      </c>
      <c r="AC131" s="469"/>
      <c r="AD131" s="469">
        <f>V131*Y131</f>
        <v>60000</v>
      </c>
      <c r="AE131" s="478" t="s">
        <v>25</v>
      </c>
    </row>
    <row r="132" spans="1:31" s="1" customFormat="1" ht="21" customHeight="1">
      <c r="A132" s="37"/>
      <c r="B132" s="38"/>
      <c r="C132" s="38"/>
      <c r="D132" s="133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70" t="s">
        <v>461</v>
      </c>
      <c r="P132" s="470"/>
      <c r="Q132" s="470"/>
      <c r="R132" s="470"/>
      <c r="S132" s="469"/>
      <c r="T132" s="477"/>
      <c r="U132" s="477"/>
      <c r="V132" s="469">
        <v>40000</v>
      </c>
      <c r="W132" s="470" t="s">
        <v>25</v>
      </c>
      <c r="X132" s="469" t="s">
        <v>26</v>
      </c>
      <c r="Y132" s="469">
        <v>1</v>
      </c>
      <c r="Z132" s="469" t="s">
        <v>450</v>
      </c>
      <c r="AA132" s="469" t="s">
        <v>27</v>
      </c>
      <c r="AB132" s="469" t="s">
        <v>430</v>
      </c>
      <c r="AC132" s="469"/>
      <c r="AD132" s="469">
        <f>V132*Y132</f>
        <v>40000</v>
      </c>
      <c r="AE132" s="478" t="s">
        <v>25</v>
      </c>
    </row>
    <row r="133" spans="1:31" s="1" customFormat="1" ht="21" customHeight="1">
      <c r="A133" s="37"/>
      <c r="B133" s="38"/>
      <c r="C133" s="38"/>
      <c r="D133" s="133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588" t="s">
        <v>538</v>
      </c>
      <c r="P133" s="589"/>
      <c r="Q133" s="589"/>
      <c r="R133" s="589"/>
      <c r="S133" s="152"/>
      <c r="T133" s="151"/>
      <c r="U133" s="151"/>
      <c r="V133" s="151"/>
      <c r="W133" s="151"/>
      <c r="X133" s="151"/>
      <c r="Y133" s="151"/>
      <c r="Z133" s="151"/>
      <c r="AA133" s="151"/>
      <c r="AB133" s="106" t="s">
        <v>166</v>
      </c>
      <c r="AC133" s="106"/>
      <c r="AD133" s="404">
        <v>16500000</v>
      </c>
      <c r="AE133" s="408" t="s">
        <v>56</v>
      </c>
    </row>
    <row r="134" spans="1:31" s="1" customFormat="1" ht="30.75" customHeight="1">
      <c r="A134" s="37"/>
      <c r="B134" s="38"/>
      <c r="C134" s="38"/>
      <c r="D134" s="133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588" t="s">
        <v>539</v>
      </c>
      <c r="P134" s="589"/>
      <c r="Q134" s="589"/>
      <c r="R134" s="589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 t="s">
        <v>335</v>
      </c>
      <c r="AC134" s="106"/>
      <c r="AD134" s="404">
        <v>20000000</v>
      </c>
      <c r="AE134" s="408" t="s">
        <v>56</v>
      </c>
    </row>
    <row r="135" spans="1:31" s="11" customFormat="1" ht="21" customHeight="1">
      <c r="A135" s="160" t="s">
        <v>19</v>
      </c>
      <c r="B135" s="584" t="s">
        <v>20</v>
      </c>
      <c r="C135" s="585"/>
      <c r="D135" s="161">
        <f t="shared" ref="D135:M135" si="7">SUM(D136,D160)</f>
        <v>17605</v>
      </c>
      <c r="E135" s="161">
        <f t="shared" si="7"/>
        <v>17842</v>
      </c>
      <c r="F135" s="161">
        <f t="shared" ca="1" si="7"/>
        <v>4950</v>
      </c>
      <c r="G135" s="161">
        <f t="shared" si="7"/>
        <v>1522</v>
      </c>
      <c r="H135" s="161">
        <f t="shared" si="7"/>
        <v>0</v>
      </c>
      <c r="I135" s="161">
        <f t="shared" si="7"/>
        <v>580</v>
      </c>
      <c r="J135" s="161">
        <f t="shared" si="7"/>
        <v>10790</v>
      </c>
      <c r="K135" s="161">
        <f t="shared" si="7"/>
        <v>0</v>
      </c>
      <c r="L135" s="161">
        <f t="shared" si="7"/>
        <v>0</v>
      </c>
      <c r="M135" s="161">
        <f t="shared" si="7"/>
        <v>237</v>
      </c>
      <c r="N135" s="162">
        <f>IF(D135=0,0,M135/D135)</f>
        <v>1.3462084635046861E-2</v>
      </c>
      <c r="O135" s="154" t="s">
        <v>392</v>
      </c>
      <c r="P135" s="154"/>
      <c r="Q135" s="154"/>
      <c r="R135" s="154"/>
      <c r="S135" s="154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306">
        <f>SUM(AD136,AD160)</f>
        <v>17842000</v>
      </c>
      <c r="AE135" s="83" t="s">
        <v>25</v>
      </c>
    </row>
    <row r="136" spans="1:31" s="11" customFormat="1" ht="21" customHeight="1">
      <c r="A136" s="38"/>
      <c r="B136" s="28" t="s">
        <v>393</v>
      </c>
      <c r="C136" s="28" t="s">
        <v>394</v>
      </c>
      <c r="D136" s="102">
        <f t="shared" ref="D136:L136" si="8">SUM(D137,D146,D150,D153,D157)</f>
        <v>12515</v>
      </c>
      <c r="E136" s="102">
        <f t="shared" si="8"/>
        <v>14442</v>
      </c>
      <c r="F136" s="102">
        <f t="shared" si="8"/>
        <v>4950</v>
      </c>
      <c r="G136" s="102">
        <f t="shared" si="8"/>
        <v>1522</v>
      </c>
      <c r="H136" s="102">
        <f t="shared" si="8"/>
        <v>0</v>
      </c>
      <c r="I136" s="102">
        <f t="shared" si="8"/>
        <v>580</v>
      </c>
      <c r="J136" s="102">
        <f t="shared" si="8"/>
        <v>7390</v>
      </c>
      <c r="K136" s="102">
        <f t="shared" si="8"/>
        <v>0</v>
      </c>
      <c r="L136" s="102">
        <f t="shared" si="8"/>
        <v>0</v>
      </c>
      <c r="M136" s="102">
        <f>E136-D136</f>
        <v>1927</v>
      </c>
      <c r="N136" s="109">
        <f>IF(D136=0,0,M136/D136)</f>
        <v>0.15397522972433081</v>
      </c>
      <c r="O136" s="154"/>
      <c r="P136" s="154"/>
      <c r="Q136" s="154"/>
      <c r="R136" s="154"/>
      <c r="S136" s="154"/>
      <c r="T136" s="153"/>
      <c r="U136" s="153"/>
      <c r="V136" s="153"/>
      <c r="W136" s="153"/>
      <c r="X136" s="153"/>
      <c r="Y136" s="153" t="s">
        <v>28</v>
      </c>
      <c r="Z136" s="153"/>
      <c r="AA136" s="153"/>
      <c r="AB136" s="153"/>
      <c r="AC136" s="82"/>
      <c r="AD136" s="456">
        <f>SUM(AD137,AD146,AD150,AD153,AD157)</f>
        <v>14442000</v>
      </c>
      <c r="AE136" s="83" t="s">
        <v>25</v>
      </c>
    </row>
    <row r="137" spans="1:31" s="11" customFormat="1" ht="21" customHeight="1">
      <c r="A137" s="38"/>
      <c r="B137" s="38"/>
      <c r="C137" s="28" t="s">
        <v>395</v>
      </c>
      <c r="D137" s="135">
        <v>9952</v>
      </c>
      <c r="E137" s="102">
        <f>AD137/1000</f>
        <v>12502</v>
      </c>
      <c r="F137" s="103">
        <f>SUMIF($AB$138:$AB$145,"보조",$AD$138:$AD$145)/1000</f>
        <v>4950</v>
      </c>
      <c r="G137" s="103">
        <f>SUMIF($AB$138:$AB$145,"4종",$AD$138:$AD$145)/1000</f>
        <v>1162</v>
      </c>
      <c r="H137" s="103">
        <f>SUMIF($AB$138:$AB$145,"6종",$AD$138:$AD$145)/1000</f>
        <v>0</v>
      </c>
      <c r="I137" s="103">
        <f>SUMIF($AB$138:$AB$145,"후원",$AD$138:$AD$145)/1000</f>
        <v>150</v>
      </c>
      <c r="J137" s="103">
        <f>SUMIF($AB$138:$AB$145,"입소",$AD$138:$AD$145)/1000</f>
        <v>6240</v>
      </c>
      <c r="K137" s="103">
        <f>SUMIF($AB$138:$AB$145,"법인",$AD$138:$AD$145)/1000</f>
        <v>0</v>
      </c>
      <c r="L137" s="103">
        <f>SUMIF($AB$138:$AB$145,"잡수",$AD$138:$AD$145)/1000</f>
        <v>0</v>
      </c>
      <c r="M137" s="112">
        <f>E137-D137</f>
        <v>2550</v>
      </c>
      <c r="N137" s="109">
        <f>IF(D137=0,0,M137/D137)</f>
        <v>0.2562299035369775</v>
      </c>
      <c r="O137" s="85" t="s">
        <v>396</v>
      </c>
      <c r="P137" s="154"/>
      <c r="Q137" s="154"/>
      <c r="R137" s="154"/>
      <c r="S137" s="154"/>
      <c r="T137" s="153"/>
      <c r="U137" s="153"/>
      <c r="V137" s="153"/>
      <c r="W137" s="153"/>
      <c r="X137" s="153"/>
      <c r="Y137" s="431" t="s">
        <v>397</v>
      </c>
      <c r="Z137" s="431"/>
      <c r="AA137" s="431"/>
      <c r="AB137" s="431"/>
      <c r="AC137" s="147"/>
      <c r="AD137" s="342">
        <f>ROUND(SUM(AD138:AD144),-3)</f>
        <v>12502000</v>
      </c>
      <c r="AE137" s="146" t="s">
        <v>25</v>
      </c>
    </row>
    <row r="138" spans="1:31" s="11" customFormat="1" ht="21" customHeight="1">
      <c r="A138" s="38"/>
      <c r="B138" s="38"/>
      <c r="C138" s="38"/>
      <c r="D138" s="445"/>
      <c r="E138" s="446"/>
      <c r="F138" s="446"/>
      <c r="G138" s="446"/>
      <c r="H138" s="446"/>
      <c r="I138" s="446"/>
      <c r="J138" s="446"/>
      <c r="K138" s="446"/>
      <c r="L138" s="446"/>
      <c r="M138" s="97"/>
      <c r="N138" s="60"/>
      <c r="O138" s="470" t="s">
        <v>463</v>
      </c>
      <c r="P138" s="470"/>
      <c r="Q138" s="469"/>
      <c r="R138" s="469"/>
      <c r="S138" s="469">
        <v>206250</v>
      </c>
      <c r="T138" s="477" t="s">
        <v>25</v>
      </c>
      <c r="U138" s="477" t="s">
        <v>26</v>
      </c>
      <c r="V138" s="469">
        <v>6</v>
      </c>
      <c r="W138" s="470" t="s">
        <v>29</v>
      </c>
      <c r="X138" s="470" t="s">
        <v>26</v>
      </c>
      <c r="Y138" s="498">
        <v>4</v>
      </c>
      <c r="Z138" s="474" t="s">
        <v>108</v>
      </c>
      <c r="AA138" s="474" t="s">
        <v>27</v>
      </c>
      <c r="AB138" s="469" t="s">
        <v>439</v>
      </c>
      <c r="AC138" s="443"/>
      <c r="AD138" s="443">
        <f>S138*V138*Y138</f>
        <v>4950000</v>
      </c>
      <c r="AE138" s="478" t="s">
        <v>25</v>
      </c>
    </row>
    <row r="139" spans="1:31" s="11" customFormat="1" ht="21" customHeight="1">
      <c r="A139" s="38"/>
      <c r="B139" s="38"/>
      <c r="C139" s="38"/>
      <c r="D139" s="447"/>
      <c r="E139" s="448"/>
      <c r="F139" s="448"/>
      <c r="G139" s="448"/>
      <c r="H139" s="448"/>
      <c r="I139" s="448"/>
      <c r="J139" s="448"/>
      <c r="K139" s="448"/>
      <c r="L139" s="448"/>
      <c r="M139" s="97"/>
      <c r="N139" s="60"/>
      <c r="O139" s="470" t="s">
        <v>463</v>
      </c>
      <c r="P139" s="470"/>
      <c r="Q139" s="470"/>
      <c r="R139" s="470"/>
      <c r="S139" s="469">
        <v>250000</v>
      </c>
      <c r="T139" s="477" t="s">
        <v>25</v>
      </c>
      <c r="U139" s="477" t="s">
        <v>26</v>
      </c>
      <c r="V139" s="469">
        <v>6</v>
      </c>
      <c r="W139" s="470" t="s">
        <v>29</v>
      </c>
      <c r="X139" s="470" t="s">
        <v>26</v>
      </c>
      <c r="Y139" s="498">
        <v>4</v>
      </c>
      <c r="Z139" s="474" t="s">
        <v>108</v>
      </c>
      <c r="AA139" s="474" t="s">
        <v>27</v>
      </c>
      <c r="AB139" s="469" t="s">
        <v>430</v>
      </c>
      <c r="AC139" s="443"/>
      <c r="AD139" s="443">
        <f>S139*V139*Y139</f>
        <v>6000000</v>
      </c>
      <c r="AE139" s="478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70" t="s">
        <v>464</v>
      </c>
      <c r="P140" s="470"/>
      <c r="Q140" s="469"/>
      <c r="R140" s="469"/>
      <c r="S140" s="469">
        <v>182500</v>
      </c>
      <c r="T140" s="477" t="s">
        <v>25</v>
      </c>
      <c r="U140" s="477" t="s">
        <v>26</v>
      </c>
      <c r="V140" s="469"/>
      <c r="W140" s="470"/>
      <c r="X140" s="470"/>
      <c r="Y140" s="498">
        <v>4</v>
      </c>
      <c r="Z140" s="474" t="s">
        <v>108</v>
      </c>
      <c r="AA140" s="474" t="s">
        <v>27</v>
      </c>
      <c r="AB140" s="469" t="s">
        <v>294</v>
      </c>
      <c r="AC140" s="443"/>
      <c r="AD140" s="443">
        <f>S140*Y140</f>
        <v>730000</v>
      </c>
      <c r="AE140" s="478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99" t="s">
        <v>465</v>
      </c>
      <c r="P141" s="499"/>
      <c r="Q141" s="499"/>
      <c r="R141" s="499"/>
      <c r="S141" s="444">
        <v>10000</v>
      </c>
      <c r="T141" s="500" t="s">
        <v>25</v>
      </c>
      <c r="U141" s="500" t="s">
        <v>26</v>
      </c>
      <c r="V141" s="444">
        <v>6</v>
      </c>
      <c r="W141" s="499" t="s">
        <v>29</v>
      </c>
      <c r="X141" s="499" t="s">
        <v>26</v>
      </c>
      <c r="Y141" s="501">
        <v>4</v>
      </c>
      <c r="Z141" s="502" t="s">
        <v>108</v>
      </c>
      <c r="AA141" s="502" t="s">
        <v>27</v>
      </c>
      <c r="AB141" s="444" t="s">
        <v>430</v>
      </c>
      <c r="AC141" s="503"/>
      <c r="AD141" s="503">
        <f>S141*V141*Y141</f>
        <v>240000</v>
      </c>
      <c r="AE141" s="504" t="s">
        <v>25</v>
      </c>
    </row>
    <row r="142" spans="1:31" s="11" customFormat="1" ht="21" customHeight="1">
      <c r="A142" s="38"/>
      <c r="B142" s="38"/>
      <c r="C142" s="38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70" t="s">
        <v>466</v>
      </c>
      <c r="P142" s="470"/>
      <c r="Q142" s="469"/>
      <c r="R142" s="469"/>
      <c r="S142" s="469">
        <v>60000</v>
      </c>
      <c r="T142" s="477" t="s">
        <v>25</v>
      </c>
      <c r="U142" s="477" t="s">
        <v>26</v>
      </c>
      <c r="V142" s="469"/>
      <c r="W142" s="470"/>
      <c r="X142" s="470"/>
      <c r="Y142" s="498">
        <v>4</v>
      </c>
      <c r="Z142" s="474" t="s">
        <v>108</v>
      </c>
      <c r="AA142" s="474" t="s">
        <v>27</v>
      </c>
      <c r="AB142" s="469" t="s">
        <v>294</v>
      </c>
      <c r="AC142" s="443"/>
      <c r="AD142" s="443">
        <f>S142*Y142</f>
        <v>240000</v>
      </c>
      <c r="AE142" s="478" t="s">
        <v>25</v>
      </c>
    </row>
    <row r="143" spans="1:31" s="11" customFormat="1" ht="21" customHeight="1">
      <c r="A143" s="38"/>
      <c r="B143" s="38"/>
      <c r="C143" s="38"/>
      <c r="D143" s="98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70" t="s">
        <v>467</v>
      </c>
      <c r="P143" s="470"/>
      <c r="Q143" s="469"/>
      <c r="R143" s="469"/>
      <c r="S143" s="469"/>
      <c r="T143" s="477"/>
      <c r="U143" s="477"/>
      <c r="V143" s="469"/>
      <c r="W143" s="470"/>
      <c r="X143" s="470"/>
      <c r="Y143" s="498"/>
      <c r="Z143" s="474"/>
      <c r="AA143" s="474"/>
      <c r="AB143" s="469" t="s">
        <v>367</v>
      </c>
      <c r="AC143" s="443"/>
      <c r="AD143" s="443">
        <v>150000</v>
      </c>
      <c r="AE143" s="478" t="s">
        <v>25</v>
      </c>
    </row>
    <row r="144" spans="1:31" s="11" customFormat="1" ht="21" customHeight="1">
      <c r="A144" s="38"/>
      <c r="B144" s="38"/>
      <c r="C144" s="38"/>
      <c r="D144" s="98"/>
      <c r="E144" s="97"/>
      <c r="F144" s="97"/>
      <c r="G144" s="97"/>
      <c r="H144" s="97"/>
      <c r="I144" s="97"/>
      <c r="J144" s="97"/>
      <c r="K144" s="97"/>
      <c r="L144" s="97"/>
      <c r="M144" s="97"/>
      <c r="N144" s="60"/>
      <c r="O144" s="470" t="s">
        <v>468</v>
      </c>
      <c r="P144" s="470"/>
      <c r="Q144" s="469"/>
      <c r="R144" s="469"/>
      <c r="S144" s="469">
        <v>48000</v>
      </c>
      <c r="T144" s="477" t="s">
        <v>25</v>
      </c>
      <c r="U144" s="477" t="s">
        <v>26</v>
      </c>
      <c r="V144" s="469"/>
      <c r="W144" s="470"/>
      <c r="X144" s="470"/>
      <c r="Y144" s="498">
        <v>4</v>
      </c>
      <c r="Z144" s="474" t="s">
        <v>108</v>
      </c>
      <c r="AA144" s="474" t="s">
        <v>27</v>
      </c>
      <c r="AB144" s="469" t="s">
        <v>294</v>
      </c>
      <c r="AC144" s="443"/>
      <c r="AD144" s="443">
        <f>S144*Y144</f>
        <v>192000</v>
      </c>
      <c r="AE144" s="478" t="s">
        <v>25</v>
      </c>
    </row>
    <row r="145" spans="1:31" s="11" customFormat="1" ht="21" customHeight="1">
      <c r="A145" s="38"/>
      <c r="B145" s="38"/>
      <c r="C145" s="49"/>
      <c r="D145" s="134"/>
      <c r="E145" s="100"/>
      <c r="F145" s="100"/>
      <c r="G145" s="100"/>
      <c r="H145" s="100"/>
      <c r="I145" s="100"/>
      <c r="J145" s="100"/>
      <c r="K145" s="100"/>
      <c r="L145" s="100"/>
      <c r="M145" s="100"/>
      <c r="N145" s="75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404"/>
      <c r="AE145" s="113"/>
    </row>
    <row r="146" spans="1:31" s="11" customFormat="1" ht="21" customHeight="1">
      <c r="A146" s="38"/>
      <c r="B146" s="38"/>
      <c r="C146" s="38" t="s">
        <v>398</v>
      </c>
      <c r="D146" s="133">
        <v>703</v>
      </c>
      <c r="E146" s="97">
        <f>ROUND(AD146/1000,0)</f>
        <v>430</v>
      </c>
      <c r="F146" s="103">
        <f>SUMIF($AB$147:$AB$149,"보조",$AD$147:$AD$149)/1000</f>
        <v>0</v>
      </c>
      <c r="G146" s="103">
        <f>SUMIF($AB$147:$AB$149,"4종",$AD$147:$AD$149)/1000</f>
        <v>0</v>
      </c>
      <c r="H146" s="103">
        <f>SUMIF($AB$147:$AB$149,"6종",$AD$147:$AD$149)/1000</f>
        <v>0</v>
      </c>
      <c r="I146" s="103">
        <f>SUMIF($AB$147:$AB$149,"후원",$AD$147:$AD$149)/1000</f>
        <v>430</v>
      </c>
      <c r="J146" s="103">
        <f>SUMIF($AB$147:$AB$149,"입소",$AD$147:$AD$149)/1000</f>
        <v>0</v>
      </c>
      <c r="K146" s="103">
        <f>SUMIF($AB$147:$AB$149,"법인",$AD$147:$AD$149)/1000</f>
        <v>0</v>
      </c>
      <c r="L146" s="103">
        <f>SUMIF($AB$147:$AB$149,"잡수",$AD$147:$AD$149)/1000</f>
        <v>0</v>
      </c>
      <c r="M146" s="97">
        <f>E146-D146</f>
        <v>-273</v>
      </c>
      <c r="N146" s="60">
        <f>IF(D146=0,0,M146/D146)</f>
        <v>-0.38833570412517782</v>
      </c>
      <c r="O146" s="85" t="s">
        <v>399</v>
      </c>
      <c r="P146" s="154"/>
      <c r="Q146" s="154"/>
      <c r="R146" s="154"/>
      <c r="S146" s="154"/>
      <c r="T146" s="153"/>
      <c r="U146" s="153"/>
      <c r="V146" s="153"/>
      <c r="W146" s="153"/>
      <c r="X146" s="153"/>
      <c r="Y146" s="431" t="s">
        <v>385</v>
      </c>
      <c r="Z146" s="431"/>
      <c r="AA146" s="431"/>
      <c r="AB146" s="431"/>
      <c r="AC146" s="147"/>
      <c r="AD146" s="308">
        <f>SUM(AD147:AD149)</f>
        <v>430000</v>
      </c>
      <c r="AE146" s="146" t="s">
        <v>25</v>
      </c>
    </row>
    <row r="147" spans="1:31" s="11" customFormat="1" ht="21" customHeight="1">
      <c r="A147" s="38"/>
      <c r="B147" s="38"/>
      <c r="C147" s="38" t="s">
        <v>400</v>
      </c>
      <c r="D147" s="445"/>
      <c r="E147" s="446"/>
      <c r="F147" s="446"/>
      <c r="G147" s="446"/>
      <c r="H147" s="446"/>
      <c r="I147" s="446"/>
      <c r="J147" s="446"/>
      <c r="K147" s="446"/>
      <c r="L147" s="446"/>
      <c r="M147" s="97"/>
      <c r="N147" s="60"/>
      <c r="O147" s="470" t="s">
        <v>469</v>
      </c>
      <c r="P147" s="470"/>
      <c r="Q147" s="470"/>
      <c r="R147" s="470"/>
      <c r="S147" s="469"/>
      <c r="T147" s="477"/>
      <c r="U147" s="477"/>
      <c r="V147" s="469"/>
      <c r="W147" s="469"/>
      <c r="X147" s="469"/>
      <c r="Y147" s="469"/>
      <c r="Z147" s="469"/>
      <c r="AA147" s="469"/>
      <c r="AB147" s="469" t="s">
        <v>470</v>
      </c>
      <c r="AC147" s="469"/>
      <c r="AD147" s="469">
        <v>430000</v>
      </c>
      <c r="AE147" s="478" t="s">
        <v>25</v>
      </c>
    </row>
    <row r="148" spans="1:31" s="11" customFormat="1" ht="21" customHeight="1">
      <c r="A148" s="38"/>
      <c r="B148" s="38"/>
      <c r="C148" s="38"/>
      <c r="D148" s="447"/>
      <c r="E148" s="448"/>
      <c r="F148" s="448"/>
      <c r="G148" s="448"/>
      <c r="H148" s="448"/>
      <c r="I148" s="448"/>
      <c r="J148" s="448"/>
      <c r="K148" s="448"/>
      <c r="L148" s="448"/>
      <c r="M148" s="97"/>
      <c r="N148" s="60"/>
      <c r="O148" s="470" t="s">
        <v>471</v>
      </c>
      <c r="P148" s="470"/>
      <c r="Q148" s="470"/>
      <c r="R148" s="470"/>
      <c r="S148" s="469"/>
      <c r="T148" s="477"/>
      <c r="U148" s="477"/>
      <c r="V148" s="469"/>
      <c r="W148" s="469"/>
      <c r="X148" s="469"/>
      <c r="Y148" s="469"/>
      <c r="Z148" s="469"/>
      <c r="AA148" s="469"/>
      <c r="AB148" s="469" t="s">
        <v>381</v>
      </c>
      <c r="AC148" s="469"/>
      <c r="AD148" s="469">
        <v>0</v>
      </c>
      <c r="AE148" s="478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279"/>
      <c r="P149" s="279"/>
      <c r="Q149" s="279"/>
      <c r="R149" s="279"/>
      <c r="S149" s="299"/>
      <c r="T149" s="300"/>
      <c r="U149" s="285"/>
      <c r="V149" s="301"/>
      <c r="W149" s="299"/>
      <c r="X149" s="299"/>
      <c r="Y149" s="299"/>
      <c r="Z149" s="299"/>
      <c r="AA149" s="299"/>
      <c r="AB149" s="299"/>
      <c r="AC149" s="299"/>
      <c r="AD149" s="299"/>
      <c r="AE149" s="302"/>
    </row>
    <row r="150" spans="1:31" s="11" customFormat="1" ht="21" customHeight="1">
      <c r="A150" s="38"/>
      <c r="B150" s="38"/>
      <c r="C150" s="28" t="s">
        <v>401</v>
      </c>
      <c r="D150" s="135">
        <v>1320</v>
      </c>
      <c r="E150" s="102">
        <f>ROUND(AD150/1000,0)</f>
        <v>1040</v>
      </c>
      <c r="F150" s="103">
        <f>SUMIF($AB$151:$AB$152,"보조",$AD$151:$AD$152)/1000</f>
        <v>0</v>
      </c>
      <c r="G150" s="103">
        <f>SUMIF($AB$151:$AB$152,"4종",$AD$151:$AD$152)/1000</f>
        <v>240</v>
      </c>
      <c r="H150" s="103">
        <f>SUMIF($AB$151:$AB$152,"6종",$AD$151:$AD$152)/1000</f>
        <v>0</v>
      </c>
      <c r="I150" s="103">
        <f>SUMIF($AB$151:$AB$152,"후원",$AD$151:$AD$152)/1000</f>
        <v>0</v>
      </c>
      <c r="J150" s="103">
        <f>SUMIF($AB$151:$AB$152,"입소",$AD$151:$AD$152)/1000</f>
        <v>800</v>
      </c>
      <c r="K150" s="103">
        <f>SUMIF($AB$151:$AB$152,"법인",$AD$151:$AD$152)/1000</f>
        <v>0</v>
      </c>
      <c r="L150" s="103">
        <f>SUMIF($AB$151:$AB$152,"잡수",$AD$151:$AD$152)/1000</f>
        <v>0</v>
      </c>
      <c r="M150" s="102">
        <f>E150-D150</f>
        <v>-280</v>
      </c>
      <c r="N150" s="109">
        <f>IF(D150=0,0,M150/D150)</f>
        <v>-0.21212121212121213</v>
      </c>
      <c r="O150" s="85" t="s">
        <v>105</v>
      </c>
      <c r="P150" s="432"/>
      <c r="Q150" s="154"/>
      <c r="R150" s="154"/>
      <c r="S150" s="154"/>
      <c r="T150" s="153"/>
      <c r="U150" s="153"/>
      <c r="V150" s="153"/>
      <c r="W150" s="153"/>
      <c r="X150" s="153"/>
      <c r="Y150" s="431" t="s">
        <v>385</v>
      </c>
      <c r="Z150" s="431"/>
      <c r="AA150" s="431"/>
      <c r="AB150" s="431"/>
      <c r="AC150" s="147"/>
      <c r="AD150" s="147">
        <f>SUM(AD151:AD152)</f>
        <v>1040000</v>
      </c>
      <c r="AE150" s="146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70" t="s">
        <v>472</v>
      </c>
      <c r="P151" s="470"/>
      <c r="Q151" s="469"/>
      <c r="R151" s="469"/>
      <c r="S151" s="469">
        <v>200000</v>
      </c>
      <c r="T151" s="469" t="s">
        <v>25</v>
      </c>
      <c r="U151" s="470" t="s">
        <v>26</v>
      </c>
      <c r="V151" s="469">
        <v>4</v>
      </c>
      <c r="W151" s="469" t="s">
        <v>108</v>
      </c>
      <c r="X151" s="470"/>
      <c r="Y151" s="469"/>
      <c r="Z151" s="469"/>
      <c r="AA151" s="469" t="s">
        <v>27</v>
      </c>
      <c r="AB151" s="469" t="s">
        <v>430</v>
      </c>
      <c r="AC151" s="443"/>
      <c r="AD151" s="443">
        <f>S151*V151</f>
        <v>800000</v>
      </c>
      <c r="AE151" s="478" t="s">
        <v>25</v>
      </c>
    </row>
    <row r="152" spans="1:31" s="11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70"/>
      <c r="P152" s="470"/>
      <c r="Q152" s="469"/>
      <c r="R152" s="469"/>
      <c r="S152" s="469">
        <v>80000</v>
      </c>
      <c r="T152" s="469" t="s">
        <v>25</v>
      </c>
      <c r="U152" s="470" t="s">
        <v>26</v>
      </c>
      <c r="V152" s="469">
        <v>3</v>
      </c>
      <c r="W152" s="469" t="s">
        <v>108</v>
      </c>
      <c r="X152" s="470"/>
      <c r="Y152" s="469"/>
      <c r="Z152" s="469"/>
      <c r="AA152" s="469" t="s">
        <v>27</v>
      </c>
      <c r="AB152" s="469" t="s">
        <v>294</v>
      </c>
      <c r="AC152" s="443"/>
      <c r="AD152" s="443">
        <f>S152*V152</f>
        <v>240000</v>
      </c>
      <c r="AE152" s="478" t="s">
        <v>25</v>
      </c>
    </row>
    <row r="153" spans="1:31" s="11" customFormat="1" ht="21" customHeight="1">
      <c r="A153" s="38"/>
      <c r="B153" s="38"/>
      <c r="C153" s="28" t="s">
        <v>402</v>
      </c>
      <c r="D153" s="135">
        <v>360</v>
      </c>
      <c r="E153" s="102">
        <f>ROUND(AD153/1000,0)</f>
        <v>320</v>
      </c>
      <c r="F153" s="103">
        <f>SUMIF($AB$154:$AB$156,"보조",$AD$154:$AD$156)/1000</f>
        <v>0</v>
      </c>
      <c r="G153" s="103">
        <f>SUMIF($AB$154:$AB$156,"4종",$AD$154:$AD$156)/1000</f>
        <v>120</v>
      </c>
      <c r="H153" s="103">
        <f>SUMIF($AB$154:$AB$156,"6종",$AD$154:$AD$156)/1000</f>
        <v>0</v>
      </c>
      <c r="I153" s="103">
        <f>SUMIF($AB$154:$AB$156,"후원",$AD$154:$AD$156)/1000</f>
        <v>0</v>
      </c>
      <c r="J153" s="103">
        <f>SUMIF($AB$154:$AB$156,"입소",$AD$154:$AD$156)/1000</f>
        <v>200</v>
      </c>
      <c r="K153" s="103">
        <f>SUMIF($AB$154:$AB$156,"법인",$AD$154:$AD$156)/1000</f>
        <v>0</v>
      </c>
      <c r="L153" s="103">
        <f>SUMIF($AB$154:$AB$156,"잡수",$AD$154:$AD$156)/1000</f>
        <v>0</v>
      </c>
      <c r="M153" s="102">
        <f>E153-D153</f>
        <v>-40</v>
      </c>
      <c r="N153" s="109">
        <f>IF(D153=0,0,M153/D153)</f>
        <v>-0.1111111111111111</v>
      </c>
      <c r="O153" s="85" t="s">
        <v>403</v>
      </c>
      <c r="P153" s="432"/>
      <c r="Q153" s="154"/>
      <c r="R153" s="154"/>
      <c r="S153" s="154"/>
      <c r="T153" s="153"/>
      <c r="U153" s="153"/>
      <c r="V153" s="153"/>
      <c r="W153" s="153"/>
      <c r="X153" s="153"/>
      <c r="Y153" s="431" t="s">
        <v>404</v>
      </c>
      <c r="Z153" s="431"/>
      <c r="AA153" s="431"/>
      <c r="AB153" s="431"/>
      <c r="AC153" s="147"/>
      <c r="AD153" s="147">
        <f>SUM(AD154:AD155)</f>
        <v>320000</v>
      </c>
      <c r="AE153" s="146" t="s">
        <v>25</v>
      </c>
    </row>
    <row r="154" spans="1:31" s="13" customFormat="1" ht="21" customHeight="1">
      <c r="A154" s="38"/>
      <c r="B154" s="38"/>
      <c r="C154" s="38"/>
      <c r="D154" s="447"/>
      <c r="E154" s="448"/>
      <c r="F154" s="448"/>
      <c r="G154" s="448"/>
      <c r="H154" s="448"/>
      <c r="I154" s="448"/>
      <c r="J154" s="448"/>
      <c r="K154" s="448"/>
      <c r="L154" s="448"/>
      <c r="M154" s="97"/>
      <c r="N154" s="276"/>
      <c r="O154" s="496" t="s">
        <v>515</v>
      </c>
      <c r="P154" s="470"/>
      <c r="Q154" s="470"/>
      <c r="R154" s="470"/>
      <c r="S154" s="469">
        <v>40000</v>
      </c>
      <c r="T154" s="469" t="s">
        <v>25</v>
      </c>
      <c r="U154" s="470" t="s">
        <v>26</v>
      </c>
      <c r="V154" s="469">
        <v>1</v>
      </c>
      <c r="W154" s="469" t="s">
        <v>450</v>
      </c>
      <c r="X154" s="470" t="s">
        <v>26</v>
      </c>
      <c r="Y154" s="469">
        <v>3</v>
      </c>
      <c r="Z154" s="469" t="s">
        <v>108</v>
      </c>
      <c r="AA154" s="469" t="s">
        <v>27</v>
      </c>
      <c r="AB154" s="469" t="s">
        <v>294</v>
      </c>
      <c r="AC154" s="443"/>
      <c r="AD154" s="469">
        <f>S154*Y154</f>
        <v>120000</v>
      </c>
      <c r="AE154" s="478" t="s">
        <v>25</v>
      </c>
    </row>
    <row r="155" spans="1:31" s="13" customFormat="1" ht="21" customHeight="1">
      <c r="A155" s="38"/>
      <c r="B155" s="38"/>
      <c r="C155" s="38"/>
      <c r="D155" s="133"/>
      <c r="E155" s="97"/>
      <c r="F155" s="97"/>
      <c r="G155" s="97"/>
      <c r="H155" s="97"/>
      <c r="I155" s="97"/>
      <c r="J155" s="97"/>
      <c r="K155" s="97"/>
      <c r="L155" s="97"/>
      <c r="M155" s="97"/>
      <c r="N155" s="60"/>
      <c r="O155" s="496" t="s">
        <v>473</v>
      </c>
      <c r="P155" s="470"/>
      <c r="Q155" s="470"/>
      <c r="R155" s="470"/>
      <c r="S155" s="469"/>
      <c r="T155" s="469"/>
      <c r="U155" s="470"/>
      <c r="V155" s="469"/>
      <c r="W155" s="469"/>
      <c r="X155" s="470"/>
      <c r="Y155" s="498"/>
      <c r="Z155" s="474"/>
      <c r="AA155" s="474"/>
      <c r="AB155" s="469" t="s">
        <v>430</v>
      </c>
      <c r="AC155" s="443"/>
      <c r="AD155" s="469">
        <v>200000</v>
      </c>
      <c r="AE155" s="478" t="s">
        <v>25</v>
      </c>
    </row>
    <row r="156" spans="1:31" s="11" customFormat="1" ht="21" customHeight="1">
      <c r="A156" s="38"/>
      <c r="B156" s="38"/>
      <c r="C156" s="49"/>
      <c r="D156" s="134"/>
      <c r="E156" s="140"/>
      <c r="F156" s="140"/>
      <c r="G156" s="140"/>
      <c r="H156" s="140"/>
      <c r="I156" s="140"/>
      <c r="J156" s="140"/>
      <c r="K156" s="140"/>
      <c r="L156" s="140"/>
      <c r="M156" s="118"/>
      <c r="N156" s="75"/>
      <c r="O156" s="405"/>
      <c r="P156" s="405"/>
      <c r="Q156" s="405"/>
      <c r="R156" s="405"/>
      <c r="S156" s="405"/>
      <c r="T156" s="119"/>
      <c r="U156" s="434"/>
      <c r="V156" s="292"/>
      <c r="W156" s="434"/>
      <c r="X156" s="434"/>
      <c r="Y156" s="434"/>
      <c r="Z156" s="434"/>
      <c r="AA156" s="434"/>
      <c r="AB156" s="434"/>
      <c r="AC156" s="434"/>
      <c r="AD156" s="434"/>
      <c r="AE156" s="122"/>
    </row>
    <row r="157" spans="1:31" s="11" customFormat="1" ht="21" customHeight="1">
      <c r="A157" s="38"/>
      <c r="B157" s="38"/>
      <c r="C157" s="38" t="s">
        <v>405</v>
      </c>
      <c r="D157" s="116">
        <v>180</v>
      </c>
      <c r="E157" s="97">
        <f>ROUND(AD157/1000,0)</f>
        <v>150</v>
      </c>
      <c r="F157" s="103">
        <f>SUMIF($AB$158:$AB$159,"보조",$AD$158:$AD$159)/1000</f>
        <v>0</v>
      </c>
      <c r="G157" s="103">
        <f>SUMIF($AB$158:$AB$159,"4종",$AD$158:$AD$159)/1000</f>
        <v>0</v>
      </c>
      <c r="H157" s="103">
        <f>SUMIF($AB$158:$AB$159,"6종",$AD$158:$AD$159)/1000</f>
        <v>0</v>
      </c>
      <c r="I157" s="103">
        <f>SUMIF($AB$158:$AB$159,"후원",$AD$158:$AD$159)/1000</f>
        <v>0</v>
      </c>
      <c r="J157" s="103">
        <f>SUMIF($AB$158:$AB$159,"입소",$AD$158:$AD$159)/1000</f>
        <v>150</v>
      </c>
      <c r="K157" s="103">
        <f>SUMIF($AB$158:$AB$159,"법인",$AD$158:$AD$159)/1000</f>
        <v>0</v>
      </c>
      <c r="L157" s="103">
        <f>SUMIF($AB$158:$AB$159,"잡수",$AD$158:$AD$159)/1000</f>
        <v>0</v>
      </c>
      <c r="M157" s="97">
        <f>E157-D157</f>
        <v>-30</v>
      </c>
      <c r="N157" s="60">
        <f>IF(D157=0,0,M157/D157)</f>
        <v>-0.16666666666666666</v>
      </c>
      <c r="O157" s="85" t="s">
        <v>406</v>
      </c>
      <c r="P157" s="154"/>
      <c r="Q157" s="154"/>
      <c r="R157" s="154"/>
      <c r="S157" s="154"/>
      <c r="T157" s="153"/>
      <c r="U157" s="153"/>
      <c r="V157" s="153"/>
      <c r="W157" s="153"/>
      <c r="X157" s="153"/>
      <c r="Y157" s="431" t="s">
        <v>404</v>
      </c>
      <c r="Z157" s="431"/>
      <c r="AA157" s="431"/>
      <c r="AB157" s="431"/>
      <c r="AC157" s="147"/>
      <c r="AD157" s="147">
        <f>SUM(AD158:AD159)</f>
        <v>150000</v>
      </c>
      <c r="AE157" s="146" t="s">
        <v>25</v>
      </c>
    </row>
    <row r="158" spans="1:31" s="11" customFormat="1" ht="21" customHeight="1">
      <c r="A158" s="38"/>
      <c r="B158" s="38"/>
      <c r="C158" s="38"/>
      <c r="D158" s="445"/>
      <c r="E158" s="446"/>
      <c r="F158" s="446"/>
      <c r="G158" s="446"/>
      <c r="H158" s="446"/>
      <c r="I158" s="446"/>
      <c r="J158" s="446"/>
      <c r="K158" s="446"/>
      <c r="L158" s="446"/>
      <c r="M158" s="97"/>
      <c r="N158" s="60"/>
      <c r="O158" s="470" t="s">
        <v>474</v>
      </c>
      <c r="P158" s="470"/>
      <c r="Q158" s="470"/>
      <c r="R158" s="470"/>
      <c r="S158" s="469">
        <v>25000</v>
      </c>
      <c r="T158" s="477" t="s">
        <v>25</v>
      </c>
      <c r="U158" s="477" t="s">
        <v>26</v>
      </c>
      <c r="V158" s="469">
        <v>6</v>
      </c>
      <c r="W158" s="469" t="s">
        <v>29</v>
      </c>
      <c r="X158" s="474"/>
      <c r="Y158" s="505"/>
      <c r="Z158" s="506"/>
      <c r="AA158" s="507" t="s">
        <v>27</v>
      </c>
      <c r="AB158" s="469" t="s">
        <v>430</v>
      </c>
      <c r="AC158" s="469"/>
      <c r="AD158" s="469">
        <f>S158*V158</f>
        <v>150000</v>
      </c>
      <c r="AE158" s="478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435"/>
      <c r="P159" s="435"/>
      <c r="Q159" s="435"/>
      <c r="R159" s="435"/>
      <c r="S159" s="434"/>
      <c r="T159" s="297"/>
      <c r="U159" s="435"/>
      <c r="V159" s="434"/>
      <c r="W159" s="435"/>
      <c r="X159" s="434"/>
      <c r="Y159" s="434"/>
      <c r="Z159" s="434"/>
      <c r="AA159" s="434"/>
      <c r="AB159" s="434"/>
      <c r="AC159" s="434"/>
      <c r="AD159" s="434"/>
      <c r="AE159" s="122"/>
    </row>
    <row r="160" spans="1:31" s="11" customFormat="1" ht="21" customHeight="1">
      <c r="A160" s="38"/>
      <c r="B160" s="28" t="s">
        <v>407</v>
      </c>
      <c r="C160" s="143" t="s">
        <v>408</v>
      </c>
      <c r="D160" s="144">
        <f t="shared" ref="D160:M160" si="9">SUM(D161,D166,D167,D169,D172,D176,D181,D184)</f>
        <v>5090</v>
      </c>
      <c r="E160" s="144">
        <f t="shared" si="9"/>
        <v>3400</v>
      </c>
      <c r="F160" s="144">
        <f t="shared" ca="1" si="9"/>
        <v>0</v>
      </c>
      <c r="G160" s="144">
        <f t="shared" si="9"/>
        <v>0</v>
      </c>
      <c r="H160" s="144">
        <f t="shared" si="9"/>
        <v>0</v>
      </c>
      <c r="I160" s="144">
        <f t="shared" si="9"/>
        <v>0</v>
      </c>
      <c r="J160" s="144">
        <f t="shared" si="9"/>
        <v>3400</v>
      </c>
      <c r="K160" s="144">
        <f t="shared" si="9"/>
        <v>0</v>
      </c>
      <c r="L160" s="144">
        <f t="shared" si="9"/>
        <v>0</v>
      </c>
      <c r="M160" s="144">
        <f t="shared" si="9"/>
        <v>-1690</v>
      </c>
      <c r="N160" s="141">
        <f>IF(D160=0,0,M160/D160)</f>
        <v>-0.33202357563850687</v>
      </c>
      <c r="O160" s="432"/>
      <c r="P160" s="432"/>
      <c r="Q160" s="432"/>
      <c r="R160" s="432"/>
      <c r="S160" s="432"/>
      <c r="T160" s="431"/>
      <c r="U160" s="431"/>
      <c r="V160" s="431"/>
      <c r="W160" s="431"/>
      <c r="X160" s="431"/>
      <c r="Y160" s="431" t="s">
        <v>28</v>
      </c>
      <c r="Z160" s="431"/>
      <c r="AA160" s="431"/>
      <c r="AB160" s="431"/>
      <c r="AC160" s="147"/>
      <c r="AD160" s="147">
        <f>SUM(AD161,AD166,AD169,AD172,AD176,AD181,AD184)</f>
        <v>3400000</v>
      </c>
      <c r="AE160" s="146" t="s">
        <v>25</v>
      </c>
    </row>
    <row r="161" spans="1:31" s="11" customFormat="1" ht="21" customHeight="1">
      <c r="A161" s="38"/>
      <c r="B161" s="38" t="s">
        <v>409</v>
      </c>
      <c r="C161" s="28" t="s">
        <v>478</v>
      </c>
      <c r="D161" s="135">
        <v>1100</v>
      </c>
      <c r="E161" s="97">
        <f>ROUND(AD161/1000,0)</f>
        <v>900</v>
      </c>
      <c r="F161" s="103">
        <f>SUMIF($AB$162:$AB$165,"보조",$AD$162:$AD$165)/1000</f>
        <v>0</v>
      </c>
      <c r="G161" s="103">
        <f>SUMIF($AB$162:$AB$165,"4종",$AD$162:$AD$165)/1000</f>
        <v>0</v>
      </c>
      <c r="H161" s="103">
        <f>SUMIF($AB$162:$AB$165,"6종",$AD$162:$AD$165)/1000</f>
        <v>0</v>
      </c>
      <c r="I161" s="103">
        <f>SUMIF($AB$162:$AB$165,"후원",$AD$162:$AD$165)/1000</f>
        <v>0</v>
      </c>
      <c r="J161" s="103">
        <f>SUMIF($AB$162:$AB$165,"입소",$AD$162:$AD$165)/1000</f>
        <v>900</v>
      </c>
      <c r="K161" s="103">
        <f>SUMIF($AB$162:$AB$165,"법인",$AD$162:$AD$165)/1000</f>
        <v>0</v>
      </c>
      <c r="L161" s="103">
        <f>SUMIF($AB$162:$AB$165,"잡수",$AD$162:$AD$165)/1000</f>
        <v>0</v>
      </c>
      <c r="M161" s="97">
        <f>E161-D161</f>
        <v>-200</v>
      </c>
      <c r="N161" s="60">
        <f>IF(D161=0,0,M161/D161)</f>
        <v>-0.18181818181818182</v>
      </c>
      <c r="O161" s="85"/>
      <c r="P161" s="154"/>
      <c r="Q161" s="154"/>
      <c r="R161" s="154"/>
      <c r="S161" s="154"/>
      <c r="T161" s="153"/>
      <c r="U161" s="153"/>
      <c r="V161" s="153"/>
      <c r="W161" s="153"/>
      <c r="X161" s="153"/>
      <c r="Y161" s="431" t="s">
        <v>404</v>
      </c>
      <c r="Z161" s="431"/>
      <c r="AA161" s="431"/>
      <c r="AB161" s="431"/>
      <c r="AC161" s="147"/>
      <c r="AD161" s="147">
        <f>SUM(AD162:AD165)</f>
        <v>900000</v>
      </c>
      <c r="AE161" s="146" t="s">
        <v>25</v>
      </c>
    </row>
    <row r="162" spans="1:31" s="11" customFormat="1" ht="21" customHeight="1">
      <c r="A162" s="38"/>
      <c r="B162" s="38"/>
      <c r="C162" s="38" t="s">
        <v>412</v>
      </c>
      <c r="D162" s="445"/>
      <c r="E162" s="446"/>
      <c r="F162" s="446"/>
      <c r="G162" s="446"/>
      <c r="H162" s="446"/>
      <c r="I162" s="446"/>
      <c r="J162" s="446"/>
      <c r="K162" s="446"/>
      <c r="L162" s="446"/>
      <c r="M162" s="97"/>
      <c r="N162" s="60"/>
      <c r="O162" s="470" t="s">
        <v>475</v>
      </c>
      <c r="P162" s="470"/>
      <c r="Q162" s="470"/>
      <c r="R162" s="470"/>
      <c r="S162" s="469">
        <v>50000</v>
      </c>
      <c r="T162" s="477" t="s">
        <v>25</v>
      </c>
      <c r="U162" s="477" t="s">
        <v>26</v>
      </c>
      <c r="V162" s="469">
        <v>4</v>
      </c>
      <c r="W162" s="469" t="s">
        <v>108</v>
      </c>
      <c r="X162" s="474"/>
      <c r="Y162" s="505"/>
      <c r="Z162" s="506"/>
      <c r="AA162" s="507" t="s">
        <v>27</v>
      </c>
      <c r="AB162" s="469" t="s">
        <v>430</v>
      </c>
      <c r="AC162" s="469"/>
      <c r="AD162" s="469">
        <f>S162*V162</f>
        <v>200000</v>
      </c>
      <c r="AE162" s="478" t="s">
        <v>25</v>
      </c>
    </row>
    <row r="163" spans="1:31" s="11" customFormat="1" ht="21" customHeight="1">
      <c r="A163" s="38"/>
      <c r="B163" s="38"/>
      <c r="C163" s="38"/>
      <c r="D163" s="447"/>
      <c r="E163" s="448"/>
      <c r="F163" s="448"/>
      <c r="G163" s="448"/>
      <c r="H163" s="448"/>
      <c r="I163" s="448"/>
      <c r="J163" s="448"/>
      <c r="K163" s="448"/>
      <c r="L163" s="448"/>
      <c r="M163" s="97"/>
      <c r="N163" s="60"/>
      <c r="O163" s="470" t="s">
        <v>476</v>
      </c>
      <c r="P163" s="470"/>
      <c r="Q163" s="470"/>
      <c r="R163" s="470"/>
      <c r="S163" s="469">
        <v>20000</v>
      </c>
      <c r="T163" s="477" t="s">
        <v>25</v>
      </c>
      <c r="U163" s="477" t="s">
        <v>26</v>
      </c>
      <c r="V163" s="469">
        <v>5</v>
      </c>
      <c r="W163" s="469" t="s">
        <v>55</v>
      </c>
      <c r="X163" s="477" t="s">
        <v>26</v>
      </c>
      <c r="Y163" s="505">
        <v>2</v>
      </c>
      <c r="Z163" s="506" t="s">
        <v>71</v>
      </c>
      <c r="AA163" s="507" t="s">
        <v>27</v>
      </c>
      <c r="AB163" s="469" t="s">
        <v>430</v>
      </c>
      <c r="AC163" s="469"/>
      <c r="AD163" s="469">
        <f>S163*V163*Y163</f>
        <v>200000</v>
      </c>
      <c r="AE163" s="478" t="s">
        <v>25</v>
      </c>
    </row>
    <row r="164" spans="1:31" s="11" customFormat="1" ht="21" customHeight="1">
      <c r="A164" s="38"/>
      <c r="B164" s="38"/>
      <c r="C164" s="38"/>
      <c r="D164" s="133"/>
      <c r="E164" s="97"/>
      <c r="F164" s="97"/>
      <c r="G164" s="97"/>
      <c r="H164" s="97"/>
      <c r="I164" s="97"/>
      <c r="J164" s="97"/>
      <c r="K164" s="97"/>
      <c r="L164" s="97"/>
      <c r="M164" s="97"/>
      <c r="N164" s="60"/>
      <c r="O164" s="470" t="s">
        <v>477</v>
      </c>
      <c r="P164" s="470"/>
      <c r="Q164" s="470"/>
      <c r="R164" s="470"/>
      <c r="S164" s="469">
        <v>50000</v>
      </c>
      <c r="T164" s="477" t="s">
        <v>25</v>
      </c>
      <c r="U164" s="477" t="s">
        <v>26</v>
      </c>
      <c r="V164" s="469">
        <v>10</v>
      </c>
      <c r="W164" s="469" t="s">
        <v>450</v>
      </c>
      <c r="X164" s="474"/>
      <c r="Y164" s="505"/>
      <c r="Z164" s="506"/>
      <c r="AA164" s="507" t="s">
        <v>27</v>
      </c>
      <c r="AB164" s="469" t="s">
        <v>430</v>
      </c>
      <c r="AC164" s="469"/>
      <c r="AD164" s="469">
        <f>S164*V164</f>
        <v>500000</v>
      </c>
      <c r="AE164" s="478" t="s">
        <v>25</v>
      </c>
    </row>
    <row r="165" spans="1:31" s="11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35"/>
      <c r="P165" s="405"/>
      <c r="Q165" s="405"/>
      <c r="R165" s="405"/>
      <c r="S165" s="405"/>
      <c r="T165" s="405"/>
      <c r="U165" s="405"/>
      <c r="V165" s="405"/>
      <c r="W165" s="405"/>
      <c r="X165" s="405"/>
      <c r="Y165" s="405"/>
      <c r="Z165" s="405"/>
      <c r="AA165" s="405"/>
      <c r="AB165" s="405"/>
      <c r="AC165" s="405"/>
      <c r="AD165" s="405"/>
      <c r="AE165" s="406"/>
    </row>
    <row r="166" spans="1:31" s="11" customFormat="1" ht="21" customHeight="1">
      <c r="A166" s="38"/>
      <c r="B166" s="38"/>
      <c r="C166" s="28" t="s">
        <v>411</v>
      </c>
      <c r="D166" s="135">
        <v>200</v>
      </c>
      <c r="E166" s="102">
        <f>ROUND(AD166/1000,0)</f>
        <v>0</v>
      </c>
      <c r="F166" s="103">
        <f>SUMIF($AB$168:$AB$168,"보조",$AD$168:$AD$168)/1000</f>
        <v>0</v>
      </c>
      <c r="G166" s="103">
        <f>SUMIF($AB$168:$AB$168,"4종",$AD$168:$AD$168)/1000</f>
        <v>0</v>
      </c>
      <c r="H166" s="103">
        <f>SUMIF($AB$168:$AB$168,"6종",$AD$168:$AD$168)/1000</f>
        <v>0</v>
      </c>
      <c r="I166" s="103">
        <f>SUMIF($AB$168:$AB$168,"후원",$AD$168:$AD$168)/1000</f>
        <v>0</v>
      </c>
      <c r="J166" s="103">
        <f>SUMIF($AB$167:$AB$168,"입소",$AD$167:$AD$168)/1000</f>
        <v>0</v>
      </c>
      <c r="K166" s="103">
        <f>SUMIF($AB$168:$AB$168,"법인",$AD$168:$AD$168)/1000</f>
        <v>0</v>
      </c>
      <c r="L166" s="103">
        <f>SUMIF($AB$168:$AB$168,"잡수",$AD$168:$AD$168)/1000</f>
        <v>0</v>
      </c>
      <c r="M166" s="112">
        <f>E166-D166</f>
        <v>-200</v>
      </c>
      <c r="N166" s="109">
        <f>IF(D166=0,0,M166/D166)</f>
        <v>-1</v>
      </c>
      <c r="O166" s="290"/>
      <c r="P166" s="305"/>
      <c r="Q166" s="305"/>
      <c r="R166" s="458"/>
      <c r="S166" s="458"/>
      <c r="T166" s="458"/>
      <c r="U166" s="458"/>
      <c r="V166" s="458"/>
      <c r="W166" s="459" t="s">
        <v>410</v>
      </c>
      <c r="X166" s="459"/>
      <c r="Y166" s="459"/>
      <c r="Z166" s="459"/>
      <c r="AA166" s="459"/>
      <c r="AB166" s="459"/>
      <c r="AC166" s="460"/>
      <c r="AD166" s="461">
        <f>SUM(AD167:AD168)</f>
        <v>0</v>
      </c>
      <c r="AE166" s="462" t="s">
        <v>25</v>
      </c>
    </row>
    <row r="167" spans="1:31" s="11" customFormat="1" ht="21" customHeight="1">
      <c r="A167" s="38"/>
      <c r="B167" s="38"/>
      <c r="C167" s="38" t="s">
        <v>103</v>
      </c>
      <c r="D167" s="133"/>
      <c r="E167" s="97"/>
      <c r="F167" s="97"/>
      <c r="G167" s="97"/>
      <c r="H167" s="97"/>
      <c r="I167" s="97"/>
      <c r="J167" s="97"/>
      <c r="K167" s="97"/>
      <c r="L167" s="97"/>
      <c r="M167" s="97"/>
      <c r="N167" s="60"/>
      <c r="O167" s="470" t="s">
        <v>514</v>
      </c>
      <c r="P167" s="470"/>
      <c r="Q167" s="470"/>
      <c r="R167" s="470"/>
      <c r="S167" s="469"/>
      <c r="T167" s="477"/>
      <c r="U167" s="477"/>
      <c r="V167" s="469"/>
      <c r="W167" s="470"/>
      <c r="X167" s="469"/>
      <c r="Y167" s="508"/>
      <c r="Z167" s="508"/>
      <c r="AA167" s="508"/>
      <c r="AB167" s="508" t="s">
        <v>430</v>
      </c>
      <c r="AC167" s="508"/>
      <c r="AD167" s="509">
        <v>0</v>
      </c>
      <c r="AE167" s="510" t="s">
        <v>25</v>
      </c>
    </row>
    <row r="168" spans="1:31" s="11" customFormat="1" ht="24" customHeight="1">
      <c r="A168" s="38"/>
      <c r="B168" s="38"/>
      <c r="C168" s="38"/>
      <c r="D168" s="133"/>
      <c r="E168" s="97"/>
      <c r="F168" s="97"/>
      <c r="G168" s="97"/>
      <c r="H168" s="97"/>
      <c r="I168" s="97"/>
      <c r="J168" s="97"/>
      <c r="K168" s="97"/>
      <c r="L168" s="97"/>
      <c r="M168" s="97"/>
      <c r="N168" s="60"/>
      <c r="O168" s="435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405"/>
      <c r="AA168" s="405"/>
      <c r="AB168" s="405"/>
      <c r="AC168" s="405"/>
      <c r="AD168" s="405"/>
      <c r="AE168" s="406"/>
    </row>
    <row r="169" spans="1:31" s="14" customFormat="1" ht="24" customHeight="1">
      <c r="A169" s="38"/>
      <c r="B169" s="38"/>
      <c r="C169" s="28" t="s">
        <v>480</v>
      </c>
      <c r="D169" s="463">
        <v>300</v>
      </c>
      <c r="E169" s="102">
        <f>ROUND(AD169/1000,0)</f>
        <v>300</v>
      </c>
      <c r="F169" s="103">
        <f ca="1">SUMIF($AB$170:$AB$171,"보조",$AD$168:$AD$168)/1000</f>
        <v>0</v>
      </c>
      <c r="G169" s="103">
        <f>SUMIF($AB$170:$AB$171,"4종",$AD$170:$AD$171)/1000</f>
        <v>0</v>
      </c>
      <c r="H169" s="103">
        <f>SUMIF($AB$170:$AB$171,"6종",$AD$170:$AD$171)/1000</f>
        <v>0</v>
      </c>
      <c r="I169" s="103">
        <f>SUMIF($AB$170:$AB$171,"후원",$AD$170:$AD$171)/1000</f>
        <v>0</v>
      </c>
      <c r="J169" s="103">
        <f>SUMIF($AB$170:$AB$171,"입소",$AD$170:$AD$171)/1000</f>
        <v>300</v>
      </c>
      <c r="K169" s="103">
        <f>SUMIF($AB$170:$AB$171,"법인",$AD$170:$AD$171)/1000</f>
        <v>0</v>
      </c>
      <c r="L169" s="103">
        <f>SUMIF($AB$170:$AB$171,"잡수",$AD$170:$AD$171)/1000</f>
        <v>0</v>
      </c>
      <c r="M169" s="102">
        <f>E169-D169</f>
        <v>0</v>
      </c>
      <c r="N169" s="109">
        <f>IF(D169=0,0,M169/D169)</f>
        <v>0</v>
      </c>
      <c r="O169" s="464"/>
      <c r="P169" s="139"/>
      <c r="Q169" s="139"/>
      <c r="R169" s="139"/>
      <c r="S169" s="139"/>
      <c r="T169" s="79"/>
      <c r="U169" s="79"/>
      <c r="V169" s="79"/>
      <c r="W169" s="128" t="s">
        <v>410</v>
      </c>
      <c r="X169" s="128"/>
      <c r="Y169" s="128"/>
      <c r="Z169" s="128"/>
      <c r="AA169" s="128"/>
      <c r="AB169" s="128"/>
      <c r="AC169" s="129"/>
      <c r="AD169" s="465">
        <f>SUM(AD170:AD171)</f>
        <v>300000</v>
      </c>
      <c r="AE169" s="130" t="s">
        <v>25</v>
      </c>
    </row>
    <row r="170" spans="1:31" s="14" customFormat="1" ht="24" customHeight="1">
      <c r="A170" s="38"/>
      <c r="B170" s="38"/>
      <c r="C170" s="38" t="s">
        <v>412</v>
      </c>
      <c r="D170" s="445"/>
      <c r="E170" s="446"/>
      <c r="F170" s="446"/>
      <c r="G170" s="446"/>
      <c r="H170" s="446"/>
      <c r="I170" s="446"/>
      <c r="J170" s="446"/>
      <c r="K170" s="446"/>
      <c r="L170" s="446"/>
      <c r="M170" s="97"/>
      <c r="N170" s="60"/>
      <c r="O170" s="470" t="s">
        <v>479</v>
      </c>
      <c r="P170" s="486"/>
      <c r="Q170" s="486"/>
      <c r="R170" s="483"/>
      <c r="S170" s="469">
        <v>10000</v>
      </c>
      <c r="T170" s="469" t="s">
        <v>25</v>
      </c>
      <c r="U170" s="470" t="s">
        <v>26</v>
      </c>
      <c r="V170" s="469">
        <v>5</v>
      </c>
      <c r="W170" s="469" t="s">
        <v>108</v>
      </c>
      <c r="X170" s="470" t="s">
        <v>26</v>
      </c>
      <c r="Y170" s="498">
        <v>6</v>
      </c>
      <c r="Z170" s="474" t="s">
        <v>450</v>
      </c>
      <c r="AA170" s="474" t="s">
        <v>27</v>
      </c>
      <c r="AB170" s="469" t="s">
        <v>430</v>
      </c>
      <c r="AC170" s="443"/>
      <c r="AD170" s="469">
        <f>S170*V170*Y170</f>
        <v>300000</v>
      </c>
      <c r="AE170" s="478" t="s">
        <v>25</v>
      </c>
    </row>
    <row r="171" spans="1:31" s="14" customFormat="1" ht="24" customHeight="1">
      <c r="A171" s="38"/>
      <c r="B171" s="38"/>
      <c r="C171" s="38"/>
      <c r="D171" s="447"/>
      <c r="E171" s="448"/>
      <c r="F171" s="448"/>
      <c r="G171" s="448"/>
      <c r="H171" s="448"/>
      <c r="I171" s="448"/>
      <c r="J171" s="448"/>
      <c r="K171" s="448"/>
      <c r="L171" s="448"/>
      <c r="M171" s="97"/>
      <c r="N171" s="60"/>
      <c r="O171" s="435"/>
      <c r="P171" s="435"/>
      <c r="Q171" s="435"/>
      <c r="R171" s="435"/>
      <c r="S171" s="435"/>
      <c r="T171" s="434"/>
      <c r="U171" s="434"/>
      <c r="V171" s="434"/>
      <c r="W171" s="434"/>
      <c r="X171" s="434"/>
      <c r="Y171" s="434"/>
      <c r="Z171" s="434"/>
      <c r="AA171" s="434"/>
      <c r="AB171" s="434"/>
      <c r="AC171" s="442"/>
      <c r="AD171" s="405"/>
      <c r="AE171" s="122"/>
    </row>
    <row r="172" spans="1:31" s="14" customFormat="1" ht="24" customHeight="1">
      <c r="A172" s="38"/>
      <c r="B172" s="38"/>
      <c r="C172" s="28" t="s">
        <v>484</v>
      </c>
      <c r="D172" s="135">
        <v>600</v>
      </c>
      <c r="E172" s="102">
        <f>ROUND(AD172/1000,0)</f>
        <v>200</v>
      </c>
      <c r="F172" s="103">
        <f>SUMIF($AB$173:$AB$175,"보조",$AD$173:$AD$175)/1000</f>
        <v>0</v>
      </c>
      <c r="G172" s="103">
        <f>SUMIF($AB$173:$AB$175,"4종",$AD$173:$AD$175)/1000</f>
        <v>0</v>
      </c>
      <c r="H172" s="103">
        <f>SUMIF($AB$173:$AB$175,"6종",$AD$173:$AD$175)/1000</f>
        <v>0</v>
      </c>
      <c r="I172" s="103">
        <f>SUMIF($AB$173:$AB$175,"후원",$AD$173:$AD$175)/1000</f>
        <v>0</v>
      </c>
      <c r="J172" s="103">
        <f>SUMIF($AB$173:$AB$175,"입소",$AD$173:$AD$175)/1000</f>
        <v>200</v>
      </c>
      <c r="K172" s="103">
        <f>SUMIF($AB$173:$AB$175,"법인",$AD$173:$AD$175)/1000</f>
        <v>0</v>
      </c>
      <c r="L172" s="103">
        <f>SUMIF($AB$173:$AB$175,"잡수",$AD$173:$AD$175)/1000</f>
        <v>0</v>
      </c>
      <c r="M172" s="102">
        <f>E172-D172</f>
        <v>-400</v>
      </c>
      <c r="N172" s="109">
        <f>IF(D172=0,0,M172/D172)</f>
        <v>-0.66666666666666663</v>
      </c>
      <c r="O172" s="290"/>
      <c r="P172" s="305"/>
      <c r="Q172" s="305"/>
      <c r="R172" s="458"/>
      <c r="S172" s="458"/>
      <c r="T172" s="458"/>
      <c r="U172" s="458"/>
      <c r="V172" s="458"/>
      <c r="W172" s="459" t="s">
        <v>410</v>
      </c>
      <c r="X172" s="459"/>
      <c r="Y172" s="459"/>
      <c r="Z172" s="459"/>
      <c r="AA172" s="459"/>
      <c r="AB172" s="459"/>
      <c r="AC172" s="460"/>
      <c r="AD172" s="461">
        <f>SUM(AD173:AD175)</f>
        <v>200000</v>
      </c>
      <c r="AE172" s="462" t="s">
        <v>25</v>
      </c>
    </row>
    <row r="173" spans="1:31" s="14" customFormat="1" ht="24" customHeight="1">
      <c r="A173" s="38"/>
      <c r="B173" s="38"/>
      <c r="C173" s="38" t="s">
        <v>412</v>
      </c>
      <c r="D173" s="445"/>
      <c r="E173" s="446"/>
      <c r="F173" s="446"/>
      <c r="G173" s="446"/>
      <c r="H173" s="446"/>
      <c r="I173" s="446"/>
      <c r="J173" s="446"/>
      <c r="K173" s="446"/>
      <c r="L173" s="446"/>
      <c r="M173" s="97"/>
      <c r="N173" s="60"/>
      <c r="O173" s="470" t="s">
        <v>482</v>
      </c>
      <c r="P173" s="511"/>
      <c r="Q173" s="511"/>
      <c r="R173" s="511"/>
      <c r="S173" s="469">
        <v>10000</v>
      </c>
      <c r="T173" s="477" t="s">
        <v>25</v>
      </c>
      <c r="U173" s="477" t="s">
        <v>26</v>
      </c>
      <c r="V173" s="469">
        <v>5</v>
      </c>
      <c r="W173" s="470" t="s">
        <v>108</v>
      </c>
      <c r="X173" s="470" t="s">
        <v>26</v>
      </c>
      <c r="Y173" s="498">
        <v>2</v>
      </c>
      <c r="Z173" s="474" t="s">
        <v>450</v>
      </c>
      <c r="AA173" s="508" t="s">
        <v>27</v>
      </c>
      <c r="AB173" s="508" t="s">
        <v>430</v>
      </c>
      <c r="AC173" s="508"/>
      <c r="AD173" s="509">
        <f>S173*V173*Y173</f>
        <v>100000</v>
      </c>
      <c r="AE173" s="510" t="s">
        <v>25</v>
      </c>
    </row>
    <row r="174" spans="1:31" s="14" customFormat="1" ht="24" customHeight="1">
      <c r="A174" s="38"/>
      <c r="B174" s="38"/>
      <c r="C174" s="38"/>
      <c r="D174" s="447"/>
      <c r="E174" s="448"/>
      <c r="F174" s="448"/>
      <c r="G174" s="448"/>
      <c r="H174" s="448"/>
      <c r="I174" s="448"/>
      <c r="J174" s="448"/>
      <c r="K174" s="448"/>
      <c r="L174" s="448"/>
      <c r="M174" s="97"/>
      <c r="N174" s="60"/>
      <c r="O174" s="470" t="s">
        <v>483</v>
      </c>
      <c r="P174" s="511"/>
      <c r="Q174" s="511"/>
      <c r="R174" s="511"/>
      <c r="S174" s="469">
        <v>10000</v>
      </c>
      <c r="T174" s="477" t="s">
        <v>25</v>
      </c>
      <c r="U174" s="477" t="s">
        <v>26</v>
      </c>
      <c r="V174" s="469">
        <v>5</v>
      </c>
      <c r="W174" s="470" t="s">
        <v>108</v>
      </c>
      <c r="X174" s="470" t="s">
        <v>26</v>
      </c>
      <c r="Y174" s="498">
        <v>2</v>
      </c>
      <c r="Z174" s="474" t="s">
        <v>450</v>
      </c>
      <c r="AA174" s="508" t="s">
        <v>27</v>
      </c>
      <c r="AB174" s="508" t="s">
        <v>430</v>
      </c>
      <c r="AC174" s="508"/>
      <c r="AD174" s="509">
        <f>S174*V174*Y174</f>
        <v>100000</v>
      </c>
      <c r="AE174" s="510" t="s">
        <v>25</v>
      </c>
    </row>
    <row r="175" spans="1:31" s="14" customFormat="1" ht="24" customHeight="1">
      <c r="A175" s="38"/>
      <c r="B175" s="38"/>
      <c r="C175" s="38"/>
      <c r="D175" s="136"/>
      <c r="E175" s="97"/>
      <c r="F175" s="97"/>
      <c r="G175" s="97"/>
      <c r="H175" s="97"/>
      <c r="I175" s="97"/>
      <c r="J175" s="97"/>
      <c r="K175" s="97"/>
      <c r="L175" s="97"/>
      <c r="M175" s="97"/>
      <c r="N175" s="60"/>
      <c r="O175" s="435"/>
      <c r="P175" s="435"/>
      <c r="Q175" s="435"/>
      <c r="R175" s="435"/>
      <c r="S175" s="435"/>
      <c r="T175" s="434"/>
      <c r="U175" s="434"/>
      <c r="V175" s="434"/>
      <c r="W175" s="434"/>
      <c r="X175" s="434"/>
      <c r="Y175" s="434"/>
      <c r="Z175" s="434"/>
      <c r="AA175" s="434"/>
      <c r="AB175" s="434"/>
      <c r="AC175" s="121"/>
      <c r="AD175" s="475"/>
      <c r="AE175" s="122"/>
    </row>
    <row r="176" spans="1:31" s="14" customFormat="1" ht="24" customHeight="1">
      <c r="A176" s="38"/>
      <c r="B176" s="38"/>
      <c r="C176" s="28" t="s">
        <v>481</v>
      </c>
      <c r="D176" s="463">
        <v>2400</v>
      </c>
      <c r="E176" s="102">
        <f>ROUND(AD176/1000,0)</f>
        <v>1500</v>
      </c>
      <c r="F176" s="103">
        <f>SUMIF($AB$177:$AB$180,"보조",$AD$177:$AD$180)/1000</f>
        <v>0</v>
      </c>
      <c r="G176" s="103">
        <f>SUMIF($AB$177:$AB$180,"4종",$AD$177:$AD$180)/1000</f>
        <v>0</v>
      </c>
      <c r="H176" s="103">
        <f>SUMIF($AB$177:$AB$180,"6종",$AD$177:$AD$180)/1000</f>
        <v>0</v>
      </c>
      <c r="I176" s="103">
        <f>SUMIF($AB$177:$AB$180,"후원",$AD$177:$AD$180)/1000</f>
        <v>0</v>
      </c>
      <c r="J176" s="103">
        <f>SUMIF($AB$177:$AB$180,"입소",$AD$177:$AD$180)/1000</f>
        <v>1500</v>
      </c>
      <c r="K176" s="103">
        <f>SUMIF($AB$177:$AB$180,"법인",$AD$177:$AD$180)/1000</f>
        <v>0</v>
      </c>
      <c r="L176" s="103">
        <f>SUMIF($AB$177:$AB$180,"잡수",$AD$177:$AD$180)/1000</f>
        <v>0</v>
      </c>
      <c r="M176" s="102">
        <f>E176-D176</f>
        <v>-900</v>
      </c>
      <c r="N176" s="109">
        <f>IF(D176=0,0,M176/D176)</f>
        <v>-0.375</v>
      </c>
      <c r="O176" s="290"/>
      <c r="P176" s="305"/>
      <c r="Q176" s="305"/>
      <c r="R176" s="458"/>
      <c r="S176" s="458"/>
      <c r="T176" s="458"/>
      <c r="U176" s="458"/>
      <c r="V176" s="458"/>
      <c r="W176" s="459" t="s">
        <v>410</v>
      </c>
      <c r="X176" s="459"/>
      <c r="Y176" s="459"/>
      <c r="Z176" s="459"/>
      <c r="AA176" s="459"/>
      <c r="AB176" s="459"/>
      <c r="AC176" s="460"/>
      <c r="AD176" s="461">
        <f>SUM(AD177:AD180)</f>
        <v>1500000</v>
      </c>
      <c r="AE176" s="462" t="s">
        <v>25</v>
      </c>
    </row>
    <row r="177" spans="1:31" s="14" customFormat="1" ht="24" customHeight="1">
      <c r="A177" s="38"/>
      <c r="B177" s="38"/>
      <c r="C177" s="38"/>
      <c r="D177" s="445"/>
      <c r="E177" s="446"/>
      <c r="F177" s="446"/>
      <c r="G177" s="446"/>
      <c r="H177" s="446"/>
      <c r="I177" s="446"/>
      <c r="J177" s="446"/>
      <c r="K177" s="446"/>
      <c r="L177" s="446"/>
      <c r="M177" s="97"/>
      <c r="N177" s="60"/>
      <c r="O177" s="511" t="s">
        <v>499</v>
      </c>
      <c r="P177" s="511"/>
      <c r="Q177" s="511"/>
      <c r="R177" s="511"/>
      <c r="S177" s="469">
        <v>100000</v>
      </c>
      <c r="T177" s="477" t="s">
        <v>25</v>
      </c>
      <c r="U177" s="477" t="s">
        <v>26</v>
      </c>
      <c r="V177" s="469">
        <v>6</v>
      </c>
      <c r="W177" s="470" t="s">
        <v>108</v>
      </c>
      <c r="X177" s="469"/>
      <c r="Y177" s="508"/>
      <c r="Z177" s="508"/>
      <c r="AA177" s="508" t="s">
        <v>27</v>
      </c>
      <c r="AB177" s="508" t="s">
        <v>430</v>
      </c>
      <c r="AC177" s="508"/>
      <c r="AD177" s="509">
        <v>0</v>
      </c>
      <c r="AE177" s="510" t="s">
        <v>25</v>
      </c>
    </row>
    <row r="178" spans="1:31" s="14" customFormat="1" ht="24" customHeight="1">
      <c r="A178" s="38"/>
      <c r="B178" s="38"/>
      <c r="C178" s="38"/>
      <c r="D178" s="445"/>
      <c r="E178" s="446"/>
      <c r="F178" s="446"/>
      <c r="G178" s="446"/>
      <c r="H178" s="446"/>
      <c r="I178" s="446"/>
      <c r="J178" s="446"/>
      <c r="K178" s="446"/>
      <c r="L178" s="446"/>
      <c r="M178" s="97"/>
      <c r="N178" s="60"/>
      <c r="O178" s="511" t="s">
        <v>531</v>
      </c>
      <c r="P178" s="511"/>
      <c r="Q178" s="511"/>
      <c r="R178" s="511"/>
      <c r="S178" s="469">
        <v>100000</v>
      </c>
      <c r="T178" s="477" t="s">
        <v>25</v>
      </c>
      <c r="U178" s="477" t="s">
        <v>26</v>
      </c>
      <c r="V178" s="469">
        <v>6</v>
      </c>
      <c r="W178" s="470" t="s">
        <v>108</v>
      </c>
      <c r="X178" s="469"/>
      <c r="Y178" s="508"/>
      <c r="Z178" s="508"/>
      <c r="AA178" s="508" t="s">
        <v>27</v>
      </c>
      <c r="AB178" s="508" t="s">
        <v>430</v>
      </c>
      <c r="AC178" s="508"/>
      <c r="AD178" s="509">
        <f>S178*V178</f>
        <v>600000</v>
      </c>
      <c r="AE178" s="510" t="s">
        <v>25</v>
      </c>
    </row>
    <row r="179" spans="1:31" s="14" customFormat="1" ht="24" customHeight="1">
      <c r="A179" s="38"/>
      <c r="B179" s="38"/>
      <c r="C179" s="38"/>
      <c r="D179" s="445"/>
      <c r="E179" s="446"/>
      <c r="F179" s="446"/>
      <c r="G179" s="446"/>
      <c r="H179" s="446"/>
      <c r="I179" s="446"/>
      <c r="J179" s="446"/>
      <c r="K179" s="446"/>
      <c r="L179" s="446"/>
      <c r="M179" s="97"/>
      <c r="N179" s="60"/>
      <c r="O179" s="511" t="s">
        <v>500</v>
      </c>
      <c r="P179" s="511"/>
      <c r="Q179" s="511"/>
      <c r="R179" s="511"/>
      <c r="S179" s="469">
        <v>150000</v>
      </c>
      <c r="T179" s="477" t="s">
        <v>25</v>
      </c>
      <c r="U179" s="477" t="s">
        <v>26</v>
      </c>
      <c r="V179" s="469">
        <v>6</v>
      </c>
      <c r="W179" s="470" t="s">
        <v>108</v>
      </c>
      <c r="X179" s="469"/>
      <c r="Y179" s="508"/>
      <c r="Z179" s="508"/>
      <c r="AA179" s="508" t="s">
        <v>27</v>
      </c>
      <c r="AB179" s="508" t="s">
        <v>430</v>
      </c>
      <c r="AC179" s="508"/>
      <c r="AD179" s="509">
        <f>S179*V179</f>
        <v>900000</v>
      </c>
      <c r="AE179" s="510" t="s">
        <v>25</v>
      </c>
    </row>
    <row r="180" spans="1:31" s="14" customFormat="1" ht="24" customHeight="1">
      <c r="A180" s="38"/>
      <c r="B180" s="38"/>
      <c r="C180" s="38"/>
      <c r="D180" s="136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435"/>
      <c r="P180" s="402"/>
      <c r="Q180" s="402"/>
      <c r="R180" s="399"/>
      <c r="S180" s="399"/>
      <c r="T180" s="399"/>
      <c r="U180" s="399"/>
      <c r="V180" s="399"/>
      <c r="W180" s="434"/>
      <c r="X180" s="434"/>
      <c r="Y180" s="434"/>
      <c r="Z180" s="434"/>
      <c r="AA180" s="434"/>
      <c r="AB180" s="434"/>
      <c r="AC180" s="121"/>
      <c r="AD180" s="475"/>
      <c r="AE180" s="122"/>
    </row>
    <row r="181" spans="1:31" s="14" customFormat="1" ht="24" customHeight="1">
      <c r="A181" s="38"/>
      <c r="B181" s="38"/>
      <c r="C181" s="28" t="s">
        <v>486</v>
      </c>
      <c r="D181" s="135">
        <v>150</v>
      </c>
      <c r="E181" s="102">
        <f>ROUND(AD181/1000,0)</f>
        <v>150</v>
      </c>
      <c r="F181" s="103">
        <f>SUMIF($AB$182:$AB$186,"보조",$AD$182:$AD$186)/1000</f>
        <v>0</v>
      </c>
      <c r="G181" s="103">
        <f>SUMIF($AB$182:$AB$186,"4종",$AD$182:$AD$186)/1000</f>
        <v>0</v>
      </c>
      <c r="H181" s="103">
        <f>SUMIF($AB$182:$AB$186,"6종",$AD$182:$AD$186)/1000</f>
        <v>0</v>
      </c>
      <c r="I181" s="103">
        <f>SUMIF($AB$182:$AB$183,"후원",$AD$182:$AD$183)/1000</f>
        <v>0</v>
      </c>
      <c r="J181" s="103">
        <f>SUMIF($AB$182:$AB$182,"입소",$AD$182:$AD$182)/1000</f>
        <v>150</v>
      </c>
      <c r="K181" s="103">
        <f>SUMIF($AB$182:$AB$186,"법인",$AD$182:$AD$186)/1000</f>
        <v>0</v>
      </c>
      <c r="L181" s="103">
        <f>SUMIF($AB$182:$AB$186,"잡수",$AD$182:$AD$186)/1000</f>
        <v>0</v>
      </c>
      <c r="M181" s="102">
        <f>E181-D181</f>
        <v>0</v>
      </c>
      <c r="N181" s="109">
        <f>IF(D181=0,0,M181/D181)</f>
        <v>0</v>
      </c>
      <c r="O181" s="290"/>
      <c r="P181" s="305"/>
      <c r="Q181" s="305"/>
      <c r="R181" s="458"/>
      <c r="S181" s="458"/>
      <c r="T181" s="458"/>
      <c r="U181" s="458"/>
      <c r="V181" s="458"/>
      <c r="W181" s="459" t="s">
        <v>410</v>
      </c>
      <c r="X181" s="459"/>
      <c r="Y181" s="459"/>
      <c r="Z181" s="459"/>
      <c r="AA181" s="459"/>
      <c r="AB181" s="459"/>
      <c r="AC181" s="460"/>
      <c r="AD181" s="461">
        <f>SUM(AD182:AD183)</f>
        <v>150000</v>
      </c>
      <c r="AE181" s="462" t="s">
        <v>25</v>
      </c>
    </row>
    <row r="182" spans="1:31" s="14" customFormat="1" ht="24" customHeight="1">
      <c r="A182" s="38"/>
      <c r="B182" s="38"/>
      <c r="C182" s="38" t="s">
        <v>103</v>
      </c>
      <c r="D182" s="445"/>
      <c r="E182" s="446"/>
      <c r="F182" s="446"/>
      <c r="G182" s="446"/>
      <c r="H182" s="446"/>
      <c r="I182" s="446"/>
      <c r="J182" s="446"/>
      <c r="K182" s="446"/>
      <c r="L182" s="446"/>
      <c r="M182" s="97"/>
      <c r="N182" s="60"/>
      <c r="O182" s="512" t="s">
        <v>485</v>
      </c>
      <c r="P182" s="513"/>
      <c r="Q182" s="513"/>
      <c r="R182" s="513"/>
      <c r="S182" s="514">
        <v>15000</v>
      </c>
      <c r="T182" s="514" t="s">
        <v>25</v>
      </c>
      <c r="U182" s="513" t="s">
        <v>26</v>
      </c>
      <c r="V182" s="514">
        <v>5</v>
      </c>
      <c r="W182" s="514" t="s">
        <v>108</v>
      </c>
      <c r="X182" s="513" t="s">
        <v>26</v>
      </c>
      <c r="Y182" s="515">
        <v>2</v>
      </c>
      <c r="Z182" s="516" t="s">
        <v>450</v>
      </c>
      <c r="AA182" s="516" t="s">
        <v>27</v>
      </c>
      <c r="AB182" s="514" t="s">
        <v>430</v>
      </c>
      <c r="AC182" s="517"/>
      <c r="AD182" s="514">
        <f>S182*V182*Y182</f>
        <v>150000</v>
      </c>
      <c r="AE182" s="518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05"/>
      <c r="P183" s="405"/>
      <c r="Q183" s="405"/>
      <c r="R183" s="405"/>
      <c r="S183" s="434"/>
      <c r="T183" s="297"/>
      <c r="U183" s="297"/>
      <c r="V183" s="434"/>
      <c r="W183" s="435"/>
      <c r="X183" s="434"/>
      <c r="Y183" s="405"/>
      <c r="Z183" s="405"/>
      <c r="AA183" s="405"/>
      <c r="AB183" s="405"/>
      <c r="AC183" s="405"/>
      <c r="AD183" s="457"/>
      <c r="AE183" s="406"/>
    </row>
    <row r="184" spans="1:31" s="14" customFormat="1" ht="24" customHeight="1">
      <c r="A184" s="38"/>
      <c r="B184" s="38"/>
      <c r="C184" s="28" t="s">
        <v>489</v>
      </c>
      <c r="D184" s="135">
        <v>340</v>
      </c>
      <c r="E184" s="102">
        <f>ROUND(AD184/1000,0)</f>
        <v>350</v>
      </c>
      <c r="F184" s="103">
        <f>SUMIF($AB$182:$AB$186,"보조",$AD$182:$AD$186)/1000</f>
        <v>0</v>
      </c>
      <c r="G184" s="103">
        <f>SUMIF($AB$182:$AB$186,"4종",$AD$182:$AD$186)/1000</f>
        <v>0</v>
      </c>
      <c r="H184" s="103">
        <f>SUMIF($AB$182:$AB$186,"6종",$AD$182:$AD$186)/1000</f>
        <v>0</v>
      </c>
      <c r="I184" s="103">
        <f>SUMIF($AB$185:$AB$186,"후원",$AD$185:$AD$186)/1000</f>
        <v>0</v>
      </c>
      <c r="J184" s="103">
        <f>SUMIF($AB$185:$AB$186,"입소",$AD$185:$AD$186)/1000</f>
        <v>350</v>
      </c>
      <c r="K184" s="103">
        <f>SUMIF($AB$182:$AB$186,"법인",$AD$182:$AD$186)/1000</f>
        <v>0</v>
      </c>
      <c r="L184" s="103">
        <v>0</v>
      </c>
      <c r="M184" s="102">
        <f>E184-D184</f>
        <v>10</v>
      </c>
      <c r="N184" s="109">
        <f>IF(D184=0,0,M184/D184)</f>
        <v>2.9411764705882353E-2</v>
      </c>
      <c r="O184" s="290"/>
      <c r="P184" s="305"/>
      <c r="Q184" s="305"/>
      <c r="R184" s="458"/>
      <c r="S184" s="458"/>
      <c r="T184" s="458"/>
      <c r="U184" s="458"/>
      <c r="V184" s="458"/>
      <c r="W184" s="459" t="s">
        <v>410</v>
      </c>
      <c r="X184" s="459"/>
      <c r="Y184" s="459"/>
      <c r="Z184" s="459"/>
      <c r="AA184" s="459"/>
      <c r="AB184" s="459"/>
      <c r="AC184" s="460"/>
      <c r="AD184" s="461">
        <f>SUM(AD185:AD186)</f>
        <v>350000</v>
      </c>
      <c r="AE184" s="462" t="s">
        <v>25</v>
      </c>
    </row>
    <row r="185" spans="1:31" s="14" customFormat="1" ht="24" customHeight="1">
      <c r="A185" s="38"/>
      <c r="B185" s="38"/>
      <c r="C185" s="38" t="s">
        <v>407</v>
      </c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70" t="s">
        <v>487</v>
      </c>
      <c r="P185" s="486"/>
      <c r="Q185" s="486"/>
      <c r="R185" s="483"/>
      <c r="S185" s="469">
        <v>300000</v>
      </c>
      <c r="T185" s="477" t="s">
        <v>25</v>
      </c>
      <c r="U185" s="477" t="s">
        <v>26</v>
      </c>
      <c r="V185" s="469">
        <v>1</v>
      </c>
      <c r="W185" s="470" t="s">
        <v>450</v>
      </c>
      <c r="X185" s="469"/>
      <c r="Y185" s="511"/>
      <c r="Z185" s="511" t="s">
        <v>27</v>
      </c>
      <c r="AA185" s="511"/>
      <c r="AB185" s="511" t="s">
        <v>430</v>
      </c>
      <c r="AC185" s="511"/>
      <c r="AD185" s="519">
        <f>S185*V185</f>
        <v>300000</v>
      </c>
      <c r="AE185" s="510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70" t="s">
        <v>488</v>
      </c>
      <c r="P186" s="486"/>
      <c r="Q186" s="486"/>
      <c r="R186" s="483"/>
      <c r="S186" s="469"/>
      <c r="T186" s="477"/>
      <c r="U186" s="477"/>
      <c r="V186" s="469"/>
      <c r="W186" s="470"/>
      <c r="X186" s="469"/>
      <c r="Y186" s="511"/>
      <c r="Z186" s="511"/>
      <c r="AA186" s="511"/>
      <c r="AB186" s="511" t="s">
        <v>430</v>
      </c>
      <c r="AC186" s="511"/>
      <c r="AD186" s="519">
        <v>50000</v>
      </c>
      <c r="AE186" s="510" t="s">
        <v>25</v>
      </c>
    </row>
    <row r="187" spans="1:31" s="11" customFormat="1" ht="21" customHeight="1">
      <c r="A187" s="27" t="s">
        <v>419</v>
      </c>
      <c r="B187" s="586" t="s">
        <v>20</v>
      </c>
      <c r="C187" s="587"/>
      <c r="D187" s="144">
        <f>D188</f>
        <v>0</v>
      </c>
      <c r="E187" s="144">
        <f>E188</f>
        <v>0</v>
      </c>
      <c r="F187" s="144">
        <f t="shared" ref="F187:L187" si="10">F188</f>
        <v>0</v>
      </c>
      <c r="G187" s="144">
        <f t="shared" si="10"/>
        <v>0</v>
      </c>
      <c r="H187" s="144">
        <f t="shared" si="10"/>
        <v>0</v>
      </c>
      <c r="I187" s="144">
        <f t="shared" si="10"/>
        <v>0</v>
      </c>
      <c r="J187" s="144">
        <f t="shared" si="10"/>
        <v>0</v>
      </c>
      <c r="K187" s="144">
        <f t="shared" si="10"/>
        <v>0</v>
      </c>
      <c r="L187" s="144">
        <f t="shared" si="10"/>
        <v>0</v>
      </c>
      <c r="M187" s="144">
        <f>E187-D187</f>
        <v>0</v>
      </c>
      <c r="N187" s="145">
        <f>IF(D187=0,0,M187/D187)</f>
        <v>0</v>
      </c>
      <c r="O187" s="432" t="s">
        <v>420</v>
      </c>
      <c r="P187" s="432"/>
      <c r="Q187" s="432"/>
      <c r="R187" s="432"/>
      <c r="S187" s="431"/>
      <c r="T187" s="431"/>
      <c r="U187" s="431"/>
      <c r="V187" s="431"/>
      <c r="W187" s="431"/>
      <c r="X187" s="431"/>
      <c r="Y187" s="431"/>
      <c r="Z187" s="431"/>
      <c r="AA187" s="431"/>
      <c r="AB187" s="431"/>
      <c r="AC187" s="431"/>
      <c r="AD187" s="431">
        <f>SUM(AD188)</f>
        <v>0</v>
      </c>
      <c r="AE187" s="146" t="s">
        <v>25</v>
      </c>
    </row>
    <row r="188" spans="1:31" s="11" customFormat="1" ht="21" customHeight="1">
      <c r="A188" s="37"/>
      <c r="B188" s="38" t="s">
        <v>419</v>
      </c>
      <c r="C188" s="38" t="s">
        <v>419</v>
      </c>
      <c r="D188" s="133">
        <v>0</v>
      </c>
      <c r="E188" s="97">
        <f>AD188/1000</f>
        <v>0</v>
      </c>
      <c r="F188" s="103">
        <f>SUMIF($AB$189:$AB$189,"보조",$AD$189:$AD$189)/1000</f>
        <v>0</v>
      </c>
      <c r="G188" s="103">
        <f>SUMIF($AB$189:$AB$189,"4종",$AD$189:$AD$189)/1000</f>
        <v>0</v>
      </c>
      <c r="H188" s="103">
        <f>SUMIF($AB$189:$AB$189,"6종",$AD$189:$AD$189)/1000</f>
        <v>0</v>
      </c>
      <c r="I188" s="103">
        <f>SUMIF($AB$189:$AB$189,"후원",$AD$189:$AD$189)/1000</f>
        <v>0</v>
      </c>
      <c r="J188" s="103">
        <f>SUMIF($AB$189:$AB$189,"입소",$AD$189:$AD$189)/1000</f>
        <v>0</v>
      </c>
      <c r="K188" s="103">
        <f>SUMIF($AB$189:$AB$189,"법인",$AD$189:$AD$189)/1000</f>
        <v>0</v>
      </c>
      <c r="L188" s="103">
        <f>SUMIF($AB$189:$AB$189,"잡수",$AD$189:$AD$189)/1000</f>
        <v>0</v>
      </c>
      <c r="M188" s="97">
        <f>E188-D188</f>
        <v>0</v>
      </c>
      <c r="N188" s="60">
        <f>IF(D188=0,0,M188/D188)</f>
        <v>0</v>
      </c>
      <c r="O188" s="105" t="s">
        <v>421</v>
      </c>
      <c r="P188" s="152"/>
      <c r="Q188" s="152"/>
      <c r="R188" s="152"/>
      <c r="S188" s="152"/>
      <c r="T188" s="151"/>
      <c r="U188" s="151"/>
      <c r="V188" s="151"/>
      <c r="W188" s="151"/>
      <c r="X188" s="151"/>
      <c r="Y188" s="431" t="s">
        <v>385</v>
      </c>
      <c r="Z188" s="87"/>
      <c r="AA188" s="87"/>
      <c r="AB188" s="87"/>
      <c r="AC188" s="107"/>
      <c r="AD188" s="107">
        <v>0</v>
      </c>
      <c r="AE188" s="108" t="s">
        <v>25</v>
      </c>
    </row>
    <row r="189" spans="1:31" s="1" customFormat="1" ht="21" customHeight="1">
      <c r="A189" s="48"/>
      <c r="B189" s="49"/>
      <c r="C189" s="49"/>
      <c r="D189" s="134"/>
      <c r="E189" s="100"/>
      <c r="F189" s="100"/>
      <c r="G189" s="100"/>
      <c r="H189" s="100"/>
      <c r="I189" s="100"/>
      <c r="J189" s="100"/>
      <c r="K189" s="100"/>
      <c r="L189" s="100"/>
      <c r="M189" s="100"/>
      <c r="N189" s="75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  <c r="AD189" s="356"/>
      <c r="AE189" s="532"/>
    </row>
    <row r="190" spans="1:31" s="11" customFormat="1" ht="21" customHeight="1">
      <c r="A190" s="37" t="s">
        <v>21</v>
      </c>
      <c r="B190" s="581" t="s">
        <v>20</v>
      </c>
      <c r="C190" s="582"/>
      <c r="D190" s="100">
        <f t="shared" ref="D190:L190" si="11">SUM(D191)+D200</f>
        <v>20</v>
      </c>
      <c r="E190" s="100">
        <f t="shared" si="11"/>
        <v>142</v>
      </c>
      <c r="F190" s="100">
        <f t="shared" si="11"/>
        <v>20</v>
      </c>
      <c r="G190" s="100">
        <f t="shared" si="11"/>
        <v>122</v>
      </c>
      <c r="H190" s="100">
        <f t="shared" si="11"/>
        <v>0</v>
      </c>
      <c r="I190" s="100">
        <f t="shared" si="11"/>
        <v>0</v>
      </c>
      <c r="J190" s="100">
        <f t="shared" si="11"/>
        <v>0</v>
      </c>
      <c r="K190" s="100">
        <f t="shared" si="11"/>
        <v>0</v>
      </c>
      <c r="L190" s="100">
        <f t="shared" si="11"/>
        <v>0</v>
      </c>
      <c r="M190" s="100">
        <f>E190-D190</f>
        <v>122</v>
      </c>
      <c r="N190" s="75">
        <f>IF(D190=0,0,M190/D190)</f>
        <v>6.1</v>
      </c>
      <c r="O190" s="531" t="s">
        <v>21</v>
      </c>
      <c r="P190" s="105"/>
      <c r="Q190" s="105"/>
      <c r="R190" s="105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f>AD191+AD200</f>
        <v>142000</v>
      </c>
      <c r="AE190" s="108" t="s">
        <v>25</v>
      </c>
    </row>
    <row r="191" spans="1:31" s="11" customFormat="1" ht="21" customHeight="1">
      <c r="A191" s="37"/>
      <c r="B191" s="38" t="s">
        <v>21</v>
      </c>
      <c r="C191" s="38" t="s">
        <v>21</v>
      </c>
      <c r="D191" s="97">
        <v>0</v>
      </c>
      <c r="E191" s="97">
        <f>SUM(F191:L191)</f>
        <v>0</v>
      </c>
      <c r="F191" s="103">
        <f>SUMIF($AB$191:$AB$198,"보조",$AD$191:$AD$198)/1000</f>
        <v>0</v>
      </c>
      <c r="G191" s="103">
        <f>SUMIF($AB$191:$AB$198,"4종",$AD$191:$AD$198)/1000</f>
        <v>0</v>
      </c>
      <c r="H191" s="103">
        <f>SUMIF($AB$191:$AB$198,"6종",$AD$191:$AD$198)/1000</f>
        <v>0</v>
      </c>
      <c r="I191" s="103">
        <f>SUMIF($AB$191:$AB$198,"후원",$AD$191:$AD$198)/1000</f>
        <v>0</v>
      </c>
      <c r="J191" s="103">
        <f>SUMIF($AB$191:$AB$198,"입소",$AD$191:$AD$198)/1000</f>
        <v>0</v>
      </c>
      <c r="K191" s="103">
        <f>SUMIF($AB$191:$AB$198,"법인",$AD$191:$AD$198)/1000</f>
        <v>0</v>
      </c>
      <c r="L191" s="103">
        <f>SUMIF($AB$191:$AB$198,"잡수",$AD$191:$AD$198)/1000</f>
        <v>0</v>
      </c>
      <c r="M191" s="97">
        <f>E191-D191</f>
        <v>0</v>
      </c>
      <c r="N191" s="60">
        <f>IF(D191=0,0,M191/D191)</f>
        <v>0</v>
      </c>
      <c r="O191" s="105" t="s">
        <v>52</v>
      </c>
      <c r="P191" s="152"/>
      <c r="Q191" s="152"/>
      <c r="R191" s="152"/>
      <c r="S191" s="152"/>
      <c r="T191" s="151"/>
      <c r="U191" s="151"/>
      <c r="V191" s="151"/>
      <c r="W191" s="151"/>
      <c r="X191" s="151"/>
      <c r="Y191" s="431" t="s">
        <v>371</v>
      </c>
      <c r="Z191" s="87"/>
      <c r="AA191" s="87"/>
      <c r="AB191" s="87"/>
      <c r="AC191" s="107"/>
      <c r="AD191" s="107">
        <f>SUM(AD192:AD198)</f>
        <v>0</v>
      </c>
      <c r="AE191" s="108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526" t="s">
        <v>503</v>
      </c>
      <c r="P192" s="526"/>
      <c r="Q192" s="526"/>
      <c r="R192" s="526"/>
      <c r="S192" s="526"/>
      <c r="T192" s="527"/>
      <c r="U192" s="527"/>
      <c r="V192" s="527"/>
      <c r="W192" s="527"/>
      <c r="X192" s="527"/>
      <c r="Y192" s="527"/>
      <c r="Z192" s="527"/>
      <c r="AA192" s="527"/>
      <c r="AB192" s="527" t="s">
        <v>430</v>
      </c>
      <c r="AC192" s="528"/>
      <c r="AD192" s="528">
        <v>0</v>
      </c>
      <c r="AE192" s="529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526" t="s">
        <v>504</v>
      </c>
      <c r="P193" s="526"/>
      <c r="Q193" s="526"/>
      <c r="R193" s="526"/>
      <c r="S193" s="526"/>
      <c r="T193" s="527"/>
      <c r="U193" s="527"/>
      <c r="V193" s="527"/>
      <c r="W193" s="527"/>
      <c r="X193" s="527"/>
      <c r="Y193" s="527"/>
      <c r="Z193" s="527"/>
      <c r="AA193" s="527"/>
      <c r="AB193" s="527" t="s">
        <v>430</v>
      </c>
      <c r="AC193" s="528"/>
      <c r="AD193" s="528">
        <v>0</v>
      </c>
      <c r="AE193" s="529" t="s">
        <v>25</v>
      </c>
    </row>
    <row r="194" spans="1:31" s="11" customFormat="1" ht="21" customHeight="1">
      <c r="A194" s="37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526" t="s">
        <v>505</v>
      </c>
      <c r="P194" s="526"/>
      <c r="Q194" s="526"/>
      <c r="R194" s="526"/>
      <c r="S194" s="526"/>
      <c r="T194" s="527"/>
      <c r="U194" s="527"/>
      <c r="V194" s="527"/>
      <c r="W194" s="527"/>
      <c r="X194" s="527"/>
      <c r="Y194" s="527"/>
      <c r="Z194" s="527"/>
      <c r="AA194" s="527"/>
      <c r="AB194" s="527" t="s">
        <v>470</v>
      </c>
      <c r="AC194" s="528"/>
      <c r="AD194" s="528">
        <v>0</v>
      </c>
      <c r="AE194" s="529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526" t="s">
        <v>506</v>
      </c>
      <c r="P195" s="526"/>
      <c r="Q195" s="526"/>
      <c r="R195" s="526"/>
      <c r="S195" s="526"/>
      <c r="T195" s="527"/>
      <c r="U195" s="527"/>
      <c r="V195" s="527"/>
      <c r="W195" s="527"/>
      <c r="X195" s="527"/>
      <c r="Y195" s="527"/>
      <c r="Z195" s="527"/>
      <c r="AA195" s="527"/>
      <c r="AB195" s="527" t="s">
        <v>470</v>
      </c>
      <c r="AC195" s="528"/>
      <c r="AD195" s="528">
        <v>0</v>
      </c>
      <c r="AE195" s="529" t="s">
        <v>25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526" t="s">
        <v>507</v>
      </c>
      <c r="P196" s="526"/>
      <c r="Q196" s="526"/>
      <c r="R196" s="526"/>
      <c r="S196" s="526"/>
      <c r="T196" s="527"/>
      <c r="U196" s="527"/>
      <c r="V196" s="527"/>
      <c r="W196" s="527"/>
      <c r="X196" s="527"/>
      <c r="Y196" s="527"/>
      <c r="Z196" s="527"/>
      <c r="AA196" s="527"/>
      <c r="AB196" s="527" t="s">
        <v>447</v>
      </c>
      <c r="AC196" s="528"/>
      <c r="AD196" s="528">
        <v>0</v>
      </c>
      <c r="AE196" s="529" t="s">
        <v>25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526" t="s">
        <v>508</v>
      </c>
      <c r="P197" s="526"/>
      <c r="Q197" s="526"/>
      <c r="R197" s="526"/>
      <c r="S197" s="526"/>
      <c r="T197" s="527"/>
      <c r="U197" s="527"/>
      <c r="V197" s="527"/>
      <c r="W197" s="527"/>
      <c r="X197" s="527"/>
      <c r="Y197" s="527"/>
      <c r="Z197" s="527"/>
      <c r="AA197" s="527"/>
      <c r="AB197" s="527" t="s">
        <v>447</v>
      </c>
      <c r="AC197" s="528"/>
      <c r="AD197" s="528">
        <v>0</v>
      </c>
      <c r="AE197" s="529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526" t="s">
        <v>509</v>
      </c>
      <c r="P198" s="526"/>
      <c r="Q198" s="526"/>
      <c r="R198" s="526"/>
      <c r="S198" s="526"/>
      <c r="T198" s="527"/>
      <c r="U198" s="527"/>
      <c r="V198" s="527"/>
      <c r="W198" s="527"/>
      <c r="X198" s="527"/>
      <c r="Y198" s="527"/>
      <c r="Z198" s="527"/>
      <c r="AA198" s="527"/>
      <c r="AB198" s="527" t="s">
        <v>510</v>
      </c>
      <c r="AC198" s="528"/>
      <c r="AD198" s="528">
        <v>0</v>
      </c>
      <c r="AE198" s="529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526"/>
      <c r="P199" s="526"/>
      <c r="Q199" s="526"/>
      <c r="R199" s="526"/>
      <c r="S199" s="526"/>
      <c r="T199" s="527"/>
      <c r="U199" s="527"/>
      <c r="V199" s="527"/>
      <c r="W199" s="527"/>
      <c r="X199" s="527"/>
      <c r="Y199" s="527"/>
      <c r="Z199" s="527"/>
      <c r="AA199" s="527"/>
      <c r="AB199" s="527"/>
      <c r="AC199" s="528"/>
      <c r="AD199" s="528"/>
      <c r="AE199" s="529"/>
    </row>
    <row r="200" spans="1:31" s="11" customFormat="1" ht="21" customHeight="1">
      <c r="A200" s="37"/>
      <c r="B200" s="38"/>
      <c r="C200" s="28" t="s">
        <v>132</v>
      </c>
      <c r="D200" s="135">
        <v>20</v>
      </c>
      <c r="E200" s="102">
        <f>AD200/1000</f>
        <v>142</v>
      </c>
      <c r="F200" s="103">
        <f>SUMIF($AB$201:$AB$207,"보조",$AD$201:$AD$207)/1000</f>
        <v>20</v>
      </c>
      <c r="G200" s="103">
        <f>SUMIF($AB$201:$AB$207,"4종",$AD$201:$AD$207)/1000</f>
        <v>122</v>
      </c>
      <c r="H200" s="103">
        <f>SUMIF($AB$201:$AB$207,"6종",$AD$201:$AD$207)/1000</f>
        <v>0</v>
      </c>
      <c r="I200" s="103">
        <f>SUMIF($AB$201:$AB$207,"후원",$AD$201:$AD$207)/1000</f>
        <v>0</v>
      </c>
      <c r="J200" s="103">
        <f>SUMIF($AB$201:$AB$207,"입소",$AD$201:$AD$207)/1000</f>
        <v>0</v>
      </c>
      <c r="K200" s="103">
        <f>SUMIF($AB$201:$AB$207,"법인",$AD$201:$AD$207)/1000</f>
        <v>0</v>
      </c>
      <c r="L200" s="103">
        <f>SUMIF($AB$201:$AB$207,"잡수",$AD$201:$AD$207)/1000</f>
        <v>0</v>
      </c>
      <c r="M200" s="102">
        <f>E200-D200</f>
        <v>122</v>
      </c>
      <c r="N200" s="109">
        <f>IF(D200=0,0,M200/D200)</f>
        <v>6.1</v>
      </c>
      <c r="O200" s="304" t="s">
        <v>414</v>
      </c>
      <c r="P200" s="432"/>
      <c r="Q200" s="432"/>
      <c r="R200" s="154"/>
      <c r="S200" s="154"/>
      <c r="T200" s="153"/>
      <c r="U200" s="153"/>
      <c r="V200" s="153"/>
      <c r="W200" s="153"/>
      <c r="X200" s="153"/>
      <c r="Y200" s="153" t="s">
        <v>371</v>
      </c>
      <c r="Z200" s="153"/>
      <c r="AA200" s="153"/>
      <c r="AB200" s="153"/>
      <c r="AC200" s="82"/>
      <c r="AD200" s="456">
        <f>ROUNDUP(SUM(AD201:AD206),-3)</f>
        <v>142000</v>
      </c>
      <c r="AE200" s="83" t="s">
        <v>25</v>
      </c>
    </row>
    <row r="201" spans="1:31" s="11" customFormat="1" ht="21" customHeight="1">
      <c r="A201" s="37"/>
      <c r="B201" s="38"/>
      <c r="C201" s="38" t="s">
        <v>413</v>
      </c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6" t="s">
        <v>415</v>
      </c>
      <c r="P201" s="476"/>
      <c r="Q201" s="476"/>
      <c r="R201" s="476"/>
      <c r="S201" s="475"/>
      <c r="T201" s="475"/>
      <c r="U201" s="475"/>
      <c r="V201" s="475"/>
      <c r="W201" s="475"/>
      <c r="X201" s="475"/>
      <c r="Y201" s="475"/>
      <c r="Z201" s="475"/>
      <c r="AA201" s="475"/>
      <c r="AB201" s="475" t="s">
        <v>335</v>
      </c>
      <c r="AC201" s="475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6" t="s">
        <v>416</v>
      </c>
      <c r="P202" s="476"/>
      <c r="Q202" s="476"/>
      <c r="R202" s="476"/>
      <c r="S202" s="475"/>
      <c r="T202" s="475"/>
      <c r="U202" s="475"/>
      <c r="V202" s="475"/>
      <c r="W202" s="475"/>
      <c r="X202" s="475"/>
      <c r="Y202" s="475"/>
      <c r="Z202" s="475"/>
      <c r="AA202" s="475"/>
      <c r="AB202" s="475" t="s">
        <v>335</v>
      </c>
      <c r="AC202" s="475"/>
      <c r="AD202" s="278">
        <v>20000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6" t="s">
        <v>417</v>
      </c>
      <c r="P203" s="476"/>
      <c r="Q203" s="476"/>
      <c r="R203" s="476"/>
      <c r="S203" s="475"/>
      <c r="T203" s="475"/>
      <c r="U203" s="475"/>
      <c r="V203" s="475"/>
      <c r="W203" s="475"/>
      <c r="X203" s="475"/>
      <c r="Y203" s="475"/>
      <c r="Z203" s="475"/>
      <c r="AA203" s="475"/>
      <c r="AB203" s="475" t="s">
        <v>294</v>
      </c>
      <c r="AC203" s="475"/>
      <c r="AD203" s="278">
        <v>120000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6" t="s">
        <v>418</v>
      </c>
      <c r="P204" s="476"/>
      <c r="Q204" s="476"/>
      <c r="R204" s="476"/>
      <c r="S204" s="475"/>
      <c r="T204" s="475"/>
      <c r="U204" s="475"/>
      <c r="V204" s="475"/>
      <c r="W204" s="475"/>
      <c r="X204" s="475"/>
      <c r="Y204" s="475"/>
      <c r="Z204" s="475"/>
      <c r="AA204" s="475"/>
      <c r="AB204" s="475" t="s">
        <v>294</v>
      </c>
      <c r="AC204" s="475"/>
      <c r="AD204" s="278">
        <v>2000</v>
      </c>
      <c r="AE204" s="122" t="s">
        <v>56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76" t="s">
        <v>434</v>
      </c>
      <c r="P205" s="476"/>
      <c r="Q205" s="476"/>
      <c r="R205" s="476"/>
      <c r="S205" s="475"/>
      <c r="T205" s="475"/>
      <c r="U205" s="475"/>
      <c r="V205" s="475"/>
      <c r="W205" s="475"/>
      <c r="X205" s="475"/>
      <c r="Y205" s="475"/>
      <c r="Z205" s="475"/>
      <c r="AA205" s="475"/>
      <c r="AB205" s="475" t="s">
        <v>308</v>
      </c>
      <c r="AC205" s="475"/>
      <c r="AD205" s="278">
        <v>0</v>
      </c>
      <c r="AE205" s="12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76" t="s">
        <v>435</v>
      </c>
      <c r="P206" s="476"/>
      <c r="Q206" s="476"/>
      <c r="R206" s="476"/>
      <c r="S206" s="475"/>
      <c r="T206" s="475"/>
      <c r="U206" s="475"/>
      <c r="V206" s="475"/>
      <c r="W206" s="475"/>
      <c r="X206" s="475"/>
      <c r="Y206" s="475"/>
      <c r="Z206" s="475"/>
      <c r="AA206" s="475"/>
      <c r="AB206" s="475" t="s">
        <v>308</v>
      </c>
      <c r="AC206" s="475"/>
      <c r="AD206" s="528">
        <v>0</v>
      </c>
      <c r="AE206" s="122" t="s">
        <v>56</v>
      </c>
    </row>
    <row r="207" spans="1:31" s="1" customFormat="1" ht="21" customHeight="1" thickBot="1">
      <c r="A207" s="123"/>
      <c r="B207" s="90"/>
      <c r="C207" s="90"/>
      <c r="D207" s="138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409"/>
      <c r="P207" s="409"/>
      <c r="Q207" s="409"/>
      <c r="R207" s="409"/>
      <c r="S207" s="410"/>
      <c r="T207" s="410"/>
      <c r="U207" s="410"/>
      <c r="V207" s="410"/>
      <c r="W207" s="410"/>
      <c r="X207" s="410"/>
      <c r="Y207" s="410"/>
      <c r="Z207" s="410"/>
      <c r="AA207" s="410"/>
      <c r="AB207" s="410"/>
      <c r="AC207" s="410"/>
      <c r="AD207" s="410"/>
      <c r="AE207" s="411"/>
    </row>
    <row r="209" spans="5:6" ht="21" customHeight="1">
      <c r="E209" s="294"/>
      <c r="F209" s="294"/>
    </row>
    <row r="210" spans="5:6" ht="21" customHeight="1">
      <c r="E210" s="294"/>
      <c r="F210" s="294"/>
    </row>
    <row r="211" spans="5:6" ht="21" customHeight="1">
      <c r="F211" s="294"/>
    </row>
    <row r="212" spans="5:6" ht="21" customHeight="1">
      <c r="E212" s="294"/>
      <c r="F212" s="294"/>
    </row>
    <row r="213" spans="5:6" ht="21" customHeight="1">
      <c r="E213" s="294"/>
      <c r="F213" s="294"/>
    </row>
    <row r="214" spans="5:6" ht="21" customHeight="1">
      <c r="E214" s="294"/>
      <c r="F214" s="294"/>
    </row>
  </sheetData>
  <mergeCells count="19">
    <mergeCell ref="V103:W103"/>
    <mergeCell ref="A1:D1"/>
    <mergeCell ref="A2:C2"/>
    <mergeCell ref="D2:D3"/>
    <mergeCell ref="E2:L2"/>
    <mergeCell ref="M2:N2"/>
    <mergeCell ref="O2:AE3"/>
    <mergeCell ref="A4:C4"/>
    <mergeCell ref="B5:C5"/>
    <mergeCell ref="V72:W72"/>
    <mergeCell ref="B190:C190"/>
    <mergeCell ref="B111:C111"/>
    <mergeCell ref="B135:C135"/>
    <mergeCell ref="B187:C187"/>
    <mergeCell ref="O117:R117"/>
    <mergeCell ref="O114:R114"/>
    <mergeCell ref="O115:R115"/>
    <mergeCell ref="O133:R133"/>
    <mergeCell ref="O134:R13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2022-11-28T06:53:58Z</cp:lastPrinted>
  <dcterms:created xsi:type="dcterms:W3CDTF">2003-12-18T04:11:57Z</dcterms:created>
  <dcterms:modified xsi:type="dcterms:W3CDTF">2023-09-26T03:12:56Z</dcterms:modified>
</cp:coreProperties>
</file>