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2차 추경\"/>
    </mc:Choice>
  </mc:AlternateContent>
  <bookViews>
    <workbookView xWindow="0" yWindow="0" windowWidth="1437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세입!$A$1:$Y$216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X66" i="4" l="1"/>
  <c r="I26" i="18" l="1"/>
  <c r="I24" i="18"/>
  <c r="I17" i="18"/>
  <c r="I12" i="18"/>
  <c r="I8" i="18"/>
  <c r="I7" i="18" s="1"/>
  <c r="D22" i="18"/>
  <c r="D20" i="18"/>
  <c r="D15" i="18"/>
  <c r="D10" i="18"/>
  <c r="D7" i="18" s="1"/>
  <c r="D8" i="18"/>
  <c r="K18" i="18" l="1"/>
  <c r="K20" i="18"/>
  <c r="K21" i="18"/>
  <c r="X76" i="4" l="1"/>
  <c r="X74" i="4"/>
  <c r="X71" i="4"/>
  <c r="X176" i="4" l="1"/>
  <c r="AD88" i="31" l="1"/>
  <c r="F16" i="18" l="1"/>
  <c r="K27" i="18" l="1"/>
  <c r="E15" i="18" l="1"/>
  <c r="X27" i="4" l="1"/>
  <c r="X147" i="4" l="1"/>
  <c r="AD131" i="31" l="1"/>
  <c r="X7" i="4" l="1"/>
  <c r="X29" i="4" l="1"/>
  <c r="F23" i="18"/>
  <c r="F19" i="18"/>
  <c r="F18" i="18" s="1"/>
  <c r="F17" i="18"/>
  <c r="F15" i="18" s="1"/>
  <c r="K22" i="18"/>
  <c r="K13" i="18" l="1"/>
  <c r="F13" i="18"/>
  <c r="AD79" i="31" l="1"/>
  <c r="AD89" i="31" l="1"/>
  <c r="X154" i="4" l="1"/>
  <c r="AD105" i="31"/>
  <c r="AD183" i="31" l="1"/>
  <c r="AD96" i="31" l="1"/>
  <c r="K10" i="18" l="1"/>
  <c r="G196" i="31" l="1"/>
  <c r="AD137" i="31"/>
  <c r="X65" i="4"/>
  <c r="AD23" i="31" l="1"/>
  <c r="AD20" i="31"/>
  <c r="AD17" i="31"/>
  <c r="AD14" i="31"/>
  <c r="D62" i="31"/>
  <c r="M126" i="4"/>
  <c r="M103" i="4"/>
  <c r="X103" i="4" s="1"/>
  <c r="M100" i="4"/>
  <c r="M97" i="4"/>
  <c r="M94" i="4"/>
  <c r="M90" i="4"/>
  <c r="X39" i="4"/>
  <c r="X42" i="4"/>
  <c r="D189" i="31" l="1"/>
  <c r="L196" i="31"/>
  <c r="K196" i="31"/>
  <c r="J196" i="31"/>
  <c r="J189" i="31" s="1"/>
  <c r="I196" i="31"/>
  <c r="H196" i="31"/>
  <c r="F196" i="31"/>
  <c r="L190" i="31"/>
  <c r="K190" i="31"/>
  <c r="J190" i="31"/>
  <c r="I190" i="31"/>
  <c r="H190" i="31"/>
  <c r="G190" i="31"/>
  <c r="G189" i="31" s="1"/>
  <c r="F190" i="31"/>
  <c r="AD196" i="31"/>
  <c r="E196" i="31" s="1"/>
  <c r="M196" i="31" s="1"/>
  <c r="N196" i="31" s="1"/>
  <c r="AD190" i="31"/>
  <c r="E190" i="31" s="1"/>
  <c r="D158" i="31"/>
  <c r="J26" i="18"/>
  <c r="K26" i="18"/>
  <c r="J24" i="18"/>
  <c r="K25" i="18"/>
  <c r="K24" i="18" s="1"/>
  <c r="F189" i="31" l="1"/>
  <c r="K189" i="31"/>
  <c r="H189" i="31"/>
  <c r="L189" i="31"/>
  <c r="I189" i="31"/>
  <c r="AD189" i="31"/>
  <c r="AD94" i="31"/>
  <c r="AD73" i="31" l="1"/>
  <c r="X102" i="4" l="1"/>
  <c r="M106" i="4"/>
  <c r="M110" i="4" s="1"/>
  <c r="X110" i="4" s="1"/>
  <c r="X106" i="4" l="1"/>
  <c r="X105" i="4" s="1"/>
  <c r="M122" i="4"/>
  <c r="X122" i="4" s="1"/>
  <c r="M119" i="4"/>
  <c r="X119" i="4" s="1"/>
  <c r="M113" i="4"/>
  <c r="X113" i="4" s="1"/>
  <c r="M45" i="4"/>
  <c r="X45" i="4" s="1"/>
  <c r="X41" i="4"/>
  <c r="E22" i="18" l="1"/>
  <c r="E20" i="18"/>
  <c r="J164" i="31"/>
  <c r="AD182" i="31" l="1"/>
  <c r="AD181" i="31" s="1"/>
  <c r="AD179" i="31"/>
  <c r="J178" i="31" s="1"/>
  <c r="AD171" i="31"/>
  <c r="AD170" i="31" s="1"/>
  <c r="F170" i="31"/>
  <c r="G170" i="31"/>
  <c r="H170" i="31"/>
  <c r="I170" i="31"/>
  <c r="K170" i="31"/>
  <c r="L170" i="31"/>
  <c r="AD168" i="31"/>
  <c r="AD164" i="31"/>
  <c r="E164" i="31" s="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2" i="31"/>
  <c r="AD151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87" i="31"/>
  <c r="AD86" i="31"/>
  <c r="AD78" i="31"/>
  <c r="AD77" i="31"/>
  <c r="AD173" i="31" l="1"/>
  <c r="E170" i="31"/>
  <c r="M170" i="31" s="1"/>
  <c r="N170" i="31" s="1"/>
  <c r="AD85" i="31"/>
  <c r="J170" i="31"/>
  <c r="AD103" i="31"/>
  <c r="AD134" i="31"/>
  <c r="AD93" i="31"/>
  <c r="H187" i="31" l="1"/>
  <c r="G187" i="31"/>
  <c r="H181" i="31"/>
  <c r="G181" i="31"/>
  <c r="H178" i="31"/>
  <c r="G178" i="31"/>
  <c r="H173" i="31"/>
  <c r="G173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87" i="31"/>
  <c r="L187" i="31"/>
  <c r="L186" i="31" s="1"/>
  <c r="K187" i="31"/>
  <c r="K186" i="31" s="1"/>
  <c r="J187" i="31"/>
  <c r="J186" i="31" s="1"/>
  <c r="I187" i="31"/>
  <c r="I186" i="31" s="1"/>
  <c r="H186" i="31"/>
  <c r="G186" i="31"/>
  <c r="F187" i="31"/>
  <c r="F186" i="31" s="1"/>
  <c r="E187" i="31"/>
  <c r="E186" i="31" s="1"/>
  <c r="AD186" i="31"/>
  <c r="D186" i="31"/>
  <c r="N186" i="31" s="1"/>
  <c r="E181" i="31"/>
  <c r="M181" i="31" s="1"/>
  <c r="K181" i="31"/>
  <c r="J181" i="31"/>
  <c r="I181" i="31"/>
  <c r="F181" i="31"/>
  <c r="AD178" i="31"/>
  <c r="E178" i="31" s="1"/>
  <c r="L178" i="31"/>
  <c r="K178" i="31"/>
  <c r="I178" i="31"/>
  <c r="F178" i="31"/>
  <c r="E173" i="31"/>
  <c r="L173" i="31"/>
  <c r="K173" i="31"/>
  <c r="J173" i="31"/>
  <c r="I173" i="31"/>
  <c r="F173" i="31"/>
  <c r="AD167" i="31"/>
  <c r="E167" i="31" s="1"/>
  <c r="L167" i="31"/>
  <c r="K167" i="31"/>
  <c r="J167" i="31"/>
  <c r="I167" i="31"/>
  <c r="F167" i="31"/>
  <c r="AD159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AD13" i="31" s="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1" i="31" l="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AD158" i="31"/>
  <c r="G134" i="31"/>
  <c r="G150" i="31"/>
  <c r="AD31" i="31"/>
  <c r="E13" i="31"/>
  <c r="D132" i="31"/>
  <c r="D5" i="31"/>
  <c r="L134" i="31"/>
  <c r="L133" i="31" s="1"/>
  <c r="AD126" i="31"/>
  <c r="E126" i="31" s="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86" i="31"/>
  <c r="F75" i="31"/>
  <c r="E93" i="31"/>
  <c r="M93" i="31" s="1"/>
  <c r="N93" i="31" s="1"/>
  <c r="J62" i="31"/>
  <c r="L111" i="31"/>
  <c r="L110" i="31" s="1"/>
  <c r="K103" i="31"/>
  <c r="M187" i="31"/>
  <c r="M178" i="31"/>
  <c r="N178" i="31" s="1"/>
  <c r="M143" i="31"/>
  <c r="N143" i="31" s="1"/>
  <c r="M167" i="31"/>
  <c r="N167" i="31" s="1"/>
  <c r="K13" i="31"/>
  <c r="L6" i="31"/>
  <c r="F134" i="31"/>
  <c r="M173" i="31"/>
  <c r="N173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J5" i="31" l="1"/>
  <c r="D4" i="31"/>
  <c r="M190" i="31"/>
  <c r="N190" i="31" s="1"/>
  <c r="E189" i="31"/>
  <c r="M189" i="31" s="1"/>
  <c r="N189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E30" i="31" l="1"/>
  <c r="M30" i="31" s="1"/>
  <c r="N30" i="31" s="1"/>
  <c r="K38" i="3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F6" i="31"/>
  <c r="E38" i="31" l="1"/>
  <c r="E6" i="31" s="1"/>
  <c r="AD6" i="31"/>
  <c r="AD5" i="31" s="1"/>
  <c r="AD4" i="31" s="1"/>
  <c r="F5" i="31"/>
  <c r="F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92" i="4" l="1"/>
  <c r="X140" i="4" l="1"/>
  <c r="X100" i="4"/>
  <c r="X97" i="4"/>
  <c r="X94" i="4"/>
  <c r="X90" i="4"/>
  <c r="X99" i="4" l="1"/>
  <c r="X96" i="4"/>
  <c r="X93" i="4"/>
  <c r="X89" i="4"/>
  <c r="X121" i="4"/>
  <c r="M49" i="4"/>
  <c r="X49" i="4" s="1"/>
  <c r="X36" i="4"/>
  <c r="X33" i="4"/>
  <c r="X92" i="4" l="1"/>
  <c r="X35" i="4"/>
  <c r="X118" i="4"/>
  <c r="X109" i="4"/>
  <c r="M116" i="4"/>
  <c r="X116" i="4" s="1"/>
  <c r="X38" i="4"/>
  <c r="M52" i="4"/>
  <c r="X52" i="4" s="1"/>
  <c r="M58" i="4"/>
  <c r="X58" i="4" s="1"/>
  <c r="X48" i="4"/>
  <c r="M61" i="4"/>
  <c r="X61" i="4" s="1"/>
  <c r="X32" i="4"/>
  <c r="M55" i="4" l="1"/>
  <c r="X112" i="4"/>
  <c r="X115" i="4"/>
  <c r="X57" i="4"/>
  <c r="X60" i="4"/>
  <c r="X6" i="4"/>
  <c r="X5" i="4" s="1"/>
  <c r="X55" i="4" l="1"/>
  <c r="X54" i="4" s="1"/>
  <c r="X108" i="4"/>
  <c r="X88" i="4" s="1"/>
  <c r="X51" i="4"/>
  <c r="X47" i="4" l="1"/>
  <c r="X153" i="4" l="1"/>
  <c r="X16" i="4"/>
  <c r="X216" i="4" l="1"/>
  <c r="X187" i="4"/>
  <c r="X179" i="4"/>
  <c r="J17" i="18" l="1"/>
  <c r="J12" i="18"/>
  <c r="J8" i="18"/>
  <c r="K23" i="18"/>
  <c r="K19" i="18"/>
  <c r="K15" i="18"/>
  <c r="K11" i="18"/>
  <c r="E10" i="18"/>
  <c r="E8" i="18"/>
  <c r="K17" i="18" l="1"/>
  <c r="J7" i="18"/>
  <c r="E7" i="18"/>
  <c r="X137" i="4" l="1"/>
  <c r="X136" i="4" s="1"/>
  <c r="X126" i="4"/>
  <c r="X19" i="4"/>
  <c r="F18" i="4" l="1"/>
  <c r="G18" i="4" s="1"/>
  <c r="H18" i="4" s="1"/>
  <c r="E14" i="4" l="1"/>
  <c r="X68" i="4"/>
  <c r="F21" i="4"/>
  <c r="G21" i="4" s="1"/>
  <c r="H21" i="4" s="1"/>
  <c r="X131" i="4" l="1"/>
  <c r="X130" i="4"/>
  <c r="X129" i="4"/>
  <c r="E175" i="4" l="1"/>
  <c r="E211" i="4"/>
  <c r="E203" i="4"/>
  <c r="E200" i="4"/>
  <c r="H197" i="4"/>
  <c r="E196" i="4"/>
  <c r="H196" i="4" s="1"/>
  <c r="E191" i="4"/>
  <c r="E166" i="4"/>
  <c r="E170" i="4"/>
  <c r="E146" i="4"/>
  <c r="E153" i="4"/>
  <c r="E142" i="4"/>
  <c r="E84" i="4"/>
  <c r="E165" i="4" l="1"/>
  <c r="E145" i="4"/>
  <c r="E199" i="4"/>
  <c r="E174" i="4"/>
  <c r="E23" i="4"/>
  <c r="H201" i="4"/>
  <c r="H200" i="4"/>
  <c r="H167" i="4"/>
  <c r="H166" i="4"/>
  <c r="H163" i="4"/>
  <c r="H160" i="4"/>
  <c r="X152" i="4"/>
  <c r="X151" i="4" s="1"/>
  <c r="F151" i="4" s="1"/>
  <c r="G151" i="4" s="1"/>
  <c r="H151" i="4" s="1"/>
  <c r="X215" i="4"/>
  <c r="X212" i="4" s="1"/>
  <c r="E13" i="4" l="1"/>
  <c r="F212" i="4"/>
  <c r="F211" i="4" s="1"/>
  <c r="G211" i="4" s="1"/>
  <c r="H211" i="4" s="1"/>
  <c r="G212" i="4" l="1"/>
  <c r="H212" i="4" s="1"/>
  <c r="X204" i="4" l="1"/>
  <c r="X191" i="4"/>
  <c r="F187" i="4"/>
  <c r="G187" i="4" s="1"/>
  <c r="H187" i="4" s="1"/>
  <c r="X183" i="4"/>
  <c r="F183" i="4" s="1"/>
  <c r="G183" i="4" s="1"/>
  <c r="H183" i="4" s="1"/>
  <c r="F179" i="4"/>
  <c r="G179" i="4" s="1"/>
  <c r="H179" i="4" s="1"/>
  <c r="F176" i="4"/>
  <c r="G176" i="4" s="1"/>
  <c r="H176" i="4" s="1"/>
  <c r="E162" i="4"/>
  <c r="H162" i="4" s="1"/>
  <c r="E159" i="4"/>
  <c r="H159" i="4" s="1"/>
  <c r="X162" i="4"/>
  <c r="X160" i="4"/>
  <c r="X159" i="4" s="1"/>
  <c r="F163" i="4"/>
  <c r="X82" i="4"/>
  <c r="X81" i="4" s="1"/>
  <c r="F81" i="4" s="1"/>
  <c r="G81" i="4" s="1"/>
  <c r="H81" i="4" s="1"/>
  <c r="X79" i="4"/>
  <c r="X78" i="4" s="1"/>
  <c r="X132" i="4"/>
  <c r="X134" i="4"/>
  <c r="X72" i="4"/>
  <c r="X73" i="4"/>
  <c r="X44" i="4"/>
  <c r="X31" i="4" s="1"/>
  <c r="F204" i="4" l="1"/>
  <c r="G204" i="4" s="1"/>
  <c r="H204" i="4" s="1"/>
  <c r="X203" i="4"/>
  <c r="F160" i="4"/>
  <c r="G160" i="4" s="1"/>
  <c r="F171" i="4"/>
  <c r="X64" i="4"/>
  <c r="F64" i="4" s="1"/>
  <c r="G64" i="4" s="1"/>
  <c r="H64" i="4" s="1"/>
  <c r="F162" i="4"/>
  <c r="G162" i="4" s="1"/>
  <c r="G163" i="4"/>
  <c r="X139" i="4"/>
  <c r="F139" i="4" s="1"/>
  <c r="G139" i="4" s="1"/>
  <c r="H139" i="4" s="1"/>
  <c r="X125" i="4"/>
  <c r="X158" i="4"/>
  <c r="X175" i="4"/>
  <c r="F192" i="4"/>
  <c r="F175" i="4"/>
  <c r="G175" i="4" s="1"/>
  <c r="H175" i="4" s="1"/>
  <c r="E158" i="4"/>
  <c r="X70" i="4"/>
  <c r="F70" i="4" s="1"/>
  <c r="G70" i="4" s="1"/>
  <c r="H70" i="4" s="1"/>
  <c r="X128" i="4"/>
  <c r="F128" i="4" s="1"/>
  <c r="G128" i="4" s="1"/>
  <c r="H128" i="4" s="1"/>
  <c r="F203" i="4" l="1"/>
  <c r="G203" i="4" s="1"/>
  <c r="H203" i="4" s="1"/>
  <c r="F159" i="4"/>
  <c r="G159" i="4" s="1"/>
  <c r="F170" i="4"/>
  <c r="G170" i="4" s="1"/>
  <c r="H170" i="4" s="1"/>
  <c r="G171" i="4"/>
  <c r="H171" i="4" s="1"/>
  <c r="E4" i="4"/>
  <c r="H158" i="4"/>
  <c r="F191" i="4"/>
  <c r="G191" i="4" s="1"/>
  <c r="H191" i="4" s="1"/>
  <c r="G192" i="4"/>
  <c r="H192" i="4" s="1"/>
  <c r="F158" i="4" l="1"/>
  <c r="G158" i="4" s="1"/>
  <c r="F88" i="4"/>
  <c r="G88" i="4" s="1"/>
  <c r="H88" i="4" s="1"/>
  <c r="F78" i="4"/>
  <c r="G78" i="4" s="1"/>
  <c r="H78" i="4" s="1"/>
  <c r="F136" i="4" l="1"/>
  <c r="G136" i="4" s="1"/>
  <c r="H136" i="4" s="1"/>
  <c r="X28" i="4" l="1"/>
  <c r="F27" i="4" l="1"/>
  <c r="G27" i="4" s="1"/>
  <c r="H27" i="4" s="1"/>
  <c r="X25" i="4" l="1"/>
  <c r="X11" i="4"/>
  <c r="F143" i="4"/>
  <c r="X211" i="4"/>
  <c r="X202" i="4"/>
  <c r="X201" i="4" s="1"/>
  <c r="F201" i="4" s="1"/>
  <c r="X197" i="4"/>
  <c r="X170" i="4"/>
  <c r="X167" i="4"/>
  <c r="X142" i="4"/>
  <c r="F125" i="4" s="1"/>
  <c r="G125" i="4" s="1"/>
  <c r="H125" i="4" s="1"/>
  <c r="X86" i="4"/>
  <c r="F200" i="4" l="1"/>
  <c r="G201" i="4"/>
  <c r="F142" i="4"/>
  <c r="G142" i="4" s="1"/>
  <c r="H142" i="4" s="1"/>
  <c r="G143" i="4"/>
  <c r="H143" i="4" s="1"/>
  <c r="X166" i="4"/>
  <c r="F167" i="4"/>
  <c r="X196" i="4"/>
  <c r="X174" i="4" s="1"/>
  <c r="F197" i="4"/>
  <c r="X15" i="4"/>
  <c r="X14" i="4" s="1"/>
  <c r="X85" i="4"/>
  <c r="X24" i="4"/>
  <c r="X23" i="4" s="1"/>
  <c r="X200" i="4"/>
  <c r="X199" i="4" s="1"/>
  <c r="X165" i="4"/>
  <c r="F199" i="4" l="1"/>
  <c r="G199" i="4" s="1"/>
  <c r="H199" i="4" s="1"/>
  <c r="G200" i="4"/>
  <c r="F196" i="4"/>
  <c r="G197" i="4"/>
  <c r="F166" i="4"/>
  <c r="G167" i="4"/>
  <c r="F85" i="4"/>
  <c r="X84" i="4"/>
  <c r="X13" i="4" s="1"/>
  <c r="F15" i="4"/>
  <c r="F14" i="4" s="1"/>
  <c r="F24" i="4"/>
  <c r="F11" i="4"/>
  <c r="G11" i="4" s="1"/>
  <c r="H11" i="4"/>
  <c r="X9" i="4"/>
  <c r="F165" i="4" l="1"/>
  <c r="G165" i="4" s="1"/>
  <c r="H165" i="4" s="1"/>
  <c r="G166" i="4"/>
  <c r="F174" i="4"/>
  <c r="G174" i="4" s="1"/>
  <c r="H174" i="4" s="1"/>
  <c r="G196" i="4"/>
  <c r="F84" i="4"/>
  <c r="G84" i="4" s="1"/>
  <c r="H84" i="4" s="1"/>
  <c r="G85" i="4"/>
  <c r="H85" i="4" s="1"/>
  <c r="F23" i="4"/>
  <c r="G23" i="4" s="1"/>
  <c r="H23" i="4" s="1"/>
  <c r="G24" i="4"/>
  <c r="H24" i="4" s="1"/>
  <c r="G14" i="4"/>
  <c r="H14" i="4" s="1"/>
  <c r="G15" i="4"/>
  <c r="H15" i="4" s="1"/>
  <c r="F9" i="4"/>
  <c r="G9" i="4" s="1"/>
  <c r="H9" i="4" s="1"/>
  <c r="F22" i="18"/>
  <c r="F21" i="18"/>
  <c r="F20" i="18" s="1"/>
  <c r="K14" i="18"/>
  <c r="K12" i="18" s="1"/>
  <c r="F14" i="18"/>
  <c r="F12" i="18"/>
  <c r="F11" i="18"/>
  <c r="K9" i="18"/>
  <c r="K8" i="18" s="1"/>
  <c r="F9" i="18"/>
  <c r="F8" i="18" s="1"/>
  <c r="F10" i="18" l="1"/>
  <c r="K7" i="18"/>
  <c r="F13" i="4"/>
  <c r="G13" i="4" s="1"/>
  <c r="H13" i="4" s="1"/>
  <c r="F7" i="18" l="1"/>
  <c r="X149" i="4"/>
  <c r="X146" i="4" l="1"/>
  <c r="F154" i="4"/>
  <c r="F153" i="4" l="1"/>
  <c r="G153" i="4" s="1"/>
  <c r="H153" i="4" s="1"/>
  <c r="G154" i="4"/>
  <c r="H154" i="4" s="1"/>
  <c r="X145" i="4"/>
  <c r="X4" i="4" s="1"/>
  <c r="F147" i="4"/>
  <c r="F146" i="4" l="1"/>
  <c r="G147" i="4"/>
  <c r="H147" i="4" s="1"/>
  <c r="F145" i="4" l="1"/>
  <c r="G145" i="4" s="1"/>
  <c r="H145" i="4" s="1"/>
  <c r="G146" i="4"/>
  <c r="H146" i="4" s="1"/>
  <c r="F5" i="4" l="1"/>
  <c r="F4" i="4" s="1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<sst xmlns="http://schemas.openxmlformats.org/spreadsheetml/2006/main" count="1572" uniqueCount="546">
  <si>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</si>
  <si>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</si>
  <si>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</si>
  <si>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</si>
  <si>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</si>
  <si>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</si>
  <si>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</si>
  <si>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</si>
  <si>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</si>
  <si>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</si>
  <si>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</si>
  <si>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</si>
  <si>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</si>
  <si>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</si>
  <si>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</si>
  <si>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</si>
  <si>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</si>
  <si>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</si>
  <si>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</si>
  <si>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</si>
  <si>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</si>
  <si>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</si>
  <si>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</si>
  <si>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</si>
  <si>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</si>
  <si>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</si>
  <si>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</si>
  <si>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</si>
  <si>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</si>
  <si>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</si>
  <si>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</si>
  <si>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</si>
  <si>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</si>
  <si>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</si>
  <si>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</si>
  <si>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</si>
  <si>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</si>
  <si>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</si>
  <si>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</si>
  <si>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</si>
  <si>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</si>
  <si>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</si>
  <si>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</si>
  <si>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</si>
  <si>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</si>
  <si>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</si>
  <si>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</si>
  <si>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</si>
  <si>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</si>
  <si>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</si>
  <si>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</si>
  <si>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</si>
  <si>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</si>
  <si>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</si>
  <si>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</si>
  <si>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</si>
  <si>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</si>
  <si>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</si>
  <si>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</si>
  <si>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</si>
  <si>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</si>
  <si>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</si>
  <si>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</si>
  <si>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</si>
  <si>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</si>
  <si>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</si>
  <si>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</si>
  <si>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</si>
  <si>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</si>
  <si>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</si>
  <si>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</si>
  <si>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</si>
  <si>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</si>
  <si>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</si>
  <si>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</si>
  <si>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</si>
  <si>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운      영      비</t>
    <phoneticPr fontId="27" type="noConversion"/>
  </si>
  <si>
    <t>재산조성비</t>
    <phoneticPr fontId="27" type="noConversion"/>
  </si>
  <si>
    <t>시      설      비</t>
    <phoneticPr fontId="27" type="noConversion"/>
  </si>
  <si>
    <t>후원금  수입</t>
    <phoneticPr fontId="27" type="noConversion"/>
  </si>
  <si>
    <t>비지정   후원금</t>
    <phoneticPr fontId="27" type="noConversion"/>
  </si>
  <si>
    <t>전    입    금</t>
    <phoneticPr fontId="27" type="noConversion"/>
  </si>
  <si>
    <t>법인      전입금</t>
    <phoneticPr fontId="27" type="noConversion"/>
  </si>
  <si>
    <t>사   업   비</t>
    <phoneticPr fontId="27" type="noConversion"/>
  </si>
  <si>
    <t>생      계      비</t>
    <phoneticPr fontId="27" type="noConversion"/>
  </si>
  <si>
    <t>이    월    금</t>
    <phoneticPr fontId="27" type="noConversion"/>
  </si>
  <si>
    <t>전년도   이월금</t>
    <phoneticPr fontId="27" type="noConversion"/>
  </si>
  <si>
    <t>수용기관   경비</t>
    <phoneticPr fontId="27" type="noConversion"/>
  </si>
  <si>
    <t>잡    수    입</t>
    <phoneticPr fontId="27" type="noConversion"/>
  </si>
  <si>
    <t>잡      수      입</t>
    <phoneticPr fontId="27" type="noConversion"/>
  </si>
  <si>
    <t>피      복      비</t>
    <phoneticPr fontId="27" type="noConversion"/>
  </si>
  <si>
    <t>의      료      비</t>
    <phoneticPr fontId="27" type="noConversion"/>
  </si>
  <si>
    <t>연      료      비</t>
    <phoneticPr fontId="27" type="noConversion"/>
  </si>
  <si>
    <t>프로그램사업비</t>
    <phoneticPr fontId="27" type="noConversion"/>
  </si>
  <si>
    <t>보조금   반납금</t>
    <phoneticPr fontId="27" type="noConversion"/>
  </si>
  <si>
    <t>잡   지   출</t>
    <phoneticPr fontId="27" type="noConversion"/>
  </si>
  <si>
    <t>잡      지      출</t>
    <phoneticPr fontId="27" type="noConversion"/>
  </si>
  <si>
    <t>예   비   비</t>
    <phoneticPr fontId="27" type="noConversion"/>
  </si>
  <si>
    <t xml:space="preserve">  *직원후생복지 및 직원교육</t>
    <phoneticPr fontId="8" type="noConversion"/>
  </si>
  <si>
    <t>비  용</t>
  </si>
  <si>
    <t>입   소</t>
    <phoneticPr fontId="8" type="noConversion"/>
  </si>
  <si>
    <t>금액
(B-A)</t>
    <phoneticPr fontId="8" type="noConversion"/>
  </si>
  <si>
    <t>사업비</t>
    <phoneticPr fontId="8" type="noConversion"/>
  </si>
  <si>
    <t>원</t>
    <phoneticPr fontId="8" type="noConversion"/>
  </si>
  <si>
    <t>※ 피복비</t>
  </si>
  <si>
    <t>÷</t>
  </si>
  <si>
    <t>인건비</t>
    <phoneticPr fontId="8" type="noConversion"/>
  </si>
  <si>
    <t>명</t>
  </si>
  <si>
    <t>계</t>
    <phoneticPr fontId="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</si>
  <si>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</si>
  <si>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</si>
  <si>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</si>
  <si>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</si>
  <si>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</si>
  <si>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</si>
  <si>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</si>
  <si>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27" type="noConversion"/>
  </si>
  <si>
    <t>합        계</t>
    <phoneticPr fontId="27" type="noConversion"/>
  </si>
  <si>
    <t>입소비용수입</t>
    <phoneticPr fontId="27" type="noConversion"/>
  </si>
  <si>
    <t>입소비용   수입</t>
    <phoneticPr fontId="27" type="noConversion"/>
  </si>
  <si>
    <t>사   무   비</t>
    <phoneticPr fontId="27" type="noConversion"/>
  </si>
  <si>
    <t>인      건      비</t>
    <phoneticPr fontId="27" type="noConversion"/>
  </si>
  <si>
    <t>보조금  수입</t>
    <phoneticPr fontId="27" type="noConversion"/>
  </si>
  <si>
    <t>업 무   추 진 비</t>
    <phoneticPr fontId="27" type="noConversion"/>
  </si>
  <si>
    <t>목</t>
    <phoneticPr fontId="8" type="noConversion"/>
  </si>
  <si>
    <t>세목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</si>
  <si>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</si>
  <si>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</si>
  <si>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</si>
  <si>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</si>
  <si>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</si>
  <si>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</si>
  <si>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</si>
  <si>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</si>
  <si>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</si>
  <si>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</si>
  <si>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>계</t>
    <phoneticPr fontId="8" type="noConversion"/>
  </si>
  <si>
    <t xml:space="preserve"> &lt;국고 보조금 합계&gt;</t>
    <phoneticPr fontId="8" type="noConversion"/>
  </si>
  <si>
    <t>원</t>
    <phoneticPr fontId="8" type="noConversion"/>
  </si>
  <si>
    <t>시 도</t>
    <phoneticPr fontId="8" type="noConversion"/>
  </si>
  <si>
    <t>보조금</t>
    <phoneticPr fontId="8" type="noConversion"/>
  </si>
  <si>
    <t>원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</si>
  <si>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</si>
  <si>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</si>
  <si>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</si>
  <si>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기타 보조금</t>
    <phoneticPr fontId="8" type="noConversion"/>
  </si>
  <si>
    <t>지 정</t>
    <phoneticPr fontId="8" type="noConversion"/>
  </si>
  <si>
    <t>후원금</t>
    <phoneticPr fontId="8" type="noConversion"/>
  </si>
  <si>
    <t>지정 후원금</t>
    <phoneticPr fontId="8" type="noConversion"/>
  </si>
  <si>
    <t>&lt;지정후원금&gt;</t>
    <phoneticPr fontId="8" type="noConversion"/>
  </si>
  <si>
    <t>비지정</t>
    <phoneticPr fontId="8" type="noConversion"/>
  </si>
  <si>
    <t>비지정후원금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</si>
  <si>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</si>
  <si>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</si>
  <si>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</si>
  <si>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</si>
  <si>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>기타 차입금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</si>
  <si>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</si>
  <si>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</si>
  <si>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>금융기관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</si>
  <si>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</si>
  <si>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</si>
  <si>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</si>
  <si>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</si>
  <si>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법인전입금</t>
    <phoneticPr fontId="8" type="noConversion"/>
  </si>
  <si>
    <t>법인</t>
    <phoneticPr fontId="8" type="noConversion"/>
  </si>
  <si>
    <t>(후원)</t>
    <phoneticPr fontId="8" type="noConversion"/>
  </si>
  <si>
    <t>(후원금)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</si>
  <si>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</si>
  <si>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</si>
  <si>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</si>
  <si>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</si>
  <si>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>보조금이월금</t>
    <phoneticPr fontId="8" type="noConversion"/>
  </si>
  <si>
    <t>전년도이월금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</si>
  <si>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</si>
  <si>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</si>
  <si>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</si>
  <si>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>이월사업비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</si>
  <si>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</si>
  <si>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</si>
  <si>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</si>
  <si>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불용품매각대</t>
    <phoneticPr fontId="8" type="noConversion"/>
  </si>
  <si>
    <t>기타예</t>
    <phoneticPr fontId="8" type="noConversion"/>
  </si>
  <si>
    <t>금이자</t>
    <phoneticPr fontId="8" type="noConversion"/>
  </si>
  <si>
    <t>기타예금이자</t>
    <phoneticPr fontId="8" type="noConversion"/>
  </si>
  <si>
    <t>수     입</t>
    <phoneticPr fontId="8" type="noConversion"/>
  </si>
  <si>
    <t>잡수입</t>
    <phoneticPr fontId="8" type="noConversion"/>
  </si>
  <si>
    <t>기타잡수입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</si>
  <si>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</si>
  <si>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</si>
  <si>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&lt;생계비&gt;</t>
    <phoneticPr fontId="8" type="noConversion"/>
  </si>
  <si>
    <t>계:</t>
    <phoneticPr fontId="8" type="noConversion"/>
  </si>
  <si>
    <t>생계비</t>
    <phoneticPr fontId="8" type="noConversion"/>
  </si>
  <si>
    <t>보조금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</si>
  <si>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</si>
  <si>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</si>
  <si>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</si>
  <si>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</si>
  <si>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</si>
  <si>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</si>
  <si>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</si>
  <si>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인건비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</si>
  <si>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</si>
  <si>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</si>
  <si>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</si>
  <si>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=</t>
    <phoneticPr fontId="8" type="noConversion"/>
  </si>
  <si>
    <t>×</t>
    <phoneticPr fontId="8" type="noConversion"/>
  </si>
  <si>
    <t>=</t>
    <phoneticPr fontId="8" type="noConversion"/>
  </si>
  <si>
    <t>소계 :</t>
    <phoneticPr fontId="8" type="noConversion"/>
  </si>
  <si>
    <t>운영비</t>
    <phoneticPr fontId="8" type="noConversion"/>
  </si>
  <si>
    <t>&lt;운영비&gt;</t>
    <phoneticPr fontId="8" type="noConversion"/>
  </si>
  <si>
    <t xml:space="preserve"> * 시설당 기본지원</t>
    <phoneticPr fontId="8" type="noConversion"/>
  </si>
  <si>
    <t>입소자지원금</t>
    <phoneticPr fontId="8" type="noConversion"/>
  </si>
  <si>
    <t>(4종)</t>
    <phoneticPr fontId="8" type="noConversion"/>
  </si>
  <si>
    <t>&lt;입소자지원금 : 4종&gt;</t>
    <phoneticPr fontId="8" type="noConversion"/>
  </si>
  <si>
    <t>*입소자 부식비(매월신청)</t>
    <phoneticPr fontId="8" type="noConversion"/>
  </si>
  <si>
    <t>일</t>
    <phoneticPr fontId="8" type="noConversion"/>
  </si>
  <si>
    <t>*입소자 간식비(매월신청)</t>
    <phoneticPr fontId="8" type="noConversion"/>
  </si>
  <si>
    <t>*입소자 구료비(특별피복비)</t>
    <phoneticPr fontId="8" type="noConversion"/>
  </si>
  <si>
    <t>회</t>
    <phoneticPr fontId="8" type="noConversion"/>
  </si>
  <si>
    <t>(설날,장애인의날, 추석,연말)</t>
    <phoneticPr fontId="8" type="noConversion"/>
  </si>
  <si>
    <t>*입소자 건강진단비</t>
    <phoneticPr fontId="8" type="noConversion"/>
  </si>
  <si>
    <t>시설운영지원</t>
    <phoneticPr fontId="8" type="noConversion"/>
  </si>
  <si>
    <t>재활프로그램</t>
    <phoneticPr fontId="8" type="noConversion"/>
  </si>
  <si>
    <t>지원금</t>
    <phoneticPr fontId="8" type="noConversion"/>
  </si>
  <si>
    <t>계 :</t>
    <phoneticPr fontId="8" type="noConversion"/>
  </si>
  <si>
    <t>&lt;재활프로그램 지원금&gt;</t>
    <phoneticPr fontId="8" type="noConversion"/>
  </si>
  <si>
    <t>(후원)</t>
    <phoneticPr fontId="8" type="noConversion"/>
  </si>
  <si>
    <t>(후원금)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</si>
  <si>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</si>
  <si>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</si>
  <si>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* 예금이자(입소비용)</t>
    <phoneticPr fontId="8" type="noConversion"/>
  </si>
  <si>
    <t xml:space="preserve"> &lt;입소비용이월금&gt;</t>
    <phoneticPr fontId="8" type="noConversion"/>
  </si>
  <si>
    <t>입소비용이월금</t>
    <phoneticPr fontId="8" type="noConversion"/>
  </si>
  <si>
    <t xml:space="preserve"> &lt;보조금이월금&gt;</t>
    <phoneticPr fontId="8" type="noConversion"/>
  </si>
  <si>
    <t>잡수입이월금</t>
  </si>
  <si>
    <t>전입금이월금</t>
    <phoneticPr fontId="8" type="noConversion"/>
  </si>
  <si>
    <t xml:space="preserve"> &lt;법인전입금이월금&gt;</t>
    <phoneticPr fontId="8" type="noConversion"/>
  </si>
  <si>
    <t xml:space="preserve"> * 예금이자(법인전입금)</t>
    <phoneticPr fontId="8" type="noConversion"/>
  </si>
  <si>
    <t xml:space="preserve"> &lt;잡수입이월금&gt;</t>
    <phoneticPr fontId="8" type="noConversion"/>
  </si>
  <si>
    <t xml:space="preserve"> * 예금이자(잡수입)</t>
    <phoneticPr fontId="8" type="noConversion"/>
  </si>
  <si>
    <t xml:space="preserve"> &lt;기타예금이자 수입&gt;</t>
    <phoneticPr fontId="8" type="noConversion"/>
  </si>
  <si>
    <t xml:space="preserve"> * 예금이자(후원금)</t>
    <phoneticPr fontId="8" type="noConversion"/>
  </si>
  <si>
    <t xml:space="preserve"> &lt;기타잡수입&gt;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</si>
  <si>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</si>
  <si>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</si>
  <si>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</si>
  <si>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</si>
  <si>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</si>
  <si>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소계 :</t>
    <phoneticPr fontId="8" type="noConversion"/>
  </si>
  <si>
    <t>결연 후원금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</si>
  <si>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</si>
  <si>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</si>
  <si>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</si>
  <si>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</si>
  <si>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</si>
  <si>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</si>
  <si>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</si>
  <si>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</si>
  <si>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</si>
  <si>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>계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</si>
  <si>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</si>
  <si>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</si>
  <si>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</si>
  <si>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</si>
  <si>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국고보조금</t>
    <phoneticPr fontId="27" type="noConversion"/>
  </si>
  <si>
    <t>시도보조금</t>
    <phoneticPr fontId="27" type="noConversion"/>
  </si>
  <si>
    <t>시군구보조금</t>
    <phoneticPr fontId="27" type="noConversion"/>
  </si>
  <si>
    <t>* 입소자 제작 물품판매 수입</t>
    <phoneticPr fontId="8" type="noConversion"/>
  </si>
  <si>
    <t>* 입소비용수입</t>
    <phoneticPr fontId="8" type="noConversion"/>
  </si>
  <si>
    <t>*생계비</t>
    <phoneticPr fontId="8" type="noConversion"/>
  </si>
  <si>
    <t>1.기본급 (인건비 산출내역 참조)</t>
    <phoneticPr fontId="8" type="noConversion"/>
  </si>
  <si>
    <t>2.제수당</t>
    <phoneticPr fontId="8" type="noConversion"/>
  </si>
  <si>
    <t xml:space="preserve"> 가.명절휴가비</t>
    <phoneticPr fontId="8" type="noConversion"/>
  </si>
  <si>
    <t xml:space="preserve"> 나.가족수당</t>
    <phoneticPr fontId="8" type="noConversion"/>
  </si>
  <si>
    <t xml:space="preserve"> 다.연장근로수당</t>
    <phoneticPr fontId="8" type="noConversion"/>
  </si>
  <si>
    <t>3.종사자퇴직금적립금</t>
    <phoneticPr fontId="8" type="noConversion"/>
  </si>
  <si>
    <t>4.종사자사회보험부담금</t>
    <phoneticPr fontId="8" type="noConversion"/>
  </si>
  <si>
    <t xml:space="preserve"> 가.국민연금부담금</t>
    <phoneticPr fontId="8" type="noConversion"/>
  </si>
  <si>
    <t xml:space="preserve"> 나.건강보험부담금</t>
    <phoneticPr fontId="8" type="noConversion"/>
  </si>
  <si>
    <t xml:space="preserve"> 다.장기요양보험부담금</t>
    <phoneticPr fontId="8" type="noConversion"/>
  </si>
  <si>
    <t xml:space="preserve"> 라.고용보험부담금</t>
    <phoneticPr fontId="8" type="noConversion"/>
  </si>
  <si>
    <t xml:space="preserve"> 마.산재보험부담금</t>
    <phoneticPr fontId="8" type="noConversion"/>
  </si>
  <si>
    <t>*환경개선사업비</t>
    <phoneticPr fontId="8" type="noConversion"/>
  </si>
  <si>
    <t xml:space="preserve"> * 직원 건강진단비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</si>
  <si>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</si>
  <si>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</si>
  <si>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</si>
  <si>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예금이자(운영비)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</si>
  <si>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</si>
  <si>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</si>
  <si>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</si>
  <si>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</si>
  <si>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</si>
  <si>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>운영비</t>
    <phoneticPr fontId="8" type="noConversion"/>
  </si>
  <si>
    <t>4종</t>
    <phoneticPr fontId="8" type="noConversion"/>
  </si>
  <si>
    <t>사무비</t>
    <phoneticPr fontId="8" type="noConversion"/>
  </si>
  <si>
    <t>&lt;운영비 지원&gt;</t>
    <phoneticPr fontId="8" type="noConversion"/>
  </si>
  <si>
    <t>계: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</si>
  <si>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</si>
  <si>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</si>
  <si>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</si>
  <si>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&lt;기능보강사업비&gt;</t>
    <phoneticPr fontId="8" type="noConversion"/>
  </si>
  <si>
    <t xml:space="preserve"> * 경기도 재활프로그램(도예)</t>
    <phoneticPr fontId="8" type="noConversion"/>
  </si>
  <si>
    <t>*기능보강사업비(수직구조대설치)</t>
    <phoneticPr fontId="8" type="noConversion"/>
  </si>
  <si>
    <t>소계</t>
    <phoneticPr fontId="8" type="noConversion"/>
  </si>
  <si>
    <t>인건비</t>
    <phoneticPr fontId="8" type="noConversion"/>
  </si>
  <si>
    <t>(단위:원)</t>
    <phoneticPr fontId="27" type="noConversion"/>
  </si>
  <si>
    <t>&lt;비지정후원금&gt;</t>
    <phoneticPr fontId="8" type="noConversion"/>
  </si>
  <si>
    <t>6종</t>
    <phoneticPr fontId="8" type="noConversion"/>
  </si>
  <si>
    <t>원</t>
    <phoneticPr fontId="8" type="noConversion"/>
  </si>
  <si>
    <t>=</t>
    <phoneticPr fontId="8" type="noConversion"/>
  </si>
  <si>
    <t>원</t>
    <phoneticPr fontId="8" type="noConversion"/>
  </si>
  <si>
    <t>&lt;인건비 : 2명&gt;</t>
    <phoneticPr fontId="8" type="noConversion"/>
  </si>
  <si>
    <t>&lt;시설운영지원금 : 6종&gt;</t>
    <phoneticPr fontId="8" type="noConversion"/>
  </si>
  <si>
    <t>(6종)</t>
    <phoneticPr fontId="8" type="noConversion"/>
  </si>
  <si>
    <t xml:space="preserve"> * 비지정후원금이월액</t>
    <phoneticPr fontId="8" type="noConversion"/>
  </si>
  <si>
    <t xml:space="preserve"> * 지정후원금이월액</t>
    <phoneticPr fontId="8" type="noConversion"/>
  </si>
  <si>
    <t>A.. 직원건강진단비 지원금</t>
    <phoneticPr fontId="8" type="noConversion"/>
  </si>
  <si>
    <t>직원건강진단비</t>
    <phoneticPr fontId="8" type="noConversion"/>
  </si>
  <si>
    <t xml:space="preserve"> * 예금이자(보조금)</t>
    <phoneticPr fontId="8" type="noConversion"/>
  </si>
  <si>
    <t>* 직원급식비</t>
    <phoneticPr fontId="8" type="noConversion"/>
  </si>
  <si>
    <t>.</t>
    <phoneticPr fontId="8" type="noConversion"/>
  </si>
  <si>
    <t>* 냉난방지원비</t>
    <phoneticPr fontId="8" type="noConversion"/>
  </si>
  <si>
    <t>보조금</t>
    <phoneticPr fontId="8" type="noConversion"/>
  </si>
  <si>
    <t>보조금
(4종)</t>
    <phoneticPr fontId="8" type="noConversion"/>
  </si>
  <si>
    <t>산              출               기              초</t>
    <phoneticPr fontId="8" type="noConversion"/>
  </si>
  <si>
    <t>계
(B)</t>
    <phoneticPr fontId="8" type="noConversion"/>
  </si>
  <si>
    <t>후원금</t>
    <phoneticPr fontId="8" type="noConversion"/>
  </si>
  <si>
    <t>입소자
부담금</t>
    <phoneticPr fontId="8" type="noConversion"/>
  </si>
  <si>
    <t>법인
전입금</t>
    <phoneticPr fontId="8" type="noConversion"/>
  </si>
  <si>
    <t>잡수입</t>
    <phoneticPr fontId="8" type="noConversion"/>
  </si>
  <si>
    <t>금액
(B-A)</t>
    <phoneticPr fontId="8" type="noConversion"/>
  </si>
  <si>
    <t>세출총계</t>
    <phoneticPr fontId="8" type="noConversion"/>
  </si>
  <si>
    <t>※기본급</t>
    <phoneticPr fontId="8" type="noConversion"/>
  </si>
  <si>
    <t>원</t>
    <phoneticPr fontId="8" type="noConversion"/>
  </si>
  <si>
    <t>보조</t>
    <phoneticPr fontId="8" type="noConversion"/>
  </si>
  <si>
    <t>×</t>
    <phoneticPr fontId="8" type="noConversion"/>
  </si>
  <si>
    <t>월</t>
    <phoneticPr fontId="8" type="noConversion"/>
  </si>
  <si>
    <t>=</t>
    <phoneticPr fontId="8" type="noConversion"/>
  </si>
  <si>
    <t>법인</t>
    <phoneticPr fontId="8" type="noConversion"/>
  </si>
  <si>
    <t>일용잡급</t>
    <phoneticPr fontId="8" type="noConversion"/>
  </si>
  <si>
    <t>※ 일용잡급</t>
    <phoneticPr fontId="8" type="noConversion"/>
  </si>
  <si>
    <t>합  계 :</t>
    <phoneticPr fontId="8" type="noConversion"/>
  </si>
  <si>
    <t>원</t>
    <phoneticPr fontId="8" type="noConversion"/>
  </si>
  <si>
    <t>1.명절휴가비</t>
    <phoneticPr fontId="8" type="noConversion"/>
  </si>
  <si>
    <t>합    계 :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</si>
  <si>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</si>
  <si>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</si>
  <si>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</si>
  <si>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</si>
  <si>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</si>
  <si>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</si>
  <si>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</si>
  <si>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 xml:space="preserve"> 나. 법인지원 인력 퇴직금</t>
    <phoneticPr fontId="8" type="noConversion"/>
  </si>
  <si>
    <t>사회보험</t>
    <phoneticPr fontId="8" type="noConversion"/>
  </si>
  <si>
    <t>합  계 :</t>
    <phoneticPr fontId="8" type="noConversion"/>
  </si>
  <si>
    <t>부담금</t>
    <phoneticPr fontId="8" type="noConversion"/>
  </si>
  <si>
    <t>1.국민연금부담금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</si>
  <si>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</si>
  <si>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</si>
  <si>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</si>
  <si>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</si>
  <si>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기타후생</t>
    <phoneticPr fontId="8" type="noConversion"/>
  </si>
  <si>
    <t>※ 기타후생경비</t>
    <phoneticPr fontId="8" type="noConversion"/>
  </si>
  <si>
    <t>* 직원건강검진비(순수시비)</t>
    <phoneticPr fontId="8" type="noConversion"/>
  </si>
  <si>
    <t>후원</t>
    <phoneticPr fontId="8" type="noConversion"/>
  </si>
  <si>
    <t>업   무</t>
    <phoneticPr fontId="8" type="noConversion"/>
  </si>
  <si>
    <t>업무추진비</t>
    <phoneticPr fontId="8" type="noConversion"/>
  </si>
  <si>
    <t>추진비</t>
    <phoneticPr fontId="8" type="noConversion"/>
  </si>
  <si>
    <t>소계:</t>
    <phoneticPr fontId="8" type="noConversion"/>
  </si>
  <si>
    <t>* 기관방문 손님접대용 다과 및 운영위원 선물구입</t>
    <phoneticPr fontId="8" type="noConversion"/>
  </si>
  <si>
    <t>※ 직책보조비</t>
    <phoneticPr fontId="8" type="noConversion"/>
  </si>
  <si>
    <t>회  의  비</t>
    <phoneticPr fontId="8" type="noConversion"/>
  </si>
  <si>
    <t>회</t>
    <phoneticPr fontId="8" type="noConversion"/>
  </si>
  <si>
    <t>운영비</t>
    <phoneticPr fontId="8" type="noConversion"/>
  </si>
  <si>
    <t>여    비</t>
    <phoneticPr fontId="8" type="noConversion"/>
  </si>
  <si>
    <t xml:space="preserve"> * 교육 및 출장여비</t>
    <phoneticPr fontId="8" type="noConversion"/>
  </si>
  <si>
    <t xml:space="preserve"> * 시설장 여비</t>
    <phoneticPr fontId="8" type="noConversion"/>
  </si>
  <si>
    <t>수수료</t>
    <phoneticPr fontId="8" type="noConversion"/>
  </si>
  <si>
    <t>입소</t>
    <phoneticPr fontId="8" type="noConversion"/>
  </si>
  <si>
    <t>기타운영비</t>
    <phoneticPr fontId="8" type="noConversion"/>
  </si>
  <si>
    <t>※ 기타운영비</t>
    <phoneticPr fontId="8" type="noConversion"/>
  </si>
  <si>
    <t>계</t>
    <phoneticPr fontId="8" type="noConversion"/>
  </si>
  <si>
    <t>소계:</t>
    <phoneticPr fontId="8" type="noConversion"/>
  </si>
  <si>
    <t>잡수</t>
    <phoneticPr fontId="8" type="noConversion"/>
  </si>
  <si>
    <t>재산조성비</t>
    <phoneticPr fontId="8" type="noConversion"/>
  </si>
  <si>
    <t>조성비</t>
    <phoneticPr fontId="8" type="noConversion"/>
  </si>
  <si>
    <t>계</t>
    <phoneticPr fontId="8" type="noConversion"/>
  </si>
  <si>
    <t>시설비</t>
    <phoneticPr fontId="8" type="noConversion"/>
  </si>
  <si>
    <t>유지비</t>
    <phoneticPr fontId="8" type="noConversion"/>
  </si>
  <si>
    <t>사업비</t>
    <phoneticPr fontId="8" type="noConversion"/>
  </si>
  <si>
    <t>운영비</t>
    <phoneticPr fontId="8" type="noConversion"/>
  </si>
  <si>
    <t>계</t>
    <phoneticPr fontId="8" type="noConversion"/>
  </si>
  <si>
    <t>생계비</t>
    <phoneticPr fontId="8" type="noConversion"/>
  </si>
  <si>
    <t>※ 생계비</t>
    <phoneticPr fontId="8" type="noConversion"/>
  </si>
  <si>
    <t>소계:</t>
    <phoneticPr fontId="8" type="noConversion"/>
  </si>
  <si>
    <t>수용기관</t>
    <phoneticPr fontId="8" type="noConversion"/>
  </si>
  <si>
    <t>※ 수용기관경비</t>
    <phoneticPr fontId="8" type="noConversion"/>
  </si>
  <si>
    <t>경비</t>
    <phoneticPr fontId="8" type="noConversion"/>
  </si>
  <si>
    <t>피복비</t>
    <phoneticPr fontId="8" type="noConversion"/>
  </si>
  <si>
    <t>의료비</t>
    <phoneticPr fontId="8" type="noConversion"/>
  </si>
  <si>
    <t>※ 의료비</t>
    <phoneticPr fontId="8" type="noConversion"/>
  </si>
  <si>
    <t>소계:</t>
    <phoneticPr fontId="8" type="noConversion"/>
  </si>
  <si>
    <t>연료비</t>
    <phoneticPr fontId="8" type="noConversion"/>
  </si>
  <si>
    <t>※ 연료비</t>
    <phoneticPr fontId="8" type="noConversion"/>
  </si>
  <si>
    <t>프로그램</t>
    <phoneticPr fontId="8" type="noConversion"/>
  </si>
  <si>
    <t>계</t>
    <phoneticPr fontId="8" type="noConversion"/>
  </si>
  <si>
    <t>사업비</t>
    <phoneticPr fontId="8" type="noConversion"/>
  </si>
  <si>
    <t>소  계 :</t>
    <phoneticPr fontId="8" type="noConversion"/>
  </si>
  <si>
    <t>교육재활</t>
    <phoneticPr fontId="8" type="noConversion"/>
  </si>
  <si>
    <t>지원사업비</t>
    <phoneticPr fontId="8" type="noConversion"/>
  </si>
  <si>
    <t>반환금</t>
    <phoneticPr fontId="8" type="noConversion"/>
  </si>
  <si>
    <t>※ 보조금 반환금(수원시)</t>
    <phoneticPr fontId="8" type="noConversion"/>
  </si>
  <si>
    <t>1.보조금 운영비 잔액</t>
    <phoneticPr fontId="8" type="noConversion"/>
  </si>
  <si>
    <t>2.보조금 운영비 예금이자</t>
    <phoneticPr fontId="8" type="noConversion"/>
  </si>
  <si>
    <t>5.보조금(4종) 잔액</t>
    <phoneticPr fontId="8" type="noConversion"/>
  </si>
  <si>
    <t>6.보조금(4종) 예금이자</t>
    <phoneticPr fontId="8" type="noConversion"/>
  </si>
  <si>
    <t>잡지출</t>
    <phoneticPr fontId="8" type="noConversion"/>
  </si>
  <si>
    <t>잡지출</t>
    <phoneticPr fontId="8" type="noConversion"/>
  </si>
  <si>
    <t>※ 잡지출</t>
    <phoneticPr fontId="8" type="noConversion"/>
  </si>
  <si>
    <t>1. 예금이자(입소비용)</t>
    <phoneticPr fontId="8" type="noConversion"/>
  </si>
  <si>
    <t>2. 예금이자(후원금)</t>
    <phoneticPr fontId="8" type="noConversion"/>
  </si>
  <si>
    <t>3. 예금이자(법인전입금)</t>
    <phoneticPr fontId="8" type="noConversion"/>
  </si>
  <si>
    <t>4. 예금이자(잡수입)</t>
    <phoneticPr fontId="8" type="noConversion"/>
  </si>
  <si>
    <t xml:space="preserve"> A.경상보조금 1명</t>
    <phoneticPr fontId="8" type="noConversion"/>
  </si>
  <si>
    <t>4.야간근로수당</t>
    <phoneticPr fontId="8" type="noConversion"/>
  </si>
  <si>
    <t>5. 기타 제수당</t>
    <phoneticPr fontId="8" type="noConversion"/>
  </si>
  <si>
    <t xml:space="preserve"> B.기타</t>
    <phoneticPr fontId="8" type="noConversion"/>
  </si>
  <si>
    <t>1.경상보조금</t>
    <phoneticPr fontId="8" type="noConversion"/>
  </si>
  <si>
    <t>2.법인부담금</t>
    <phoneticPr fontId="8" type="noConversion"/>
  </si>
  <si>
    <t xml:space="preserve"> 가.기타</t>
    <phoneticPr fontId="8" type="noConversion"/>
  </si>
  <si>
    <t>6.4대보험정산보험료</t>
    <phoneticPr fontId="8" type="noConversion"/>
  </si>
  <si>
    <t>입소</t>
  </si>
  <si>
    <t>* 운영위원회 참석수당</t>
  </si>
  <si>
    <t>* 회의 다과비</t>
  </si>
  <si>
    <t>보조금
(6종)</t>
    <phoneticPr fontId="8" type="noConversion"/>
  </si>
  <si>
    <t>7.보조금(6종) 잔액</t>
    <phoneticPr fontId="8" type="noConversion"/>
  </si>
  <si>
    <t>8.보조금(6종) 예금이자</t>
    <phoneticPr fontId="8" type="noConversion"/>
  </si>
  <si>
    <t>&lt;인건비 : 명&gt;</t>
    <phoneticPr fontId="8" type="noConversion"/>
  </si>
  <si>
    <t>*입소자 특별급식비</t>
    <phoneticPr fontId="8" type="noConversion"/>
  </si>
  <si>
    <t>* 정수기 임대료 및 수질검사 등</t>
  </si>
  <si>
    <t>보조</t>
  </si>
  <si>
    <t>* 사무용품비(문구류 )</t>
    <phoneticPr fontId="8" type="noConversion"/>
  </si>
  <si>
    <t>* 프린트임대료</t>
    <phoneticPr fontId="8" type="noConversion"/>
  </si>
  <si>
    <t>* 소규모수선비/집기구입 등</t>
    <phoneticPr fontId="8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</si>
  <si>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</si>
  <si>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</si>
  <si>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</si>
  <si>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</si>
  <si>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</si>
  <si>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</si>
  <si>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</si>
  <si>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</si>
  <si>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</si>
  <si>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</si>
  <si>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8" type="noConversion"/>
  </si>
  <si>
    <t>* 차량유류대</t>
  </si>
  <si>
    <t>* 차량 정기검사/ 차량수리 및 정비비</t>
  </si>
  <si>
    <t>1. 직원 교육훈련비</t>
    <phoneticPr fontId="8" type="noConversion"/>
  </si>
  <si>
    <t>2. 직원 식대</t>
    <phoneticPr fontId="8" type="noConversion"/>
  </si>
  <si>
    <t xml:space="preserve"> * 주부식비</t>
    <phoneticPr fontId="8" type="noConversion"/>
  </si>
  <si>
    <t>* 전기안전점검비</t>
  </si>
  <si>
    <t>* 가스안전점검비</t>
  </si>
  <si>
    <t>6종</t>
    <phoneticPr fontId="8" type="noConversion"/>
  </si>
  <si>
    <t>* 주부식비(부식)</t>
  </si>
  <si>
    <t>* 장애인거주시설입소자4종(부식)</t>
    <phoneticPr fontId="8" type="noConversion"/>
  </si>
  <si>
    <t>* 간식비</t>
  </si>
  <si>
    <t>* 장애인거주시설입소자4종(간식)</t>
    <phoneticPr fontId="8" type="noConversion"/>
  </si>
  <si>
    <t>* 월동대책비(김장)</t>
  </si>
  <si>
    <t>* 장애인거주시설입소자4종(특별급식비)</t>
    <phoneticPr fontId="8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</si>
  <si>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</si>
  <si>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</si>
  <si>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</si>
  <si>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</si>
  <si>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</si>
  <si>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</si>
  <si>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</si>
  <si>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</si>
  <si>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8" type="noConversion"/>
  </si>
  <si>
    <t>* 요리프로그램</t>
  </si>
  <si>
    <t>일상생활</t>
    <phoneticPr fontId="8" type="noConversion"/>
  </si>
  <si>
    <t>* 자치회의</t>
  </si>
  <si>
    <t>자치회의</t>
    <phoneticPr fontId="8" type="noConversion"/>
  </si>
  <si>
    <t>나들이</t>
    <phoneticPr fontId="8" type="noConversion"/>
  </si>
  <si>
    <t>* 영화관람</t>
  </si>
  <si>
    <t>문화생활</t>
    <phoneticPr fontId="8" type="noConversion"/>
  </si>
  <si>
    <t>운동지원</t>
    <phoneticPr fontId="8" type="noConversion"/>
  </si>
  <si>
    <t>* 송년회</t>
  </si>
  <si>
    <t>* 이용인 직장방문</t>
  </si>
  <si>
    <t>기타</t>
    <phoneticPr fontId="8" type="noConversion"/>
  </si>
  <si>
    <t>* 환경개선사업(6종)</t>
    <phoneticPr fontId="8" type="noConversion"/>
  </si>
  <si>
    <t>(사회재활교사, 생활지도원)</t>
    <phoneticPr fontId="8" type="noConversion"/>
  </si>
  <si>
    <t>1.경상보조금 (종사자2명)</t>
    <phoneticPr fontId="8" type="noConversion"/>
  </si>
  <si>
    <t xml:space="preserve"> A.경상보조금 2명</t>
    <phoneticPr fontId="8" type="noConversion"/>
  </si>
  <si>
    <t xml:space="preserve">  - 경상인건비</t>
    <phoneticPr fontId="8" type="noConversion"/>
  </si>
  <si>
    <t xml:space="preserve"> 라.야간근로수당</t>
    <phoneticPr fontId="8" type="noConversion"/>
  </si>
  <si>
    <t>회</t>
    <phoneticPr fontId="8" type="noConversion"/>
  </si>
  <si>
    <t>입소</t>
    <phoneticPr fontId="8" type="noConversion"/>
  </si>
  <si>
    <t>* 부활나눔</t>
    <phoneticPr fontId="8" type="noConversion"/>
  </si>
  <si>
    <t>명</t>
    <phoneticPr fontId="8" type="noConversion"/>
  </si>
  <si>
    <t>원</t>
    <phoneticPr fontId="8" type="noConversion"/>
  </si>
  <si>
    <t>3. 직원연수 숙박비</t>
    <phoneticPr fontId="8" type="noConversion"/>
  </si>
  <si>
    <t xml:space="preserve"> * 직원연수교육비, 한장협, 경장협 등 </t>
    <phoneticPr fontId="8" type="noConversion"/>
  </si>
  <si>
    <t>* 야간근로자 특수건강검진(2명)</t>
    <phoneticPr fontId="8" type="noConversion"/>
  </si>
  <si>
    <t>* 직원독감 예방접종(2명)</t>
    <phoneticPr fontId="8" type="noConversion"/>
  </si>
  <si>
    <t xml:space="preserve"> A.휴일근로수당</t>
    <phoneticPr fontId="8" type="noConversion"/>
  </si>
  <si>
    <t xml:space="preserve"> * 예금이자(보조금-4종)</t>
    <phoneticPr fontId="8" type="noConversion"/>
  </si>
  <si>
    <t>(사회재활교사)</t>
    <phoneticPr fontId="8" type="noConversion"/>
  </si>
  <si>
    <t>입소</t>
    <phoneticPr fontId="8" type="noConversion"/>
  </si>
  <si>
    <t>* 공기청정기 임대료</t>
    <phoneticPr fontId="8" type="noConversion"/>
  </si>
  <si>
    <t>* 해외여행</t>
    <phoneticPr fontId="8" type="noConversion"/>
  </si>
  <si>
    <t>* 가을나들이</t>
    <phoneticPr fontId="8" type="noConversion"/>
  </si>
  <si>
    <t>* 봄나들이</t>
    <phoneticPr fontId="8" type="noConversion"/>
  </si>
  <si>
    <t>* 트레킹</t>
    <phoneticPr fontId="8" type="noConversion"/>
  </si>
  <si>
    <t>기타보조금</t>
    <phoneticPr fontId="27" type="noConversion"/>
  </si>
  <si>
    <t>자산 취득비</t>
    <phoneticPr fontId="27" type="noConversion"/>
  </si>
  <si>
    <t>* 기능보강</t>
    <phoneticPr fontId="8" type="noConversion"/>
  </si>
  <si>
    <t>* 성교육</t>
    <phoneticPr fontId="8" type="noConversion"/>
  </si>
  <si>
    <t>* 후원금 체크카드환급금</t>
    <phoneticPr fontId="8" type="noConversion"/>
  </si>
  <si>
    <t>* 입소비용 체크카드환급금</t>
    <phoneticPr fontId="8" type="noConversion"/>
  </si>
  <si>
    <t>* 잡수입 체크카드환급금</t>
    <phoneticPr fontId="8" type="noConversion"/>
  </si>
  <si>
    <t>2024년
1차추경예산
(B)
(단위:천원)</t>
    <phoneticPr fontId="8" type="noConversion"/>
  </si>
  <si>
    <t>2024년
 1차추경예산</t>
    <phoneticPr fontId="27" type="noConversion"/>
  </si>
  <si>
    <t>원</t>
    <phoneticPr fontId="8" type="noConversion"/>
  </si>
  <si>
    <t>명</t>
    <phoneticPr fontId="8" type="noConversion"/>
  </si>
  <si>
    <t>월</t>
    <phoneticPr fontId="8" type="noConversion"/>
  </si>
  <si>
    <t>* 에어컨설치비</t>
    <phoneticPr fontId="8" type="noConversion"/>
  </si>
  <si>
    <t>원</t>
    <phoneticPr fontId="8" type="noConversion"/>
  </si>
  <si>
    <t>입소</t>
    <phoneticPr fontId="8" type="noConversion"/>
  </si>
  <si>
    <t>회</t>
    <phoneticPr fontId="8" type="noConversion"/>
  </si>
  <si>
    <t xml:space="preserve"> * 지정후원금 수입</t>
    <phoneticPr fontId="8" type="noConversion"/>
  </si>
  <si>
    <t>* 비품(TV, TV다이, 에어컨, 랜지대) 등 구입</t>
    <phoneticPr fontId="8" type="noConversion"/>
  </si>
  <si>
    <t>* TV(지정후원금) 구입</t>
    <phoneticPr fontId="8" type="noConversion"/>
  </si>
  <si>
    <t>후원</t>
    <phoneticPr fontId="8" type="noConversion"/>
  </si>
  <si>
    <t>원</t>
    <phoneticPr fontId="8" type="noConversion"/>
  </si>
  <si>
    <t>원</t>
    <phoneticPr fontId="8" type="noConversion"/>
  </si>
  <si>
    <t>지정   후원금</t>
    <phoneticPr fontId="27" type="noConversion"/>
  </si>
  <si>
    <t>시설장비유지비</t>
    <phoneticPr fontId="27" type="noConversion"/>
  </si>
  <si>
    <t>□ 2024년도 2차 추경예산 세 입 · 세 출 총  괄  표</t>
    <phoneticPr fontId="27" type="noConversion"/>
  </si>
  <si>
    <t>2024년
 2차추경예산</t>
    <phoneticPr fontId="27" type="noConversion"/>
  </si>
  <si>
    <t>&lt;2024년도 2차추경예산 세입내역&gt;</t>
    <phoneticPr fontId="8" type="noConversion"/>
  </si>
  <si>
    <t>2024년
2차추경예산
(B)
(단위:천원)</t>
    <phoneticPr fontId="8" type="noConversion"/>
  </si>
  <si>
    <t>&lt;2024년도 2차추경예산 세출내역&gt;</t>
    <phoneticPr fontId="8" type="noConversion"/>
  </si>
  <si>
    <t>2024년 1차추경예산액
(A)
(단위:천원)</t>
    <phoneticPr fontId="8" type="noConversion"/>
  </si>
  <si>
    <t>2024년 2차추경예산액(B)         (단위:천원)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</si>
</sst>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45" fillId="0" borderId="0">
      <alignment vertical="center"/>
    </xf>
    <xf numFmtId="41" fontId="45" fillId="0" borderId="0">
      <alignment vertical="center"/>
    </xf>
    <xf numFmtId="0" fontId="45" fillId="0" borderId="0"/>
    <xf numFmtId="0" fontId="10" fillId="0" borderId="0" applyFill="0" applyAlignment="0">
      <alignment vertical="center"/>
    </xf>
    <xf numFmtId="41" fontId="10" fillId="0" borderId="0" applyFont="0" applyFill="0" applyAlignment="0" applyProtection="0">
      <alignment vertical="center"/>
    </xf>
  </cellStyleXfs>
  <cellXfs count="614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2" fillId="0" borderId="39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1" fontId="12" fillId="0" borderId="0" xfId="1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42" fontId="21" fillId="0" borderId="0" xfId="3" applyNumberFormat="1" applyFont="1" applyFill="1" applyBorder="1" applyAlignment="1">
      <alignment horizontal="center" vertical="center"/>
    </xf>
    <xf numFmtId="178" fontId="22" fillId="0" borderId="0" xfId="0" applyNumberFormat="1" applyFont="1" applyBorder="1">
      <alignment vertical="center"/>
    </xf>
    <xf numFmtId="180" fontId="12" fillId="0" borderId="0" xfId="2" applyNumberFormat="1" applyFont="1" applyFill="1" applyBorder="1" applyAlignment="1">
      <alignment horizontal="center" vertical="center"/>
    </xf>
    <xf numFmtId="41" fontId="12" fillId="0" borderId="14" xfId="2" applyFont="1" applyFill="1" applyBorder="1" applyAlignment="1">
      <alignment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vertical="center"/>
    </xf>
    <xf numFmtId="177" fontId="12" fillId="0" borderId="7" xfId="3" applyNumberFormat="1" applyFont="1" applyFill="1" applyBorder="1" applyAlignment="1">
      <alignment vertical="center"/>
    </xf>
    <xf numFmtId="9" fontId="12" fillId="0" borderId="7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horizontal="center" vertical="center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2" fillId="0" borderId="27" xfId="3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38" fontId="12" fillId="0" borderId="14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8" fontId="25" fillId="0" borderId="11" xfId="4" applyNumberFormat="1" applyFont="1" applyFill="1" applyBorder="1" applyAlignment="1">
      <alignment vertical="center"/>
    </xf>
    <xf numFmtId="0" fontId="25" fillId="0" borderId="0" xfId="4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176" fontId="25" fillId="0" borderId="5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176" fontId="12" fillId="0" borderId="54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38" fontId="25" fillId="0" borderId="11" xfId="4" applyNumberFormat="1" applyFont="1" applyFill="1" applyBorder="1" applyAlignment="1">
      <alignment horizontal="center" vertical="center" wrapText="1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6" fillId="0" borderId="0" xfId="7" applyFont="1">
      <alignment vertical="center"/>
    </xf>
    <xf numFmtId="0" fontId="28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3" xfId="3" applyFont="1" applyFill="1" applyBorder="1" applyAlignment="1">
      <alignment vertical="center"/>
    </xf>
    <xf numFmtId="176" fontId="19" fillId="0" borderId="53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8" fontId="25" fillId="0" borderId="27" xfId="3" applyNumberFormat="1" applyFont="1" applyFill="1" applyBorder="1" applyAlignment="1">
      <alignment vertical="center"/>
    </xf>
    <xf numFmtId="9" fontId="12" fillId="0" borderId="53" xfId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8" fontId="23" fillId="0" borderId="27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horizontal="right" vertical="center"/>
    </xf>
    <xf numFmtId="178" fontId="23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41" fontId="12" fillId="0" borderId="30" xfId="2" applyNumberFormat="1" applyFont="1" applyFill="1" applyBorder="1" applyAlignment="1">
      <alignment vertical="center"/>
    </xf>
    <xf numFmtId="178" fontId="25" fillId="0" borderId="30" xfId="0" applyNumberFormat="1" applyFont="1" applyBorder="1">
      <alignment vertical="center"/>
    </xf>
    <xf numFmtId="177" fontId="12" fillId="0" borderId="14" xfId="3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80" fontId="12" fillId="0" borderId="14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5" xfId="1" applyFont="1" applyFill="1" applyBorder="1" applyAlignment="1">
      <alignment vertical="center"/>
    </xf>
    <xf numFmtId="176" fontId="12" fillId="0" borderId="55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77" fontId="12" fillId="0" borderId="30" xfId="3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left" vertical="center"/>
    </xf>
    <xf numFmtId="185" fontId="12" fillId="0" borderId="0" xfId="3" applyNumberFormat="1" applyFont="1" applyFill="1" applyBorder="1" applyAlignment="1">
      <alignment vertical="center"/>
    </xf>
    <xf numFmtId="186" fontId="12" fillId="0" borderId="0" xfId="3" applyNumberFormat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0" fontId="33" fillId="0" borderId="53" xfId="3" applyFont="1" applyFill="1" applyBorder="1" applyAlignment="1">
      <alignment horizontal="center" vertical="center"/>
    </xf>
    <xf numFmtId="0" fontId="33" fillId="0" borderId="53" xfId="3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2" fillId="0" borderId="0" xfId="3" applyFont="1" applyFill="1" applyBorder="1" applyAlignment="1">
      <alignment vertical="center" wrapText="1"/>
    </xf>
    <xf numFmtId="178" fontId="32" fillId="0" borderId="0" xfId="3" applyNumberFormat="1" applyFont="1" applyFill="1" applyBorder="1" applyAlignment="1">
      <alignment vertical="center"/>
    </xf>
    <xf numFmtId="177" fontId="32" fillId="0" borderId="0" xfId="3" applyNumberFormat="1" applyFont="1" applyFill="1" applyBorder="1" applyAlignment="1">
      <alignment vertical="center"/>
    </xf>
    <xf numFmtId="9" fontId="32" fillId="0" borderId="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53" xfId="3" applyNumberFormat="1" applyFont="1" applyFill="1" applyBorder="1" applyAlignment="1">
      <alignment horizontal="right" vertical="center"/>
    </xf>
    <xf numFmtId="178" fontId="30" fillId="0" borderId="20" xfId="3" applyNumberFormat="1" applyFont="1" applyFill="1" applyBorder="1" applyAlignment="1">
      <alignment horizontal="center" vertical="center"/>
    </xf>
    <xf numFmtId="176" fontId="15" fillId="0" borderId="37" xfId="3" applyNumberFormat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0" fontId="12" fillId="0" borderId="17" xfId="3" applyFont="1" applyFill="1" applyBorder="1" applyAlignment="1">
      <alignment vertical="center" wrapText="1"/>
    </xf>
    <xf numFmtId="0" fontId="32" fillId="0" borderId="54" xfId="3" applyFont="1" applyFill="1" applyBorder="1" applyAlignment="1">
      <alignment vertical="center" wrapText="1"/>
    </xf>
    <xf numFmtId="177" fontId="23" fillId="0" borderId="27" xfId="3" applyNumberFormat="1" applyFont="1" applyFill="1" applyBorder="1" applyAlignment="1">
      <alignment vertical="center"/>
    </xf>
    <xf numFmtId="9" fontId="23" fillId="0" borderId="27" xfId="1" applyFont="1" applyFill="1" applyBorder="1" applyAlignment="1">
      <alignment horizontal="center" vertical="center"/>
    </xf>
    <xf numFmtId="177" fontId="23" fillId="0" borderId="1" xfId="3" applyNumberFormat="1" applyFont="1" applyFill="1" applyBorder="1" applyAlignment="1">
      <alignment vertical="center"/>
    </xf>
    <xf numFmtId="188" fontId="12" fillId="0" borderId="0" xfId="1" applyNumberFormat="1" applyFont="1" applyFill="1" applyBorder="1" applyAlignment="1">
      <alignment horizontal="center" vertical="center"/>
    </xf>
    <xf numFmtId="178" fontId="15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89" fontId="12" fillId="0" borderId="0" xfId="1" applyNumberFormat="1" applyFont="1" applyFill="1" applyBorder="1" applyAlignment="1">
      <alignment horizontal="center" vertical="center"/>
    </xf>
    <xf numFmtId="9" fontId="12" fillId="0" borderId="33" xfId="1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0" fontId="32" fillId="0" borderId="14" xfId="3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25" fillId="0" borderId="33" xfId="3" applyFont="1" applyFill="1" applyBorder="1" applyAlignment="1">
      <alignment horizontal="left" vertical="center"/>
    </xf>
    <xf numFmtId="0" fontId="25" fillId="0" borderId="33" xfId="3" applyFont="1" applyFill="1" applyBorder="1" applyAlignment="1">
      <alignment vertical="center"/>
    </xf>
    <xf numFmtId="0" fontId="25" fillId="0" borderId="36" xfId="3" applyFont="1" applyFill="1" applyBorder="1" applyAlignment="1">
      <alignment vertical="center"/>
    </xf>
    <xf numFmtId="0" fontId="25" fillId="0" borderId="41" xfId="3" applyFont="1" applyFill="1" applyBorder="1" applyAlignment="1">
      <alignment vertical="center"/>
    </xf>
    <xf numFmtId="0" fontId="25" fillId="0" borderId="34" xfId="3" applyFont="1" applyFill="1" applyBorder="1" applyAlignment="1">
      <alignment vertical="center"/>
    </xf>
    <xf numFmtId="194" fontId="15" fillId="0" borderId="23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25" fillId="0" borderId="30" xfId="3" applyNumberFormat="1" applyFont="1" applyFill="1" applyBorder="1" applyAlignment="1">
      <alignment vertical="center"/>
    </xf>
    <xf numFmtId="38" fontId="35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center" vertical="center"/>
    </xf>
    <xf numFmtId="41" fontId="25" fillId="0" borderId="0" xfId="2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vertical="center"/>
    </xf>
    <xf numFmtId="0" fontId="32" fillId="0" borderId="14" xfId="3" applyFont="1" applyFill="1" applyBorder="1" applyAlignment="1">
      <alignment horizontal="center" vertical="center"/>
    </xf>
    <xf numFmtId="176" fontId="32" fillId="0" borderId="14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34" fillId="0" borderId="41" xfId="3" applyFont="1" applyFill="1" applyBorder="1" applyAlignment="1">
      <alignment vertical="center"/>
    </xf>
    <xf numFmtId="0" fontId="34" fillId="0" borderId="30" xfId="3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horizontal="right" vertical="center"/>
    </xf>
    <xf numFmtId="0" fontId="25" fillId="0" borderId="3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41" fontId="33" fillId="0" borderId="8" xfId="0" applyNumberFormat="1" applyFont="1" applyFill="1" applyBorder="1" applyAlignment="1">
      <alignment vertical="center"/>
    </xf>
    <xf numFmtId="38" fontId="33" fillId="0" borderId="8" xfId="3" applyNumberFormat="1" applyFont="1" applyFill="1" applyBorder="1" applyAlignment="1">
      <alignment vertical="center"/>
    </xf>
    <xf numFmtId="9" fontId="33" fillId="0" borderId="8" xfId="3" applyNumberFormat="1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vertical="center"/>
    </xf>
    <xf numFmtId="0" fontId="33" fillId="0" borderId="44" xfId="3" applyFont="1" applyFill="1" applyBorder="1" applyAlignment="1">
      <alignment vertical="center"/>
    </xf>
    <xf numFmtId="176" fontId="33" fillId="0" borderId="44" xfId="3" applyNumberFormat="1" applyFont="1" applyFill="1" applyBorder="1" applyAlignment="1">
      <alignment vertical="center"/>
    </xf>
    <xf numFmtId="176" fontId="33" fillId="0" borderId="45" xfId="3" applyNumberFormat="1" applyFont="1" applyFill="1" applyBorder="1" applyAlignment="1">
      <alignment vertical="center"/>
    </xf>
    <xf numFmtId="41" fontId="31" fillId="0" borderId="27" xfId="0" applyNumberFormat="1" applyFont="1" applyFill="1" applyBorder="1" applyAlignment="1">
      <alignment vertical="center"/>
    </xf>
    <xf numFmtId="38" fontId="31" fillId="0" borderId="27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7" fillId="0" borderId="20" xfId="3" applyFont="1" applyFill="1" applyBorder="1" applyAlignment="1">
      <alignment horizontal="center" vertical="center" wrapText="1"/>
    </xf>
    <xf numFmtId="176" fontId="37" fillId="0" borderId="20" xfId="0" applyNumberFormat="1" applyFont="1" applyFill="1" applyBorder="1" applyAlignment="1">
      <alignment vertical="center"/>
    </xf>
    <xf numFmtId="38" fontId="37" fillId="0" borderId="20" xfId="3" applyNumberFormat="1" applyFont="1" applyFill="1" applyBorder="1" applyAlignment="1">
      <alignment vertical="center"/>
    </xf>
    <xf numFmtId="9" fontId="37" fillId="0" borderId="20" xfId="1" applyFont="1" applyFill="1" applyBorder="1" applyAlignment="1">
      <alignment horizontal="center" vertical="center"/>
    </xf>
    <xf numFmtId="0" fontId="38" fillId="0" borderId="53" xfId="3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4" xfId="3" applyNumberFormat="1" applyFont="1" applyFill="1" applyBorder="1" applyAlignment="1">
      <alignment vertical="center"/>
    </xf>
    <xf numFmtId="42" fontId="23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horizontal="center" vertical="center"/>
    </xf>
    <xf numFmtId="180" fontId="23" fillId="0" borderId="0" xfId="2" applyNumberFormat="1" applyFont="1" applyFill="1" applyBorder="1" applyAlignment="1">
      <alignment horizontal="center" vertical="center"/>
    </xf>
    <xf numFmtId="178" fontId="39" fillId="0" borderId="0" xfId="0" applyNumberFormat="1" applyFont="1" applyBorder="1">
      <alignment vertical="center"/>
    </xf>
    <xf numFmtId="0" fontId="23" fillId="0" borderId="0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176" fontId="40" fillId="0" borderId="53" xfId="3" applyNumberFormat="1" applyFont="1" applyFill="1" applyBorder="1" applyAlignment="1">
      <alignment vertical="center"/>
    </xf>
    <xf numFmtId="176" fontId="40" fillId="0" borderId="53" xfId="3" applyNumberFormat="1" applyFont="1" applyFill="1" applyBorder="1" applyAlignment="1">
      <alignment horizontal="right" vertical="center"/>
    </xf>
    <xf numFmtId="176" fontId="40" fillId="0" borderId="54" xfId="3" applyNumberFormat="1" applyFont="1" applyFill="1" applyBorder="1" applyAlignment="1">
      <alignment vertical="center"/>
    </xf>
    <xf numFmtId="0" fontId="40" fillId="0" borderId="41" xfId="3" applyFont="1" applyFill="1" applyBorder="1" applyAlignment="1">
      <alignment vertical="center"/>
    </xf>
    <xf numFmtId="0" fontId="40" fillId="0" borderId="30" xfId="3" applyFont="1" applyFill="1" applyBorder="1" applyAlignment="1">
      <alignment vertical="center"/>
    </xf>
    <xf numFmtId="176" fontId="40" fillId="0" borderId="30" xfId="3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36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23" fillId="0" borderId="37" xfId="3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horizontal="right" vertical="center"/>
    </xf>
    <xf numFmtId="177" fontId="23" fillId="0" borderId="30" xfId="3" applyNumberFormat="1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42" fontId="23" fillId="0" borderId="30" xfId="3" applyNumberFormat="1" applyFont="1" applyFill="1" applyBorder="1" applyAlignment="1">
      <alignment horizontal="left" vertical="center"/>
    </xf>
    <xf numFmtId="176" fontId="23" fillId="0" borderId="30" xfId="3" applyNumberFormat="1" applyFont="1" applyFill="1" applyBorder="1" applyAlignment="1">
      <alignment horizontal="left" vertical="center"/>
    </xf>
    <xf numFmtId="180" fontId="23" fillId="0" borderId="30" xfId="2" applyNumberFormat="1" applyFont="1" applyFill="1" applyBorder="1" applyAlignment="1">
      <alignment vertical="center"/>
    </xf>
    <xf numFmtId="41" fontId="23" fillId="0" borderId="30" xfId="2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horizontal="center" vertical="center"/>
    </xf>
    <xf numFmtId="9" fontId="23" fillId="0" borderId="53" xfId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177" fontId="23" fillId="0" borderId="0" xfId="3" applyNumberFormat="1" applyFont="1" applyFill="1" applyBorder="1" applyAlignment="1">
      <alignment vertical="center"/>
    </xf>
    <xf numFmtId="42" fontId="23" fillId="0" borderId="0" xfId="3" applyNumberFormat="1" applyFont="1" applyFill="1" applyBorder="1" applyAlignment="1">
      <alignment horizontal="left" vertical="center"/>
    </xf>
    <xf numFmtId="179" fontId="23" fillId="0" borderId="0" xfId="1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left" vertical="center"/>
    </xf>
    <xf numFmtId="9" fontId="23" fillId="0" borderId="0" xfId="1" applyFont="1" applyFill="1" applyBorder="1" applyAlignment="1">
      <alignment horizontal="left" vertical="center"/>
    </xf>
    <xf numFmtId="9" fontId="23" fillId="0" borderId="0" xfId="1" applyFont="1" applyFill="1" applyBorder="1" applyAlignment="1">
      <alignment horizontal="right" vertical="center"/>
    </xf>
    <xf numFmtId="180" fontId="23" fillId="0" borderId="0" xfId="2" applyNumberFormat="1" applyFont="1" applyFill="1" applyBorder="1" applyAlignment="1">
      <alignment vertical="center"/>
    </xf>
    <xf numFmtId="41" fontId="23" fillId="0" borderId="0" xfId="2" applyFont="1" applyFill="1" applyBorder="1" applyAlignment="1">
      <alignment vertical="center"/>
    </xf>
    <xf numFmtId="177" fontId="23" fillId="0" borderId="14" xfId="3" applyNumberFormat="1" applyFont="1" applyFill="1" applyBorder="1" applyAlignment="1">
      <alignment vertical="center"/>
    </xf>
    <xf numFmtId="42" fontId="23" fillId="0" borderId="14" xfId="3" applyNumberFormat="1" applyFont="1" applyFill="1" applyBorder="1" applyAlignment="1">
      <alignment horizontal="left" vertical="center"/>
    </xf>
    <xf numFmtId="176" fontId="23" fillId="0" borderId="14" xfId="3" applyNumberFormat="1" applyFont="1" applyFill="1" applyBorder="1" applyAlignment="1">
      <alignment horizontal="left" vertical="center"/>
    </xf>
    <xf numFmtId="180" fontId="23" fillId="0" borderId="14" xfId="2" applyNumberFormat="1" applyFont="1" applyFill="1" applyBorder="1" applyAlignment="1">
      <alignment vertical="center"/>
    </xf>
    <xf numFmtId="41" fontId="23" fillId="0" borderId="14" xfId="2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center" vertical="center"/>
    </xf>
    <xf numFmtId="9" fontId="23" fillId="0" borderId="14" xfId="1" applyFont="1" applyFill="1" applyBorder="1" applyAlignment="1">
      <alignment horizontal="left" vertical="center"/>
    </xf>
    <xf numFmtId="0" fontId="23" fillId="0" borderId="14" xfId="3" applyFont="1" applyFill="1" applyBorder="1" applyAlignment="1">
      <alignment vertical="center"/>
    </xf>
    <xf numFmtId="9" fontId="23" fillId="0" borderId="0" xfId="3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left" vertical="center"/>
    </xf>
    <xf numFmtId="10" fontId="23" fillId="0" borderId="0" xfId="1" applyNumberFormat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center" vertical="center"/>
    </xf>
    <xf numFmtId="41" fontId="23" fillId="0" borderId="0" xfId="2" applyFont="1" applyFill="1" applyAlignment="1">
      <alignment vertical="center"/>
    </xf>
    <xf numFmtId="188" fontId="23" fillId="0" borderId="0" xfId="1" applyNumberFormat="1" applyFont="1" applyFill="1" applyBorder="1" applyAlignment="1">
      <alignment horizontal="center" vertical="center"/>
    </xf>
    <xf numFmtId="42" fontId="25" fillId="0" borderId="0" xfId="3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5" xfId="0" applyFont="1" applyFill="1" applyBorder="1" applyAlignment="1">
      <alignment vertical="center"/>
    </xf>
    <xf numFmtId="176" fontId="25" fillId="0" borderId="31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 wrapText="1"/>
    </xf>
    <xf numFmtId="0" fontId="25" fillId="0" borderId="14" xfId="3" applyFont="1" applyFill="1" applyBorder="1" applyAlignment="1">
      <alignment horizontal="center" vertical="center"/>
    </xf>
    <xf numFmtId="176" fontId="25" fillId="0" borderId="37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25" fillId="0" borderId="0" xfId="0" applyFont="1" applyFill="1" applyBorder="1">
      <alignment vertical="center"/>
    </xf>
    <xf numFmtId="0" fontId="25" fillId="0" borderId="5" xfId="0" applyFont="1" applyFill="1" applyBorder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34" fillId="0" borderId="5" xfId="3" applyNumberFormat="1" applyFont="1" applyFill="1" applyBorder="1" applyAlignment="1">
      <alignment vertical="center"/>
    </xf>
    <xf numFmtId="0" fontId="25" fillId="0" borderId="13" xfId="3" applyFont="1" applyFill="1" applyBorder="1" applyAlignment="1">
      <alignment vertical="center"/>
    </xf>
    <xf numFmtId="176" fontId="25" fillId="0" borderId="13" xfId="3" applyNumberFormat="1" applyFont="1" applyFill="1" applyBorder="1" applyAlignment="1">
      <alignment vertical="center"/>
    </xf>
    <xf numFmtId="176" fontId="25" fillId="0" borderId="39" xfId="3" applyNumberFormat="1" applyFont="1" applyFill="1" applyBorder="1" applyAlignment="1">
      <alignment vertical="center"/>
    </xf>
    <xf numFmtId="41" fontId="42" fillId="0" borderId="11" xfId="8" applyFont="1" applyBorder="1" applyAlignment="1">
      <alignment vertical="center"/>
    </xf>
    <xf numFmtId="0" fontId="43" fillId="0" borderId="11" xfId="7" applyFont="1" applyBorder="1" applyAlignment="1">
      <alignment horizontal="center" vertical="center"/>
    </xf>
    <xf numFmtId="41" fontId="44" fillId="0" borderId="11" xfId="8" applyFont="1" applyBorder="1" applyAlignment="1">
      <alignment vertical="center"/>
    </xf>
    <xf numFmtId="0" fontId="43" fillId="0" borderId="20" xfId="7" applyFont="1" applyBorder="1" applyAlignment="1">
      <alignment horizontal="center" vertical="center"/>
    </xf>
    <xf numFmtId="41" fontId="44" fillId="0" borderId="20" xfId="8" applyFont="1" applyBorder="1">
      <alignment vertical="center"/>
    </xf>
    <xf numFmtId="182" fontId="44" fillId="0" borderId="41" xfId="8" applyNumberFormat="1" applyFont="1" applyBorder="1">
      <alignment vertical="center"/>
    </xf>
    <xf numFmtId="182" fontId="44" fillId="0" borderId="18" xfId="8" applyNumberFormat="1" applyFont="1" applyBorder="1">
      <alignment vertical="center"/>
    </xf>
    <xf numFmtId="38" fontId="23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20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 wrapText="1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8" fontId="17" fillId="0" borderId="27" xfId="3" applyNumberFormat="1" applyFont="1" applyFill="1" applyBorder="1" applyAlignment="1">
      <alignment vertical="center"/>
    </xf>
    <xf numFmtId="177" fontId="17" fillId="0" borderId="27" xfId="3" applyNumberFormat="1" applyFont="1" applyFill="1" applyBorder="1" applyAlignment="1">
      <alignment vertical="center"/>
    </xf>
    <xf numFmtId="9" fontId="17" fillId="0" borderId="27" xfId="3" applyNumberFormat="1" applyFont="1" applyFill="1" applyBorder="1" applyAlignment="1">
      <alignment horizontal="center" vertical="center"/>
    </xf>
    <xf numFmtId="176" fontId="12" fillId="0" borderId="44" xfId="3" applyNumberFormat="1" applyFont="1" applyFill="1" applyBorder="1" applyAlignment="1">
      <alignment vertical="center"/>
    </xf>
    <xf numFmtId="176" fontId="12" fillId="0" borderId="45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horizontal="right" vertical="center"/>
    </xf>
    <xf numFmtId="176" fontId="47" fillId="0" borderId="0" xfId="3" applyNumberFormat="1" applyFont="1" applyFill="1" applyBorder="1" applyAlignment="1">
      <alignment vertical="center"/>
    </xf>
    <xf numFmtId="38" fontId="32" fillId="0" borderId="33" xfId="3" applyNumberFormat="1" applyFont="1" applyFill="1" applyBorder="1" applyAlignment="1">
      <alignment horizontal="center" vertical="center"/>
    </xf>
    <xf numFmtId="38" fontId="32" fillId="0" borderId="27" xfId="3" applyNumberFormat="1" applyFont="1" applyFill="1" applyBorder="1" applyAlignment="1">
      <alignment vertical="center"/>
    </xf>
    <xf numFmtId="38" fontId="48" fillId="0" borderId="33" xfId="3" applyNumberFormat="1" applyFont="1" applyFill="1" applyBorder="1" applyAlignment="1">
      <alignment horizontal="center" vertical="center"/>
    </xf>
    <xf numFmtId="38" fontId="48" fillId="0" borderId="27" xfId="3" applyNumberFormat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38" fontId="25" fillId="0" borderId="20" xfId="3" applyNumberFormat="1" applyFont="1" applyFill="1" applyBorder="1" applyAlignment="1">
      <alignment vertical="center"/>
    </xf>
    <xf numFmtId="0" fontId="36" fillId="0" borderId="14" xfId="0" applyFont="1" applyFill="1" applyBorder="1" applyAlignment="1">
      <alignment vertical="center"/>
    </xf>
    <xf numFmtId="3" fontId="25" fillId="0" borderId="14" xfId="0" applyNumberFormat="1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horizontal="right" vertical="center"/>
    </xf>
    <xf numFmtId="178" fontId="25" fillId="3" borderId="0" xfId="0" applyNumberFormat="1" applyFont="1" applyFill="1" applyBorder="1" applyAlignment="1">
      <alignment horizontal="right" vertical="center"/>
    </xf>
    <xf numFmtId="0" fontId="25" fillId="0" borderId="30" xfId="3" applyFont="1" applyFill="1" applyBorder="1" applyAlignment="1">
      <alignment vertical="center" wrapText="1"/>
    </xf>
    <xf numFmtId="176" fontId="25" fillId="0" borderId="53" xfId="3" applyNumberFormat="1" applyFont="1" applyFill="1" applyBorder="1" applyAlignment="1">
      <alignment vertical="center"/>
    </xf>
    <xf numFmtId="176" fontId="25" fillId="0" borderId="53" xfId="3" applyNumberFormat="1" applyFont="1" applyFill="1" applyBorder="1" applyAlignment="1">
      <alignment horizontal="right" vertical="center"/>
    </xf>
    <xf numFmtId="176" fontId="25" fillId="3" borderId="53" xfId="3" applyNumberFormat="1" applyFont="1" applyFill="1" applyBorder="1" applyAlignment="1">
      <alignment horizontal="right" vertical="center"/>
    </xf>
    <xf numFmtId="176" fontId="25" fillId="0" borderId="54" xfId="3" applyNumberFormat="1" applyFont="1" applyFill="1" applyBorder="1" applyAlignment="1">
      <alignment vertical="center"/>
    </xf>
    <xf numFmtId="3" fontId="12" fillId="0" borderId="34" xfId="0" applyNumberFormat="1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6" fontId="12" fillId="3" borderId="53" xfId="3" applyNumberFormat="1" applyFont="1" applyFill="1" applyBorder="1" applyAlignment="1">
      <alignment horizontal="right" vertical="center"/>
    </xf>
    <xf numFmtId="42" fontId="23" fillId="0" borderId="14" xfId="3" applyNumberFormat="1" applyFont="1" applyFill="1" applyBorder="1" applyAlignment="1">
      <alignment horizontal="center" vertical="center"/>
    </xf>
    <xf numFmtId="180" fontId="23" fillId="0" borderId="14" xfId="2" applyNumberFormat="1" applyFont="1" applyFill="1" applyBorder="1" applyAlignment="1">
      <alignment horizontal="center" vertical="center"/>
    </xf>
    <xf numFmtId="178" fontId="39" fillId="0" borderId="14" xfId="0" applyNumberFormat="1" applyFont="1" applyBorder="1">
      <alignment vertical="center"/>
    </xf>
    <xf numFmtId="176" fontId="46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197" fontId="46" fillId="0" borderId="0" xfId="3" applyNumberFormat="1" applyFont="1" applyFill="1" applyBorder="1" applyAlignment="1">
      <alignment vertical="center"/>
    </xf>
    <xf numFmtId="195" fontId="46" fillId="0" borderId="0" xfId="3" applyNumberFormat="1" applyFont="1" applyFill="1" applyBorder="1" applyAlignment="1">
      <alignment vertical="center"/>
    </xf>
    <xf numFmtId="41" fontId="46" fillId="0" borderId="0" xfId="2" applyNumberFormat="1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horizontal="center" vertical="center"/>
    </xf>
    <xf numFmtId="176" fontId="46" fillId="0" borderId="5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0" fontId="49" fillId="0" borderId="0" xfId="3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0" fontId="46" fillId="0" borderId="3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 wrapText="1"/>
    </xf>
    <xf numFmtId="0" fontId="46" fillId="0" borderId="0" xfId="0" applyNumberFormat="1" applyFont="1" applyFill="1" applyBorder="1" applyAlignment="1">
      <alignment horizontal="right" vertical="center"/>
    </xf>
    <xf numFmtId="41" fontId="46" fillId="0" borderId="0" xfId="21" applyNumberFormat="1" applyFont="1" applyFill="1" applyBorder="1" applyAlignment="1">
      <alignment horizontal="center" vertical="center"/>
    </xf>
    <xf numFmtId="0" fontId="50" fillId="0" borderId="0" xfId="3" applyNumberFormat="1" applyFont="1" applyFill="1" applyBorder="1" applyAlignment="1">
      <alignment vertical="center"/>
    </xf>
    <xf numFmtId="176" fontId="50" fillId="0" borderId="0" xfId="3" applyNumberFormat="1" applyFont="1" applyFill="1" applyBorder="1" applyAlignment="1">
      <alignment vertical="center"/>
    </xf>
    <xf numFmtId="176" fontId="50" fillId="0" borderId="53" xfId="3" applyNumberFormat="1" applyFont="1" applyFill="1" applyBorder="1" applyAlignment="1">
      <alignment vertical="center"/>
    </xf>
    <xf numFmtId="176" fontId="50" fillId="0" borderId="53" xfId="3" applyNumberFormat="1" applyFont="1" applyFill="1" applyBorder="1" applyAlignment="1">
      <alignment horizontal="right" vertical="center"/>
    </xf>
    <xf numFmtId="176" fontId="50" fillId="0" borderId="54" xfId="3" applyNumberFormat="1" applyFont="1" applyFill="1" applyBorder="1" applyAlignment="1">
      <alignment vertical="center"/>
    </xf>
    <xf numFmtId="42" fontId="46" fillId="0" borderId="0" xfId="3" applyNumberFormat="1" applyFont="1" applyFill="1" applyBorder="1" applyAlignment="1">
      <alignment horizontal="center" vertical="center"/>
    </xf>
    <xf numFmtId="176" fontId="50" fillId="0" borderId="14" xfId="3" applyNumberFormat="1" applyFont="1" applyFill="1" applyBorder="1" applyAlignment="1">
      <alignment vertical="center"/>
    </xf>
    <xf numFmtId="176" fontId="50" fillId="0" borderId="14" xfId="3" applyNumberFormat="1" applyFont="1" applyFill="1" applyBorder="1" applyAlignment="1">
      <alignment horizontal="right" vertical="center"/>
    </xf>
    <xf numFmtId="176" fontId="46" fillId="0" borderId="37" xfId="3" applyNumberFormat="1" applyFont="1" applyFill="1" applyBorder="1" applyAlignment="1">
      <alignment vertical="center"/>
    </xf>
    <xf numFmtId="0" fontId="46" fillId="0" borderId="33" xfId="3" applyNumberFormat="1" applyFont="1" applyFill="1" applyBorder="1" applyAlignment="1">
      <alignment vertical="center"/>
    </xf>
    <xf numFmtId="176" fontId="50" fillId="0" borderId="0" xfId="3" applyNumberFormat="1" applyFont="1" applyFill="1" applyBorder="1" applyAlignment="1">
      <alignment horizontal="right" vertical="center"/>
    </xf>
    <xf numFmtId="41" fontId="46" fillId="0" borderId="0" xfId="21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41" fontId="47" fillId="0" borderId="0" xfId="21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horizontal="center" vertical="center"/>
    </xf>
    <xf numFmtId="176" fontId="47" fillId="0" borderId="0" xfId="3" applyNumberFormat="1" applyFont="1" applyFill="1" applyBorder="1" applyAlignment="1">
      <alignment horizontal="right" vertical="center"/>
    </xf>
    <xf numFmtId="176" fontId="47" fillId="0" borderId="5" xfId="3" applyNumberFormat="1" applyFont="1" applyFill="1" applyBorder="1" applyAlignment="1">
      <alignment vertical="center"/>
    </xf>
    <xf numFmtId="176" fontId="46" fillId="0" borderId="0" xfId="4" applyNumberFormat="1" applyFont="1" applyFill="1" applyBorder="1" applyAlignment="1">
      <alignment vertical="center"/>
    </xf>
    <xf numFmtId="0" fontId="46" fillId="0" borderId="0" xfId="0" applyNumberFormat="1" applyFont="1" applyFill="1" applyBorder="1" applyAlignment="1">
      <alignment vertical="center"/>
    </xf>
    <xf numFmtId="176" fontId="46" fillId="0" borderId="0" xfId="4" applyNumberFormat="1" applyFont="1" applyFill="1" applyBorder="1" applyAlignment="1">
      <alignment horizontal="left" vertical="center"/>
    </xf>
    <xf numFmtId="0" fontId="46" fillId="0" borderId="0" xfId="0" applyNumberFormat="1" applyFont="1" applyFill="1">
      <alignment vertical="center"/>
    </xf>
    <xf numFmtId="0" fontId="46" fillId="0" borderId="5" xfId="0" applyNumberFormat="1" applyFont="1" applyFill="1" applyBorder="1">
      <alignment vertical="center"/>
    </xf>
    <xf numFmtId="0" fontId="46" fillId="0" borderId="0" xfId="0" applyNumberFormat="1" applyFont="1" applyFill="1" applyBorder="1">
      <alignment vertical="center"/>
    </xf>
    <xf numFmtId="0" fontId="46" fillId="3" borderId="57" xfId="0" applyNumberFormat="1" applyFont="1" applyFill="1" applyBorder="1">
      <alignment vertical="center"/>
    </xf>
    <xf numFmtId="42" fontId="46" fillId="3" borderId="58" xfId="3" applyNumberFormat="1" applyFont="1" applyFill="1" applyBorder="1" applyAlignment="1">
      <alignment vertical="center"/>
    </xf>
    <xf numFmtId="176" fontId="46" fillId="3" borderId="58" xfId="3" applyNumberFormat="1" applyFont="1" applyFill="1" applyBorder="1" applyAlignment="1">
      <alignment vertical="center"/>
    </xf>
    <xf numFmtId="41" fontId="46" fillId="3" borderId="58" xfId="21" applyNumberFormat="1" applyFont="1" applyFill="1" applyBorder="1" applyAlignment="1">
      <alignment vertical="center"/>
    </xf>
    <xf numFmtId="176" fontId="46" fillId="3" borderId="58" xfId="3" applyNumberFormat="1" applyFont="1" applyFill="1" applyBorder="1" applyAlignment="1">
      <alignment horizontal="center" vertical="center"/>
    </xf>
    <xf numFmtId="176" fontId="46" fillId="3" borderId="58" xfId="3" applyNumberFormat="1" applyFont="1" applyFill="1" applyBorder="1" applyAlignment="1">
      <alignment horizontal="right" vertical="center"/>
    </xf>
    <xf numFmtId="176" fontId="46" fillId="3" borderId="59" xfId="3" applyNumberFormat="1" applyFont="1" applyFill="1" applyBorder="1" applyAlignment="1">
      <alignment vertical="center"/>
    </xf>
    <xf numFmtId="178" fontId="46" fillId="0" borderId="0" xfId="0" applyNumberFormat="1" applyFont="1" applyFill="1" applyBorder="1" applyAlignment="1">
      <alignment horizontal="right" vertical="center"/>
    </xf>
    <xf numFmtId="178" fontId="46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vertical="center"/>
    </xf>
    <xf numFmtId="0" fontId="5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0" fontId="12" fillId="0" borderId="37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25" fillId="3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47" fillId="0" borderId="0" xfId="0" applyNumberFormat="1" applyFont="1" applyFill="1" applyBorder="1">
      <alignment vertical="center"/>
    </xf>
    <xf numFmtId="176" fontId="9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76" fontId="23" fillId="0" borderId="13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98" fontId="42" fillId="0" borderId="12" xfId="8" applyNumberFormat="1" applyFont="1" applyBorder="1" applyAlignment="1">
      <alignment vertical="center"/>
    </xf>
    <xf numFmtId="198" fontId="44" fillId="0" borderId="18" xfId="8" applyNumberFormat="1" applyFont="1" applyBorder="1">
      <alignment vertical="center"/>
    </xf>
    <xf numFmtId="198" fontId="0" fillId="0" borderId="56" xfId="8" applyNumberFormat="1" applyFont="1" applyBorder="1">
      <alignment vertical="center"/>
    </xf>
    <xf numFmtId="198" fontId="42" fillId="0" borderId="36" xfId="8" applyNumberFormat="1" applyFont="1" applyBorder="1" applyAlignment="1">
      <alignment vertical="center"/>
    </xf>
    <xf numFmtId="198" fontId="44" fillId="0" borderId="41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0" fontId="46" fillId="0" borderId="33" xfId="22" applyNumberFormat="1" applyFont="1" applyFill="1" applyBorder="1" applyAlignment="1">
      <alignment vertical="center"/>
    </xf>
    <xf numFmtId="176" fontId="46" fillId="0" borderId="0" xfId="22" applyNumberFormat="1" applyFont="1" applyFill="1" applyBorder="1" applyAlignment="1">
      <alignment vertical="center"/>
    </xf>
    <xf numFmtId="176" fontId="46" fillId="0" borderId="5" xfId="22" applyNumberFormat="1" applyFont="1" applyFill="1" applyBorder="1" applyAlignment="1">
      <alignment vertical="center"/>
    </xf>
    <xf numFmtId="0" fontId="46" fillId="0" borderId="0" xfId="22" applyNumberFormat="1" applyFont="1" applyFill="1" applyBorder="1" applyAlignment="1">
      <alignment vertical="center"/>
    </xf>
    <xf numFmtId="176" fontId="46" fillId="0" borderId="0" xfId="22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52" fillId="0" borderId="0" xfId="3" applyNumberFormat="1" applyFont="1" applyFill="1" applyBorder="1" applyAlignment="1">
      <alignment vertical="center"/>
    </xf>
    <xf numFmtId="178" fontId="52" fillId="0" borderId="0" xfId="0" applyNumberFormat="1" applyFont="1" applyFill="1" applyBorder="1" applyAlignment="1">
      <alignment horizontal="right" vertical="center"/>
    </xf>
    <xf numFmtId="0" fontId="1" fillId="0" borderId="20" xfId="7" applyFont="1" applyBorder="1" applyAlignment="1">
      <alignment horizontal="center" vertical="center"/>
    </xf>
    <xf numFmtId="176" fontId="52" fillId="0" borderId="0" xfId="3" applyNumberFormat="1" applyFont="1" applyFill="1" applyBorder="1" applyAlignment="1">
      <alignment horizontal="right" vertical="center"/>
    </xf>
    <xf numFmtId="176" fontId="25" fillId="0" borderId="14" xfId="3" applyNumberFormat="1" applyFont="1" applyFill="1" applyBorder="1" applyAlignment="1">
      <alignment vertical="center"/>
    </xf>
    <xf numFmtId="176" fontId="53" fillId="0" borderId="14" xfId="3" applyNumberFormat="1" applyFont="1" applyFill="1" applyBorder="1" applyAlignment="1">
      <alignment horizontal="right" vertical="center"/>
    </xf>
    <xf numFmtId="178" fontId="52" fillId="0" borderId="0" xfId="0" applyNumberFormat="1" applyFont="1" applyFill="1" applyAlignment="1">
      <alignment horizontal="right" vertical="center"/>
    </xf>
    <xf numFmtId="176" fontId="52" fillId="3" borderId="58" xfId="3" applyNumberFormat="1" applyFont="1" applyFill="1" applyBorder="1" applyAlignment="1">
      <alignment vertical="center"/>
    </xf>
    <xf numFmtId="198" fontId="44" fillId="0" borderId="36" xfId="8" applyNumberFormat="1" applyFont="1" applyBorder="1" applyAlignment="1">
      <alignment vertical="center"/>
    </xf>
    <xf numFmtId="198" fontId="44" fillId="0" borderId="12" xfId="8" applyNumberFormat="1" applyFont="1" applyBorder="1" applyAlignment="1">
      <alignment vertical="center"/>
    </xf>
    <xf numFmtId="176" fontId="46" fillId="2" borderId="0" xfId="22" applyNumberFormat="1" applyFont="1" applyFill="1" applyBorder="1" applyAlignment="1">
      <alignment vertical="center"/>
    </xf>
    <xf numFmtId="176" fontId="12" fillId="2" borderId="14" xfId="3" applyNumberFormat="1" applyFont="1" applyFill="1" applyBorder="1" applyAlignment="1">
      <alignment horizontal="right" vertical="center"/>
    </xf>
    <xf numFmtId="0" fontId="5" fillId="0" borderId="25" xfId="7" applyBorder="1" applyAlignment="1">
      <alignment horizontal="center" vertical="center"/>
    </xf>
    <xf numFmtId="0" fontId="5" fillId="0" borderId="0" xfId="7" applyBorder="1" applyAlignment="1">
      <alignment horizontal="center" vertical="center"/>
    </xf>
    <xf numFmtId="0" fontId="5" fillId="0" borderId="46" xfId="7" applyBorder="1" applyAlignment="1">
      <alignment horizontal="center" vertical="center"/>
    </xf>
    <xf numFmtId="0" fontId="5" fillId="0" borderId="13" xfId="7" applyBorder="1" applyAlignment="1">
      <alignment horizontal="center" vertical="center"/>
    </xf>
    <xf numFmtId="0" fontId="41" fillId="0" borderId="17" xfId="7" applyFont="1" applyBorder="1" applyAlignment="1">
      <alignment horizontal="center" vertical="center"/>
    </xf>
    <xf numFmtId="0" fontId="41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29" fillId="0" borderId="43" xfId="7" applyFont="1" applyBorder="1" applyAlignment="1">
      <alignment horizontal="center" vertical="center"/>
    </xf>
    <xf numFmtId="0" fontId="29" fillId="0" borderId="8" xfId="7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29" fillId="0" borderId="9" xfId="7" applyFont="1" applyBorder="1" applyAlignment="1">
      <alignment horizontal="center" vertical="center"/>
    </xf>
    <xf numFmtId="0" fontId="29" fillId="0" borderId="15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/>
    </xf>
    <xf numFmtId="0" fontId="29" fillId="0" borderId="48" xfId="7" applyFont="1" applyBorder="1" applyAlignment="1">
      <alignment horizontal="center" vertical="center"/>
    </xf>
    <xf numFmtId="0" fontId="29" fillId="0" borderId="49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 wrapText="1"/>
    </xf>
    <xf numFmtId="0" fontId="29" fillId="0" borderId="49" xfId="7" applyFont="1" applyBorder="1" applyAlignment="1">
      <alignment horizontal="center" vertical="center" wrapText="1"/>
    </xf>
    <xf numFmtId="0" fontId="29" fillId="0" borderId="41" xfId="7" applyFont="1" applyBorder="1" applyAlignment="1">
      <alignment horizontal="center" vertical="center"/>
    </xf>
    <xf numFmtId="0" fontId="29" fillId="0" borderId="50" xfId="7" applyFont="1" applyBorder="1" applyAlignment="1">
      <alignment horizontal="center" vertical="center"/>
    </xf>
    <xf numFmtId="0" fontId="29" fillId="0" borderId="18" xfId="7" applyFont="1" applyBorder="1" applyAlignment="1">
      <alignment horizontal="center" vertical="center"/>
    </xf>
    <xf numFmtId="0" fontId="29" fillId="0" borderId="51" xfId="7" applyFont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47" xfId="3" applyFont="1" applyFill="1" applyBorder="1" applyAlignment="1">
      <alignment horizontal="center" vertical="center" wrapText="1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2" xfId="3" applyNumberFormat="1" applyFont="1" applyFill="1" applyBorder="1" applyAlignment="1">
      <alignment horizontal="center" vertical="center" wrapText="1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33" fillId="0" borderId="43" xfId="3" applyFont="1" applyFill="1" applyBorder="1" applyAlignment="1">
      <alignment horizontal="center" vertical="center" wrapText="1"/>
    </xf>
    <xf numFmtId="0" fontId="33" fillId="0" borderId="8" xfId="3" applyFont="1" applyFill="1" applyBorder="1" applyAlignment="1">
      <alignment horizontal="center" vertical="center" wrapText="1"/>
    </xf>
    <xf numFmtId="0" fontId="31" fillId="0" borderId="33" xfId="3" applyFont="1" applyFill="1" applyBorder="1" applyAlignment="1">
      <alignment horizontal="center" vertical="center" wrapText="1"/>
    </xf>
    <xf numFmtId="0" fontId="31" fillId="0" borderId="26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12" fillId="0" borderId="36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4" fillId="0" borderId="2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46" fillId="0" borderId="33" xfId="3" applyNumberFormat="1" applyFont="1" applyFill="1" applyBorder="1" applyAlignment="1">
      <alignment horizontal="left" vertical="center" wrapText="1"/>
    </xf>
    <xf numFmtId="0" fontId="46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de66235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22fe21b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6661a77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a0d28a2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I11" sqref="I11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539</v>
      </c>
      <c r="K2" s="164" t="s">
        <v>307</v>
      </c>
    </row>
    <row r="3" spans="2:11" ht="9.9499999999999993" customHeight="1" thickBot="1"/>
    <row r="4" spans="2:11" ht="30" customHeight="1">
      <c r="B4" s="558" t="s">
        <v>113</v>
      </c>
      <c r="C4" s="559"/>
      <c r="D4" s="559"/>
      <c r="E4" s="559"/>
      <c r="F4" s="560"/>
      <c r="G4" s="558" t="s">
        <v>114</v>
      </c>
      <c r="H4" s="559"/>
      <c r="I4" s="559"/>
      <c r="J4" s="559"/>
      <c r="K4" s="561"/>
    </row>
    <row r="5" spans="2:11" ht="16.5" customHeight="1">
      <c r="B5" s="562" t="s">
        <v>115</v>
      </c>
      <c r="C5" s="563"/>
      <c r="D5" s="566" t="s">
        <v>523</v>
      </c>
      <c r="E5" s="566" t="s">
        <v>540</v>
      </c>
      <c r="F5" s="568" t="s">
        <v>116</v>
      </c>
      <c r="G5" s="562" t="s">
        <v>115</v>
      </c>
      <c r="H5" s="563"/>
      <c r="I5" s="566" t="s">
        <v>523</v>
      </c>
      <c r="J5" s="566" t="s">
        <v>540</v>
      </c>
      <c r="K5" s="570" t="s">
        <v>116</v>
      </c>
    </row>
    <row r="6" spans="2:11" ht="22.5" customHeight="1" thickBot="1">
      <c r="B6" s="564"/>
      <c r="C6" s="565"/>
      <c r="D6" s="567"/>
      <c r="E6" s="567"/>
      <c r="F6" s="569"/>
      <c r="G6" s="564"/>
      <c r="H6" s="565"/>
      <c r="I6" s="567"/>
      <c r="J6" s="567"/>
      <c r="K6" s="571"/>
    </row>
    <row r="7" spans="2:11" ht="24.95" customHeight="1" thickTop="1">
      <c r="B7" s="551" t="s">
        <v>117</v>
      </c>
      <c r="C7" s="552"/>
      <c r="D7" s="404">
        <f>SUM(D8:D23)/2</f>
        <v>138605000</v>
      </c>
      <c r="E7" s="404">
        <f>SUM(E8:E23)/2</f>
        <v>136226000</v>
      </c>
      <c r="F7" s="525">
        <f>SUM(F8:F23)/2</f>
        <v>-2379000</v>
      </c>
      <c r="G7" s="551" t="s">
        <v>117</v>
      </c>
      <c r="H7" s="552"/>
      <c r="I7" s="404">
        <f>SUM(I8:I27)/2</f>
        <v>138605000</v>
      </c>
      <c r="J7" s="404">
        <f>SUM(J8:J27)/2</f>
        <v>136226000</v>
      </c>
      <c r="K7" s="522">
        <f>SUM(K8:K27)/2</f>
        <v>-2379000</v>
      </c>
    </row>
    <row r="8" spans="2:11" ht="24.95" customHeight="1">
      <c r="B8" s="553" t="s">
        <v>118</v>
      </c>
      <c r="C8" s="405" t="s">
        <v>305</v>
      </c>
      <c r="D8" s="406">
        <f>D9</f>
        <v>13760000</v>
      </c>
      <c r="E8" s="406">
        <f>E9</f>
        <v>13760000</v>
      </c>
      <c r="F8" s="543">
        <f>F9</f>
        <v>0</v>
      </c>
      <c r="G8" s="553" t="s">
        <v>120</v>
      </c>
      <c r="H8" s="405" t="s">
        <v>305</v>
      </c>
      <c r="I8" s="406">
        <f>SUM(I9:I11)</f>
        <v>116572000</v>
      </c>
      <c r="J8" s="406">
        <f>SUM(J9:J11)</f>
        <v>116382000</v>
      </c>
      <c r="K8" s="544">
        <f>SUM(K9:K11)</f>
        <v>-190000</v>
      </c>
    </row>
    <row r="9" spans="2:11" ht="24.95" customHeight="1">
      <c r="B9" s="554"/>
      <c r="C9" s="165" t="s">
        <v>119</v>
      </c>
      <c r="D9" s="166">
        <v>13760000</v>
      </c>
      <c r="E9" s="166">
        <v>13760000</v>
      </c>
      <c r="F9" s="527">
        <f>E9-D9</f>
        <v>0</v>
      </c>
      <c r="G9" s="555"/>
      <c r="H9" s="165" t="s">
        <v>121</v>
      </c>
      <c r="I9" s="166">
        <v>104510000</v>
      </c>
      <c r="J9" s="166">
        <v>104510000</v>
      </c>
      <c r="K9" s="168">
        <f>J9-I9</f>
        <v>0</v>
      </c>
    </row>
    <row r="10" spans="2:11" ht="24.95" customHeight="1">
      <c r="B10" s="553" t="s">
        <v>122</v>
      </c>
      <c r="C10" s="407" t="s">
        <v>305</v>
      </c>
      <c r="D10" s="408">
        <f>SUM(D11:D14)</f>
        <v>116366000</v>
      </c>
      <c r="E10" s="408">
        <f>SUM(E11:E14)</f>
        <v>113980000</v>
      </c>
      <c r="F10" s="526">
        <f>SUM(F11:F14)</f>
        <v>-2386000</v>
      </c>
      <c r="G10" s="555"/>
      <c r="H10" s="165" t="s">
        <v>123</v>
      </c>
      <c r="I10" s="166">
        <v>70000</v>
      </c>
      <c r="J10" s="166">
        <v>70000</v>
      </c>
      <c r="K10" s="519">
        <f>J10-I10</f>
        <v>0</v>
      </c>
    </row>
    <row r="11" spans="2:11" ht="24.95" customHeight="1">
      <c r="B11" s="555"/>
      <c r="C11" s="269" t="s">
        <v>265</v>
      </c>
      <c r="D11" s="166">
        <v>0</v>
      </c>
      <c r="E11" s="166">
        <v>0</v>
      </c>
      <c r="F11" s="167">
        <f t="shared" ref="F11:F23" si="0">E11-D11</f>
        <v>0</v>
      </c>
      <c r="G11" s="554"/>
      <c r="H11" s="165" t="s">
        <v>76</v>
      </c>
      <c r="I11" s="166">
        <v>11992000</v>
      </c>
      <c r="J11" s="166">
        <v>11802000</v>
      </c>
      <c r="K11" s="519">
        <f t="shared" ref="K11" si="1">J11-I11</f>
        <v>-190000</v>
      </c>
    </row>
    <row r="12" spans="2:11" ht="24.95" customHeight="1">
      <c r="B12" s="555"/>
      <c r="C12" s="269" t="s">
        <v>266</v>
      </c>
      <c r="D12" s="166">
        <v>116066000</v>
      </c>
      <c r="E12" s="166">
        <v>113680000</v>
      </c>
      <c r="F12" s="527">
        <f t="shared" si="0"/>
        <v>-2386000</v>
      </c>
      <c r="G12" s="553" t="s">
        <v>77</v>
      </c>
      <c r="H12" s="407" t="s">
        <v>305</v>
      </c>
      <c r="I12" s="408">
        <f>SUM(I14:I15)</f>
        <v>4167000</v>
      </c>
      <c r="J12" s="408">
        <f>SUM(J14:J15)</f>
        <v>4167000</v>
      </c>
      <c r="K12" s="523">
        <f>SUM(K14:K15)</f>
        <v>0</v>
      </c>
    </row>
    <row r="13" spans="2:11" ht="24.95" customHeight="1">
      <c r="B13" s="555"/>
      <c r="C13" s="269" t="s">
        <v>267</v>
      </c>
      <c r="D13" s="166">
        <v>300000</v>
      </c>
      <c r="E13" s="166">
        <v>300000</v>
      </c>
      <c r="F13" s="527">
        <f t="shared" ref="F13" si="2">E13-D13</f>
        <v>0</v>
      </c>
      <c r="G13" s="555"/>
      <c r="H13" s="165" t="s">
        <v>78</v>
      </c>
      <c r="I13" s="166">
        <v>0</v>
      </c>
      <c r="J13" s="166">
        <v>0</v>
      </c>
      <c r="K13" s="168">
        <f t="shared" ref="K13" si="3">J13-I13</f>
        <v>0</v>
      </c>
    </row>
    <row r="14" spans="2:11" ht="24.95" customHeight="1">
      <c r="B14" s="554"/>
      <c r="C14" s="521" t="s">
        <v>515</v>
      </c>
      <c r="D14" s="166">
        <v>0</v>
      </c>
      <c r="E14" s="166">
        <v>0</v>
      </c>
      <c r="F14" s="527">
        <f t="shared" si="0"/>
        <v>0</v>
      </c>
      <c r="G14" s="555"/>
      <c r="H14" s="521" t="s">
        <v>516</v>
      </c>
      <c r="I14" s="166">
        <v>3755000</v>
      </c>
      <c r="J14" s="166">
        <v>3755000</v>
      </c>
      <c r="K14" s="168">
        <f t="shared" ref="K14" si="4">J14-I14</f>
        <v>0</v>
      </c>
    </row>
    <row r="15" spans="2:11" ht="24.95" customHeight="1">
      <c r="B15" s="553" t="s">
        <v>79</v>
      </c>
      <c r="C15" s="407" t="s">
        <v>305</v>
      </c>
      <c r="D15" s="408">
        <f>SUM(D16:D17)</f>
        <v>1113000</v>
      </c>
      <c r="E15" s="408">
        <f>SUM(E16:E17)</f>
        <v>1120000</v>
      </c>
      <c r="F15" s="526">
        <f>SUM(F16:F17)</f>
        <v>7000</v>
      </c>
      <c r="G15" s="555"/>
      <c r="H15" s="537" t="s">
        <v>538</v>
      </c>
      <c r="I15" s="166">
        <v>412000</v>
      </c>
      <c r="J15" s="166">
        <v>412000</v>
      </c>
      <c r="K15" s="519">
        <f t="shared" ref="K15" si="5">J15-I15</f>
        <v>0</v>
      </c>
    </row>
    <row r="16" spans="2:11" ht="24.95" customHeight="1">
      <c r="B16" s="555"/>
      <c r="C16" s="537" t="s">
        <v>537</v>
      </c>
      <c r="D16" s="166">
        <v>610000</v>
      </c>
      <c r="E16" s="166">
        <v>610000</v>
      </c>
      <c r="F16" s="527">
        <f t="shared" si="0"/>
        <v>0</v>
      </c>
      <c r="G16" s="557"/>
      <c r="H16" s="165"/>
      <c r="I16" s="166"/>
      <c r="J16" s="166"/>
      <c r="K16" s="519"/>
    </row>
    <row r="17" spans="2:11" ht="24.95" customHeight="1">
      <c r="B17" s="554"/>
      <c r="C17" s="165" t="s">
        <v>80</v>
      </c>
      <c r="D17" s="166">
        <v>503000</v>
      </c>
      <c r="E17" s="166">
        <v>510000</v>
      </c>
      <c r="F17" s="527">
        <f t="shared" si="0"/>
        <v>7000</v>
      </c>
      <c r="G17" s="553" t="s">
        <v>83</v>
      </c>
      <c r="H17" s="407" t="s">
        <v>305</v>
      </c>
      <c r="I17" s="408">
        <f>SUM(I18:I23)</f>
        <v>17724000</v>
      </c>
      <c r="J17" s="408">
        <f>SUM(J18:J23)</f>
        <v>14991000</v>
      </c>
      <c r="K17" s="523">
        <f>SUM(K18:K23)</f>
        <v>-2733000</v>
      </c>
    </row>
    <row r="18" spans="2:11" ht="24.95" customHeight="1">
      <c r="B18" s="553" t="s">
        <v>81</v>
      </c>
      <c r="C18" s="407" t="s">
        <v>305</v>
      </c>
      <c r="D18" s="408">
        <v>0</v>
      </c>
      <c r="E18" s="408">
        <v>0</v>
      </c>
      <c r="F18" s="526">
        <f>F19</f>
        <v>0</v>
      </c>
      <c r="G18" s="555"/>
      <c r="H18" s="165" t="s">
        <v>84</v>
      </c>
      <c r="I18" s="166">
        <v>10828000</v>
      </c>
      <c r="J18" s="166">
        <v>9678000</v>
      </c>
      <c r="K18" s="519">
        <f t="shared" ref="K18:K23" si="6">J18-I18</f>
        <v>-1150000</v>
      </c>
    </row>
    <row r="19" spans="2:11" ht="24.95" customHeight="1">
      <c r="B19" s="554"/>
      <c r="C19" s="165" t="s">
        <v>82</v>
      </c>
      <c r="D19" s="166">
        <v>0</v>
      </c>
      <c r="E19" s="166">
        <v>0</v>
      </c>
      <c r="F19" s="527">
        <f t="shared" si="0"/>
        <v>0</v>
      </c>
      <c r="G19" s="555"/>
      <c r="H19" s="165" t="s">
        <v>87</v>
      </c>
      <c r="I19" s="166">
        <v>467000</v>
      </c>
      <c r="J19" s="166">
        <v>474000</v>
      </c>
      <c r="K19" s="519">
        <f t="shared" si="6"/>
        <v>7000</v>
      </c>
    </row>
    <row r="20" spans="2:11" ht="24.95" customHeight="1">
      <c r="B20" s="553" t="s">
        <v>85</v>
      </c>
      <c r="C20" s="407" t="s">
        <v>305</v>
      </c>
      <c r="D20" s="508">
        <f>D21</f>
        <v>5447000</v>
      </c>
      <c r="E20" s="508">
        <f>E21</f>
        <v>5447000</v>
      </c>
      <c r="F20" s="409">
        <f>F21</f>
        <v>0</v>
      </c>
      <c r="G20" s="555"/>
      <c r="H20" s="165" t="s">
        <v>90</v>
      </c>
      <c r="I20" s="166">
        <v>240000</v>
      </c>
      <c r="J20" s="166">
        <v>240000</v>
      </c>
      <c r="K20" s="519">
        <f t="shared" si="6"/>
        <v>0</v>
      </c>
    </row>
    <row r="21" spans="2:11" ht="24.95" customHeight="1">
      <c r="B21" s="554"/>
      <c r="C21" s="165" t="s">
        <v>86</v>
      </c>
      <c r="D21" s="507">
        <v>5447000</v>
      </c>
      <c r="E21" s="507">
        <v>5447000</v>
      </c>
      <c r="F21" s="167">
        <f t="shared" si="0"/>
        <v>0</v>
      </c>
      <c r="G21" s="555"/>
      <c r="H21" s="165" t="s">
        <v>91</v>
      </c>
      <c r="I21" s="166">
        <v>229000</v>
      </c>
      <c r="J21" s="166">
        <v>229000</v>
      </c>
      <c r="K21" s="519">
        <f t="shared" si="6"/>
        <v>0</v>
      </c>
    </row>
    <row r="22" spans="2:11" ht="24.95" customHeight="1">
      <c r="B22" s="553" t="s">
        <v>88</v>
      </c>
      <c r="C22" s="407" t="s">
        <v>305</v>
      </c>
      <c r="D22" s="508">
        <f>D23</f>
        <v>1919000</v>
      </c>
      <c r="E22" s="508">
        <f>E23</f>
        <v>1919000</v>
      </c>
      <c r="F22" s="526">
        <f>F23</f>
        <v>0</v>
      </c>
      <c r="G22" s="555"/>
      <c r="H22" s="165" t="s">
        <v>92</v>
      </c>
      <c r="I22" s="166">
        <v>120000</v>
      </c>
      <c r="J22" s="166">
        <v>0</v>
      </c>
      <c r="K22" s="519">
        <f t="shared" si="6"/>
        <v>-120000</v>
      </c>
    </row>
    <row r="23" spans="2:11" ht="24.95" customHeight="1">
      <c r="B23" s="554"/>
      <c r="C23" s="165" t="s">
        <v>89</v>
      </c>
      <c r="D23" s="507">
        <v>1919000</v>
      </c>
      <c r="E23" s="507">
        <v>1919000</v>
      </c>
      <c r="F23" s="527">
        <f t="shared" si="0"/>
        <v>0</v>
      </c>
      <c r="G23" s="554"/>
      <c r="H23" s="165" t="s">
        <v>93</v>
      </c>
      <c r="I23" s="166">
        <v>5840000</v>
      </c>
      <c r="J23" s="166">
        <v>4370000</v>
      </c>
      <c r="K23" s="519">
        <f t="shared" si="6"/>
        <v>-1470000</v>
      </c>
    </row>
    <row r="24" spans="2:11" ht="24.95" customHeight="1">
      <c r="B24" s="547"/>
      <c r="C24" s="548"/>
      <c r="D24" s="548"/>
      <c r="E24" s="548"/>
      <c r="F24" s="548"/>
      <c r="G24" s="553" t="s">
        <v>95</v>
      </c>
      <c r="H24" s="407" t="s">
        <v>305</v>
      </c>
      <c r="I24" s="408">
        <f>I25</f>
        <v>0</v>
      </c>
      <c r="J24" s="408">
        <f>J25</f>
        <v>0</v>
      </c>
      <c r="K24" s="410">
        <f>K25</f>
        <v>0</v>
      </c>
    </row>
    <row r="25" spans="2:11" ht="24.95" customHeight="1">
      <c r="B25" s="547"/>
      <c r="C25" s="548"/>
      <c r="D25" s="548"/>
      <c r="E25" s="548"/>
      <c r="F25" s="548"/>
      <c r="G25" s="554"/>
      <c r="H25" s="165" t="s">
        <v>96</v>
      </c>
      <c r="I25" s="166">
        <v>0</v>
      </c>
      <c r="J25" s="166">
        <v>0</v>
      </c>
      <c r="K25" s="168">
        <f t="shared" ref="K25" si="7">J25-I25</f>
        <v>0</v>
      </c>
    </row>
    <row r="26" spans="2:11" ht="24.95" customHeight="1">
      <c r="B26" s="547"/>
      <c r="C26" s="548"/>
      <c r="D26" s="548"/>
      <c r="E26" s="548"/>
      <c r="F26" s="548"/>
      <c r="G26" s="553" t="s">
        <v>97</v>
      </c>
      <c r="H26" s="407" t="s">
        <v>305</v>
      </c>
      <c r="I26" s="508">
        <f>SUM(I27:I27)</f>
        <v>142000</v>
      </c>
      <c r="J26" s="508">
        <f>SUM(J27:J27)</f>
        <v>686000</v>
      </c>
      <c r="K26" s="523">
        <f>SUM(K27:K31)</f>
        <v>544000</v>
      </c>
    </row>
    <row r="27" spans="2:11" ht="24.95" customHeight="1" thickBot="1">
      <c r="B27" s="549"/>
      <c r="C27" s="550"/>
      <c r="D27" s="550"/>
      <c r="E27" s="550"/>
      <c r="F27" s="550"/>
      <c r="G27" s="556"/>
      <c r="H27" s="511" t="s">
        <v>94</v>
      </c>
      <c r="I27" s="512">
        <v>142000</v>
      </c>
      <c r="J27" s="512">
        <v>686000</v>
      </c>
      <c r="K27" s="524">
        <f t="shared" ref="K27" si="8">J27-I27</f>
        <v>544000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4:F27"/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6:G27"/>
    <mergeCell ref="G17:G23"/>
    <mergeCell ref="G24:G25"/>
    <mergeCell ref="G12:G1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7"/>
  <sheetViews>
    <sheetView workbookViewId="0">
      <selection sqref="A1:D1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82" t="s">
        <v>541</v>
      </c>
      <c r="B1" s="582"/>
      <c r="C1" s="582"/>
      <c r="D1" s="582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83" t="s">
        <v>62</v>
      </c>
      <c r="B2" s="584"/>
      <c r="C2" s="584"/>
      <c r="D2" s="584"/>
      <c r="E2" s="575" t="s">
        <v>522</v>
      </c>
      <c r="F2" s="575" t="s">
        <v>542</v>
      </c>
      <c r="G2" s="577" t="s">
        <v>23</v>
      </c>
      <c r="H2" s="577"/>
      <c r="I2" s="577" t="s">
        <v>54</v>
      </c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8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124</v>
      </c>
      <c r="D3" s="20" t="s">
        <v>125</v>
      </c>
      <c r="E3" s="576"/>
      <c r="F3" s="576"/>
      <c r="G3" s="132" t="s">
        <v>101</v>
      </c>
      <c r="H3" s="21" t="s">
        <v>4</v>
      </c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80"/>
      <c r="Z3" s="8"/>
    </row>
    <row r="4" spans="1:26" s="3" customFormat="1" ht="19.5" customHeight="1">
      <c r="A4" s="585" t="s">
        <v>24</v>
      </c>
      <c r="B4" s="586"/>
      <c r="C4" s="586"/>
      <c r="D4" s="587"/>
      <c r="E4" s="192">
        <f>SUM(E5,E9,E11,E13,E145,E158,E165,E174,E199)</f>
        <v>138605</v>
      </c>
      <c r="F4" s="192">
        <f>SUM(F5,F9,F11,F13,F145,F158,F165,F174,F199)</f>
        <v>136226</v>
      </c>
      <c r="G4" s="285">
        <f>SUM(G5,G9,G11,G13,G145,G158,G165,G174,G199)</f>
        <v>-2379</v>
      </c>
      <c r="H4" s="193">
        <f t="shared" ref="H4" si="0">IF(E4=0,0,G4/E4)</f>
        <v>-1.7163882976804587E-2</v>
      </c>
      <c r="I4" s="22" t="s">
        <v>110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SUM(X5,X9,X11,X13,X145,X158,X165,X174,X199)</f>
        <v>136226000</v>
      </c>
      <c r="Y4" s="24" t="s">
        <v>111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100</v>
      </c>
      <c r="D5" s="170" t="s">
        <v>100</v>
      </c>
      <c r="E5" s="186">
        <v>13760</v>
      </c>
      <c r="F5" s="186">
        <f>ROUND(X5/1000,0)</f>
        <v>13760</v>
      </c>
      <c r="G5" s="187">
        <f>F5-E5</f>
        <v>0</v>
      </c>
      <c r="H5" s="188">
        <f>IF(E5=0,0,G5/E5)</f>
        <v>0</v>
      </c>
      <c r="I5" s="32" t="s">
        <v>109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13760000</v>
      </c>
      <c r="Y5" s="36" t="s">
        <v>25</v>
      </c>
    </row>
    <row r="6" spans="1:26" ht="21" customHeight="1">
      <c r="A6" s="37" t="s">
        <v>59</v>
      </c>
      <c r="B6" s="38" t="s">
        <v>99</v>
      </c>
      <c r="C6" s="39" t="s">
        <v>99</v>
      </c>
      <c r="D6" s="39" t="s">
        <v>99</v>
      </c>
      <c r="E6" s="424"/>
      <c r="F6" s="424"/>
      <c r="G6" s="425"/>
      <c r="H6" s="426"/>
      <c r="I6" s="280" t="s">
        <v>269</v>
      </c>
      <c r="J6" s="44"/>
      <c r="K6" s="45"/>
      <c r="L6" s="45"/>
      <c r="M6" s="289">
        <v>430000</v>
      </c>
      <c r="N6" s="289" t="s">
        <v>56</v>
      </c>
      <c r="O6" s="290" t="s">
        <v>57</v>
      </c>
      <c r="P6" s="422">
        <v>2</v>
      </c>
      <c r="Q6" s="289" t="s">
        <v>55</v>
      </c>
      <c r="R6" s="290" t="s">
        <v>57</v>
      </c>
      <c r="S6" s="46">
        <v>12</v>
      </c>
      <c r="T6" s="415" t="s">
        <v>0</v>
      </c>
      <c r="U6" s="415" t="s">
        <v>53</v>
      </c>
      <c r="V6" s="415"/>
      <c r="W6" s="289"/>
      <c r="X6" s="463">
        <f>M6*P6*S6</f>
        <v>10320000</v>
      </c>
      <c r="Y6" s="47" t="s">
        <v>56</v>
      </c>
    </row>
    <row r="7" spans="1:26" ht="21" customHeight="1">
      <c r="A7" s="37"/>
      <c r="B7" s="38"/>
      <c r="C7" s="39"/>
      <c r="D7" s="39"/>
      <c r="E7" s="424"/>
      <c r="F7" s="424"/>
      <c r="G7" s="425"/>
      <c r="H7" s="426"/>
      <c r="I7" s="280"/>
      <c r="J7" s="44"/>
      <c r="K7" s="45"/>
      <c r="L7" s="45"/>
      <c r="M7" s="289">
        <v>430000</v>
      </c>
      <c r="N7" s="289" t="s">
        <v>524</v>
      </c>
      <c r="O7" s="290" t="s">
        <v>57</v>
      </c>
      <c r="P7" s="463">
        <v>1</v>
      </c>
      <c r="Q7" s="289" t="s">
        <v>525</v>
      </c>
      <c r="R7" s="290" t="s">
        <v>57</v>
      </c>
      <c r="S7" s="46">
        <v>8</v>
      </c>
      <c r="T7" s="533" t="s">
        <v>526</v>
      </c>
      <c r="U7" s="533" t="s">
        <v>53</v>
      </c>
      <c r="V7" s="533"/>
      <c r="W7" s="289"/>
      <c r="X7" s="463">
        <f>M7*P7*S7</f>
        <v>3440000</v>
      </c>
      <c r="Y7" s="47" t="s">
        <v>56</v>
      </c>
    </row>
    <row r="8" spans="1:26" ht="21" customHeight="1">
      <c r="A8" s="37"/>
      <c r="B8" s="38"/>
      <c r="C8" s="39"/>
      <c r="D8" s="39"/>
      <c r="E8" s="40"/>
      <c r="F8" s="40"/>
      <c r="G8" s="41"/>
      <c r="H8" s="25"/>
      <c r="I8" s="280"/>
      <c r="J8" s="44"/>
      <c r="K8" s="45"/>
      <c r="L8" s="45"/>
      <c r="M8" s="196"/>
      <c r="N8" s="196"/>
      <c r="O8" s="197"/>
      <c r="P8" s="120"/>
      <c r="Q8" s="196"/>
      <c r="R8" s="197"/>
      <c r="S8" s="46"/>
      <c r="T8" s="229"/>
      <c r="U8" s="229"/>
      <c r="V8" s="229"/>
      <c r="W8" s="196"/>
      <c r="X8" s="196"/>
      <c r="Y8" s="47"/>
    </row>
    <row r="9" spans="1:26" s="11" customFormat="1" ht="19.5" customHeight="1" thickBot="1">
      <c r="A9" s="27" t="s">
        <v>126</v>
      </c>
      <c r="B9" s="28" t="s">
        <v>128</v>
      </c>
      <c r="C9" s="28" t="s">
        <v>126</v>
      </c>
      <c r="D9" s="28" t="s">
        <v>126</v>
      </c>
      <c r="E9" s="186">
        <v>0</v>
      </c>
      <c r="F9" s="186">
        <f>ROUND(X9/1000,0)</f>
        <v>0</v>
      </c>
      <c r="G9" s="187">
        <f>F9-E9</f>
        <v>0</v>
      </c>
      <c r="H9" s="188">
        <f>IF(E9=0,0,G9/E9)</f>
        <v>0</v>
      </c>
      <c r="I9" s="32" t="s">
        <v>130</v>
      </c>
      <c r="J9" s="126"/>
      <c r="K9" s="33"/>
      <c r="L9" s="33"/>
      <c r="M9" s="33"/>
      <c r="N9" s="33"/>
      <c r="O9" s="33"/>
      <c r="P9" s="34"/>
      <c r="Q9" s="34" t="s">
        <v>60</v>
      </c>
      <c r="R9" s="34"/>
      <c r="S9" s="34"/>
      <c r="T9" s="34"/>
      <c r="U9" s="34"/>
      <c r="V9" s="34"/>
      <c r="W9" s="35"/>
      <c r="X9" s="35">
        <f>X10</f>
        <v>0</v>
      </c>
      <c r="Y9" s="36" t="s">
        <v>25</v>
      </c>
      <c r="Z9" s="6"/>
    </row>
    <row r="10" spans="1:26" ht="21" customHeight="1">
      <c r="A10" s="48" t="s">
        <v>127</v>
      </c>
      <c r="B10" s="49" t="s">
        <v>129</v>
      </c>
      <c r="C10" s="49" t="s">
        <v>127</v>
      </c>
      <c r="D10" s="49" t="s">
        <v>127</v>
      </c>
      <c r="E10" s="40"/>
      <c r="F10" s="40"/>
      <c r="G10" s="41"/>
      <c r="H10" s="25"/>
      <c r="I10" s="43" t="s">
        <v>268</v>
      </c>
      <c r="J10" s="44"/>
      <c r="K10" s="45"/>
      <c r="L10" s="45"/>
      <c r="M10" s="196"/>
      <c r="N10" s="196"/>
      <c r="O10" s="197"/>
      <c r="P10" s="196"/>
      <c r="Q10" s="196"/>
      <c r="R10" s="197"/>
      <c r="S10" s="46"/>
      <c r="T10" s="229"/>
      <c r="U10" s="229"/>
      <c r="V10" s="229"/>
      <c r="W10" s="196"/>
      <c r="X10" s="196">
        <v>0</v>
      </c>
      <c r="Y10" s="47" t="s">
        <v>56</v>
      </c>
    </row>
    <row r="11" spans="1:26" ht="21" customHeight="1" thickBot="1">
      <c r="A11" s="27" t="s">
        <v>132</v>
      </c>
      <c r="B11" s="28" t="s">
        <v>134</v>
      </c>
      <c r="C11" s="28" t="s">
        <v>132</v>
      </c>
      <c r="D11" s="28" t="s">
        <v>132</v>
      </c>
      <c r="E11" s="186">
        <v>0</v>
      </c>
      <c r="F11" s="186">
        <f>ROUND(X11/1000,0)</f>
        <v>0</v>
      </c>
      <c r="G11" s="187">
        <f>F11-E11</f>
        <v>0</v>
      </c>
      <c r="H11" s="188">
        <f>IF(E11=0,0,G11/E11)</f>
        <v>0</v>
      </c>
      <c r="I11" s="32" t="s">
        <v>197</v>
      </c>
      <c r="J11" s="126"/>
      <c r="K11" s="33"/>
      <c r="L11" s="33"/>
      <c r="M11" s="33"/>
      <c r="N11" s="33"/>
      <c r="O11" s="33"/>
      <c r="P11" s="34"/>
      <c r="Q11" s="34" t="s">
        <v>60</v>
      </c>
      <c r="R11" s="34"/>
      <c r="S11" s="34"/>
      <c r="T11" s="34"/>
      <c r="U11" s="34"/>
      <c r="V11" s="34"/>
      <c r="W11" s="35"/>
      <c r="X11" s="35">
        <f>X12</f>
        <v>0</v>
      </c>
      <c r="Y11" s="36" t="s">
        <v>25</v>
      </c>
    </row>
    <row r="12" spans="1:26" ht="21" customHeight="1">
      <c r="A12" s="48" t="s">
        <v>194</v>
      </c>
      <c r="B12" s="49" t="s">
        <v>195</v>
      </c>
      <c r="C12" s="49" t="s">
        <v>195</v>
      </c>
      <c r="D12" s="99" t="s">
        <v>195</v>
      </c>
      <c r="E12" s="201"/>
      <c r="F12" s="202">
        <v>0</v>
      </c>
      <c r="G12" s="203"/>
      <c r="H12" s="204"/>
      <c r="I12" s="205"/>
      <c r="J12" s="206"/>
      <c r="K12" s="207"/>
      <c r="L12" s="207"/>
      <c r="M12" s="207"/>
      <c r="N12" s="207"/>
      <c r="O12" s="207"/>
      <c r="P12" s="208"/>
      <c r="Q12" s="208"/>
      <c r="R12" s="208"/>
      <c r="S12" s="208"/>
      <c r="T12" s="208"/>
      <c r="U12" s="208"/>
      <c r="V12" s="208"/>
      <c r="W12" s="209"/>
      <c r="X12" s="209">
        <v>0</v>
      </c>
      <c r="Y12" s="257" t="s">
        <v>196</v>
      </c>
    </row>
    <row r="13" spans="1:26" s="11" customFormat="1" ht="19.5" customHeight="1">
      <c r="A13" s="27" t="s">
        <v>131</v>
      </c>
      <c r="B13" s="28" t="s">
        <v>131</v>
      </c>
      <c r="C13" s="573" t="s">
        <v>252</v>
      </c>
      <c r="D13" s="574"/>
      <c r="E13" s="239">
        <f>SUM(E14,E23,E84,E142)</f>
        <v>116366</v>
      </c>
      <c r="F13" s="239">
        <f>SUM(F14,F23,F84,F142)</f>
        <v>113980</v>
      </c>
      <c r="G13" s="240">
        <f t="shared" ref="G13:G15" si="1">F13-E13</f>
        <v>-2386</v>
      </c>
      <c r="H13" s="241">
        <f t="shared" ref="H13:H15" si="2">IF(E13=0,0,G13/E13)</f>
        <v>-2.0504271006995169E-2</v>
      </c>
      <c r="I13" s="242" t="s">
        <v>253</v>
      </c>
      <c r="J13" s="243"/>
      <c r="K13" s="244"/>
      <c r="L13" s="244"/>
      <c r="M13" s="243"/>
      <c r="N13" s="243"/>
      <c r="O13" s="243"/>
      <c r="P13" s="243"/>
      <c r="Q13" s="243"/>
      <c r="R13" s="245"/>
      <c r="S13" s="245"/>
      <c r="T13" s="245"/>
      <c r="U13" s="245"/>
      <c r="V13" s="245"/>
      <c r="W13" s="245"/>
      <c r="X13" s="246">
        <f>SUM(X14,X23,X84,X142)</f>
        <v>113980000</v>
      </c>
      <c r="Y13" s="258" t="s">
        <v>25</v>
      </c>
      <c r="Z13" s="6"/>
    </row>
    <row r="14" spans="1:26" s="11" customFormat="1" ht="19.5" customHeight="1">
      <c r="A14" s="37" t="s">
        <v>133</v>
      </c>
      <c r="B14" s="38" t="s">
        <v>129</v>
      </c>
      <c r="C14" s="28" t="s">
        <v>135</v>
      </c>
      <c r="D14" s="256" t="s">
        <v>136</v>
      </c>
      <c r="E14" s="189">
        <f>SUM(E15:E21)</f>
        <v>0</v>
      </c>
      <c r="F14" s="189">
        <f>SUM(F15:F21)</f>
        <v>0</v>
      </c>
      <c r="G14" s="190">
        <f t="shared" si="1"/>
        <v>0</v>
      </c>
      <c r="H14" s="191">
        <f t="shared" si="2"/>
        <v>0</v>
      </c>
      <c r="I14" s="173" t="s">
        <v>137</v>
      </c>
      <c r="J14" s="174"/>
      <c r="K14" s="175"/>
      <c r="L14" s="175"/>
      <c r="M14" s="175"/>
      <c r="N14" s="175"/>
      <c r="O14" s="175"/>
      <c r="P14" s="176"/>
      <c r="Q14" s="176"/>
      <c r="R14" s="176"/>
      <c r="S14" s="176"/>
      <c r="T14" s="176"/>
      <c r="U14" s="176"/>
      <c r="V14" s="210" t="s">
        <v>198</v>
      </c>
      <c r="W14" s="211"/>
      <c r="X14" s="212">
        <f>SUM(X15,X18,X21)</f>
        <v>0</v>
      </c>
      <c r="Y14" s="259" t="s">
        <v>199</v>
      </c>
      <c r="Z14" s="6"/>
    </row>
    <row r="15" spans="1:26" s="11" customFormat="1" ht="19.5" customHeight="1">
      <c r="A15" s="37"/>
      <c r="B15" s="38"/>
      <c r="C15" s="38" t="s">
        <v>193</v>
      </c>
      <c r="D15" s="38" t="s">
        <v>192</v>
      </c>
      <c r="E15" s="200">
        <v>0</v>
      </c>
      <c r="F15" s="200">
        <f>ROUND(X15/1000,0)</f>
        <v>0</v>
      </c>
      <c r="G15" s="264">
        <f t="shared" si="1"/>
        <v>0</v>
      </c>
      <c r="H15" s="265">
        <f t="shared" si="2"/>
        <v>0</v>
      </c>
      <c r="I15" s="127" t="s">
        <v>190</v>
      </c>
      <c r="J15" s="197"/>
      <c r="K15" s="196"/>
      <c r="L15" s="196"/>
      <c r="M15" s="196"/>
      <c r="N15" s="229"/>
      <c r="O15" s="177"/>
      <c r="P15" s="196"/>
      <c r="Q15" s="44"/>
      <c r="R15" s="178"/>
      <c r="S15" s="181"/>
      <c r="T15" s="181"/>
      <c r="U15" s="229"/>
      <c r="V15" s="195" t="s">
        <v>191</v>
      </c>
      <c r="W15" s="129"/>
      <c r="X15" s="129">
        <f>SUM(X16:X16)</f>
        <v>0</v>
      </c>
      <c r="Y15" s="130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194"/>
      <c r="G16" s="41"/>
      <c r="H16" s="60"/>
      <c r="I16" s="281" t="s">
        <v>270</v>
      </c>
      <c r="J16" s="197"/>
      <c r="K16" s="196"/>
      <c r="L16" s="196"/>
      <c r="M16" s="196">
        <v>0</v>
      </c>
      <c r="N16" s="229" t="s">
        <v>25</v>
      </c>
      <c r="O16" s="177" t="s">
        <v>26</v>
      </c>
      <c r="P16" s="120">
        <v>0</v>
      </c>
      <c r="Q16" s="44" t="s">
        <v>107</v>
      </c>
      <c r="R16" s="178" t="s">
        <v>26</v>
      </c>
      <c r="S16" s="181">
        <v>0</v>
      </c>
      <c r="T16" s="181" t="s">
        <v>29</v>
      </c>
      <c r="U16" s="229" t="s">
        <v>26</v>
      </c>
      <c r="V16" s="233">
        <v>0.9</v>
      </c>
      <c r="W16" s="58" t="s">
        <v>27</v>
      </c>
      <c r="X16" s="58">
        <f>ROUND(M16*P16*S16*V16,-3)</f>
        <v>0</v>
      </c>
      <c r="Y16" s="47" t="s">
        <v>56</v>
      </c>
      <c r="Z16" s="6"/>
    </row>
    <row r="17" spans="1:26" s="11" customFormat="1" ht="19.5" customHeight="1">
      <c r="A17" s="50"/>
      <c r="B17" s="38"/>
      <c r="C17" s="38"/>
      <c r="D17" s="38"/>
      <c r="E17" s="40"/>
      <c r="F17" s="40"/>
      <c r="G17" s="41"/>
      <c r="H17" s="60"/>
      <c r="I17" s="281"/>
      <c r="J17" s="58"/>
      <c r="K17" s="180"/>
      <c r="L17" s="180"/>
      <c r="M17" s="289"/>
      <c r="N17" s="289"/>
      <c r="O17" s="177"/>
      <c r="P17" s="347"/>
      <c r="Q17" s="44"/>
      <c r="R17" s="179"/>
      <c r="S17" s="46"/>
      <c r="T17" s="346"/>
      <c r="U17" s="346"/>
      <c r="V17" s="233"/>
      <c r="W17" s="290"/>
      <c r="X17" s="58"/>
      <c r="Y17" s="47"/>
      <c r="Z17" s="6"/>
    </row>
    <row r="18" spans="1:26" s="11" customFormat="1" ht="19.5" hidden="1" customHeight="1" thickBot="1">
      <c r="A18" s="50"/>
      <c r="B18" s="38"/>
      <c r="C18" s="38"/>
      <c r="D18" s="28" t="s">
        <v>106</v>
      </c>
      <c r="E18" s="29">
        <v>0</v>
      </c>
      <c r="F18" s="213">
        <f>ROUND(X18/1000,0)</f>
        <v>0</v>
      </c>
      <c r="G18" s="30">
        <f t="shared" ref="G18" si="3">F18-E18</f>
        <v>0</v>
      </c>
      <c r="H18" s="109">
        <f t="shared" ref="H18" si="4">IF(E18=0,0,G18/E18)</f>
        <v>0</v>
      </c>
      <c r="I18" s="225" t="s">
        <v>439</v>
      </c>
      <c r="J18" s="224"/>
      <c r="K18" s="232"/>
      <c r="L18" s="232"/>
      <c r="M18" s="79"/>
      <c r="N18" s="79"/>
      <c r="O18" s="214"/>
      <c r="P18" s="79"/>
      <c r="Q18" s="215"/>
      <c r="R18" s="222"/>
      <c r="S18" s="223"/>
      <c r="T18" s="345"/>
      <c r="U18" s="345"/>
      <c r="V18" s="226" t="s">
        <v>191</v>
      </c>
      <c r="W18" s="227"/>
      <c r="X18" s="227">
        <v>0</v>
      </c>
      <c r="Y18" s="260" t="s">
        <v>56</v>
      </c>
      <c r="Z18" s="6"/>
    </row>
    <row r="19" spans="1:26" s="11" customFormat="1" ht="19.5" hidden="1" customHeight="1">
      <c r="A19" s="50"/>
      <c r="B19" s="38"/>
      <c r="C19" s="38"/>
      <c r="D19" s="38"/>
      <c r="E19" s="40"/>
      <c r="F19" s="40"/>
      <c r="G19" s="41"/>
      <c r="H19" s="60"/>
      <c r="I19" s="282" t="s">
        <v>271</v>
      </c>
      <c r="J19" s="290"/>
      <c r="K19" s="289"/>
      <c r="L19" s="289"/>
      <c r="M19" s="289">
        <v>0</v>
      </c>
      <c r="N19" s="289" t="s">
        <v>56</v>
      </c>
      <c r="O19" s="64" t="s">
        <v>57</v>
      </c>
      <c r="P19" s="271">
        <v>0.7</v>
      </c>
      <c r="Q19" s="289"/>
      <c r="R19" s="289"/>
      <c r="S19" s="289"/>
      <c r="T19" s="289"/>
      <c r="U19" s="289" t="s">
        <v>53</v>
      </c>
      <c r="V19" s="348" t="s">
        <v>69</v>
      </c>
      <c r="W19" s="62"/>
      <c r="X19" s="348">
        <f>ROUND(M19*P19,-3)</f>
        <v>0</v>
      </c>
      <c r="Y19" s="63" t="s">
        <v>25</v>
      </c>
      <c r="Z19" s="6"/>
    </row>
    <row r="20" spans="1:26" s="11" customFormat="1" ht="19.5" hidden="1" customHeight="1">
      <c r="A20" s="50"/>
      <c r="B20" s="38"/>
      <c r="C20" s="38"/>
      <c r="D20" s="49"/>
      <c r="E20" s="51"/>
      <c r="F20" s="51"/>
      <c r="G20" s="52"/>
      <c r="H20" s="75"/>
      <c r="I20" s="349"/>
      <c r="J20" s="62"/>
      <c r="K20" s="218"/>
      <c r="L20" s="218"/>
      <c r="M20" s="348"/>
      <c r="N20" s="348"/>
      <c r="O20" s="219"/>
      <c r="P20" s="348"/>
      <c r="Q20" s="117"/>
      <c r="R20" s="220"/>
      <c r="S20" s="72"/>
      <c r="T20" s="169"/>
      <c r="U20" s="169"/>
      <c r="V20" s="221"/>
      <c r="W20" s="349"/>
      <c r="X20" s="62"/>
      <c r="Y20" s="63"/>
      <c r="Z20" s="6"/>
    </row>
    <row r="21" spans="1:26" s="11" customFormat="1" ht="19.5" hidden="1" customHeight="1">
      <c r="A21" s="50"/>
      <c r="B21" s="38"/>
      <c r="C21" s="38"/>
      <c r="D21" s="28" t="s">
        <v>294</v>
      </c>
      <c r="E21" s="213">
        <v>0</v>
      </c>
      <c r="F21" s="213">
        <f>ROUND(X21/1000,0)</f>
        <v>0</v>
      </c>
      <c r="G21" s="266">
        <f t="shared" ref="G21" si="5">F21-E21</f>
        <v>0</v>
      </c>
      <c r="H21" s="109">
        <f t="shared" ref="H21" si="6">IF(E21=0,0,G21/E21)</f>
        <v>0</v>
      </c>
      <c r="I21" s="350" t="s">
        <v>297</v>
      </c>
      <c r="J21" s="351"/>
      <c r="K21" s="352"/>
      <c r="L21" s="352"/>
      <c r="M21" s="353"/>
      <c r="N21" s="353"/>
      <c r="O21" s="354"/>
      <c r="P21" s="353"/>
      <c r="Q21" s="355"/>
      <c r="R21" s="356"/>
      <c r="S21" s="357"/>
      <c r="T21" s="358"/>
      <c r="U21" s="358"/>
      <c r="V21" s="359" t="s">
        <v>298</v>
      </c>
      <c r="W21" s="360"/>
      <c r="X21" s="360">
        <v>0</v>
      </c>
      <c r="Y21" s="361" t="s">
        <v>299</v>
      </c>
      <c r="Z21" s="6"/>
    </row>
    <row r="22" spans="1:26" s="11" customFormat="1" ht="19.5" hidden="1" customHeight="1">
      <c r="A22" s="50"/>
      <c r="B22" s="38"/>
      <c r="C22" s="38"/>
      <c r="D22" s="49"/>
      <c r="E22" s="51"/>
      <c r="F22" s="51"/>
      <c r="G22" s="52"/>
      <c r="H22" s="75"/>
      <c r="I22" s="341"/>
      <c r="J22" s="343"/>
      <c r="K22" s="370"/>
      <c r="L22" s="370"/>
      <c r="M22" s="342"/>
      <c r="N22" s="342"/>
      <c r="O22" s="371"/>
      <c r="P22" s="342"/>
      <c r="Q22" s="372"/>
      <c r="R22" s="373"/>
      <c r="S22" s="374"/>
      <c r="T22" s="375"/>
      <c r="U22" s="375"/>
      <c r="V22" s="376"/>
      <c r="W22" s="377"/>
      <c r="X22" s="343"/>
      <c r="Y22" s="344"/>
      <c r="Z22" s="6"/>
    </row>
    <row r="23" spans="1:26" s="11" customFormat="1" ht="19.5" customHeight="1">
      <c r="A23" s="50"/>
      <c r="B23" s="38"/>
      <c r="C23" s="28" t="s">
        <v>139</v>
      </c>
      <c r="D23" s="256" t="s">
        <v>108</v>
      </c>
      <c r="E23" s="189">
        <f>SUM(E24:E83)</f>
        <v>116066</v>
      </c>
      <c r="F23" s="189">
        <f>SUM(F24:F83)</f>
        <v>113680</v>
      </c>
      <c r="G23" s="190">
        <f t="shared" ref="G23:G24" si="7">F23-E23</f>
        <v>-2386</v>
      </c>
      <c r="H23" s="191">
        <f t="shared" ref="H23:H24" si="8">IF(E23=0,0,G23/E23)</f>
        <v>-2.0557269139972086E-2</v>
      </c>
      <c r="I23" s="173" t="s">
        <v>200</v>
      </c>
      <c r="J23" s="174"/>
      <c r="K23" s="175"/>
      <c r="L23" s="175"/>
      <c r="M23" s="175"/>
      <c r="N23" s="175"/>
      <c r="O23" s="175"/>
      <c r="P23" s="176"/>
      <c r="Q23" s="176"/>
      <c r="R23" s="176"/>
      <c r="S23" s="176"/>
      <c r="T23" s="176"/>
      <c r="U23" s="176"/>
      <c r="V23" s="210" t="s">
        <v>69</v>
      </c>
      <c r="W23" s="211"/>
      <c r="X23" s="211">
        <f>SUM(X24,X27,X64,X70,X78,X81)</f>
        <v>113680000</v>
      </c>
      <c r="Y23" s="259" t="s">
        <v>56</v>
      </c>
      <c r="Z23" s="6"/>
    </row>
    <row r="24" spans="1:26" s="11" customFormat="1" ht="19.5" customHeight="1">
      <c r="A24" s="50"/>
      <c r="B24" s="38"/>
      <c r="C24" s="38" t="s">
        <v>140</v>
      </c>
      <c r="D24" s="28" t="s">
        <v>192</v>
      </c>
      <c r="E24" s="29">
        <v>0</v>
      </c>
      <c r="F24" s="213">
        <f>ROUND(X24/1000,0)</f>
        <v>0</v>
      </c>
      <c r="G24" s="30">
        <f t="shared" si="7"/>
        <v>0</v>
      </c>
      <c r="H24" s="109">
        <f t="shared" si="8"/>
        <v>0</v>
      </c>
      <c r="I24" s="127" t="s">
        <v>190</v>
      </c>
      <c r="J24" s="139"/>
      <c r="K24" s="79"/>
      <c r="L24" s="79"/>
      <c r="M24" s="79"/>
      <c r="N24" s="228"/>
      <c r="O24" s="214"/>
      <c r="P24" s="79"/>
      <c r="Q24" s="215"/>
      <c r="R24" s="216"/>
      <c r="S24" s="217"/>
      <c r="T24" s="217"/>
      <c r="U24" s="228"/>
      <c r="V24" s="195" t="s">
        <v>191</v>
      </c>
      <c r="W24" s="129"/>
      <c r="X24" s="129">
        <f>SUM(X25:X25)</f>
        <v>0</v>
      </c>
      <c r="Y24" s="130" t="s">
        <v>56</v>
      </c>
      <c r="Z24" s="6"/>
    </row>
    <row r="25" spans="1:26" s="11" customFormat="1" ht="19.5" customHeight="1">
      <c r="A25" s="50"/>
      <c r="B25" s="38"/>
      <c r="C25" s="38"/>
      <c r="D25" s="38"/>
      <c r="E25" s="40"/>
      <c r="F25" s="40"/>
      <c r="G25" s="41"/>
      <c r="H25" s="60"/>
      <c r="I25" s="281" t="s">
        <v>270</v>
      </c>
      <c r="J25" s="290"/>
      <c r="K25" s="289"/>
      <c r="L25" s="289"/>
      <c r="M25" s="289">
        <v>0</v>
      </c>
      <c r="N25" s="412" t="s">
        <v>25</v>
      </c>
      <c r="O25" s="177" t="s">
        <v>26</v>
      </c>
      <c r="P25" s="413">
        <v>0</v>
      </c>
      <c r="Q25" s="44" t="s">
        <v>107</v>
      </c>
      <c r="R25" s="178" t="s">
        <v>26</v>
      </c>
      <c r="S25" s="181">
        <v>0</v>
      </c>
      <c r="T25" s="181" t="s">
        <v>29</v>
      </c>
      <c r="U25" s="412" t="s">
        <v>26</v>
      </c>
      <c r="V25" s="233">
        <v>7.0000000000000007E-2</v>
      </c>
      <c r="W25" s="58" t="s">
        <v>27</v>
      </c>
      <c r="X25" s="58">
        <f>ROUND(M25*P25*S25*V25,-3)</f>
        <v>0</v>
      </c>
      <c r="Y25" s="47" t="s">
        <v>56</v>
      </c>
      <c r="Z25" s="6"/>
    </row>
    <row r="26" spans="1:26" s="11" customFormat="1" ht="19.5" customHeight="1">
      <c r="A26" s="50"/>
      <c r="B26" s="38"/>
      <c r="C26" s="38"/>
      <c r="D26" s="49"/>
      <c r="E26" s="51"/>
      <c r="F26" s="51"/>
      <c r="G26" s="52"/>
      <c r="H26" s="75"/>
      <c r="I26" s="199"/>
      <c r="J26" s="62"/>
      <c r="K26" s="218"/>
      <c r="L26" s="218"/>
      <c r="M26" s="198"/>
      <c r="N26" s="198"/>
      <c r="O26" s="219"/>
      <c r="P26" s="198"/>
      <c r="Q26" s="117"/>
      <c r="R26" s="220"/>
      <c r="S26" s="72"/>
      <c r="T26" s="169"/>
      <c r="U26" s="169"/>
      <c r="V26" s="221"/>
      <c r="W26" s="199"/>
      <c r="X26" s="62"/>
      <c r="Y26" s="63"/>
      <c r="Z26" s="6"/>
    </row>
    <row r="27" spans="1:26" s="11" customFormat="1" ht="19.5" customHeight="1" thickBot="1">
      <c r="A27" s="50"/>
      <c r="B27" s="38"/>
      <c r="C27" s="38"/>
      <c r="D27" s="28" t="s">
        <v>201</v>
      </c>
      <c r="E27" s="506">
        <v>103860</v>
      </c>
      <c r="F27" s="213">
        <f>ROUND(X27/1000,0)</f>
        <v>103860</v>
      </c>
      <c r="G27" s="30">
        <f t="shared" ref="G27" si="9">F27-E27</f>
        <v>0</v>
      </c>
      <c r="H27" s="109">
        <f t="shared" ref="H27" si="10">IF(E27=0,0,G27/E27)</f>
        <v>0</v>
      </c>
      <c r="I27" s="225" t="s">
        <v>313</v>
      </c>
      <c r="J27" s="224"/>
      <c r="K27" s="232"/>
      <c r="L27" s="232"/>
      <c r="M27" s="79"/>
      <c r="N27" s="79"/>
      <c r="O27" s="214"/>
      <c r="P27" s="79"/>
      <c r="Q27" s="215"/>
      <c r="R27" s="222"/>
      <c r="S27" s="223"/>
      <c r="T27" s="228"/>
      <c r="U27" s="228"/>
      <c r="V27" s="226" t="s">
        <v>191</v>
      </c>
      <c r="W27" s="227"/>
      <c r="X27" s="227">
        <f>SUM(X28,X31,X44,X47,)</f>
        <v>103860000</v>
      </c>
      <c r="Y27" s="260" t="s">
        <v>56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2" t="s">
        <v>271</v>
      </c>
      <c r="J28" s="290"/>
      <c r="K28" s="289"/>
      <c r="L28" s="289"/>
      <c r="M28" s="289"/>
      <c r="N28" s="289"/>
      <c r="O28" s="64"/>
      <c r="P28" s="271"/>
      <c r="Q28" s="289"/>
      <c r="R28" s="289"/>
      <c r="S28" s="289"/>
      <c r="T28" s="289"/>
      <c r="U28" s="289"/>
      <c r="V28" s="348" t="s">
        <v>69</v>
      </c>
      <c r="W28" s="62"/>
      <c r="X28" s="427">
        <f>SUM(X29:X30)</f>
        <v>61530000</v>
      </c>
      <c r="Y28" s="428" t="s">
        <v>310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200"/>
      <c r="G29" s="41"/>
      <c r="H29" s="60"/>
      <c r="I29" s="281" t="s">
        <v>492</v>
      </c>
      <c r="J29" s="290"/>
      <c r="K29" s="289"/>
      <c r="L29" s="289"/>
      <c r="M29" s="270">
        <v>61530000</v>
      </c>
      <c r="N29" s="289" t="s">
        <v>56</v>
      </c>
      <c r="O29" s="64" t="s">
        <v>57</v>
      </c>
      <c r="P29" s="271">
        <v>1</v>
      </c>
      <c r="Q29" s="289"/>
      <c r="R29" s="289"/>
      <c r="S29" s="289"/>
      <c r="T29" s="289"/>
      <c r="U29" s="289" t="s">
        <v>311</v>
      </c>
      <c r="V29" s="289"/>
      <c r="W29" s="58"/>
      <c r="X29" s="289">
        <f>ROUND(M29*P29,-3)</f>
        <v>61530000</v>
      </c>
      <c r="Y29" s="47" t="s">
        <v>310</v>
      </c>
      <c r="Z29" s="6"/>
    </row>
    <row r="30" spans="1:26" s="11" customFormat="1" ht="19.5" customHeight="1">
      <c r="A30" s="50"/>
      <c r="B30" s="38"/>
      <c r="C30" s="38"/>
      <c r="D30" s="38"/>
      <c r="E30" s="40"/>
      <c r="F30" s="40"/>
      <c r="G30" s="41"/>
      <c r="H30" s="60"/>
      <c r="I30" s="281"/>
      <c r="J30" s="197"/>
      <c r="K30" s="196"/>
      <c r="L30" s="196"/>
      <c r="M30" s="270"/>
      <c r="N30" s="196"/>
      <c r="O30" s="64"/>
      <c r="P30" s="271"/>
      <c r="Q30" s="196"/>
      <c r="R30" s="196"/>
      <c r="S30" s="196"/>
      <c r="T30" s="196"/>
      <c r="U30" s="196"/>
      <c r="V30" s="289"/>
      <c r="W30" s="58"/>
      <c r="X30" s="289"/>
      <c r="Y30" s="63"/>
      <c r="Z30" s="6"/>
    </row>
    <row r="31" spans="1:26" s="11" customFormat="1" ht="19.5" customHeight="1" thickBot="1">
      <c r="A31" s="50"/>
      <c r="B31" s="38"/>
      <c r="C31" s="38"/>
      <c r="D31" s="38"/>
      <c r="E31" s="40"/>
      <c r="F31" s="40"/>
      <c r="G31" s="41"/>
      <c r="H31" s="60"/>
      <c r="I31" s="282" t="s">
        <v>272</v>
      </c>
      <c r="J31" s="197"/>
      <c r="K31" s="196"/>
      <c r="L31" s="196"/>
      <c r="M31" s="270"/>
      <c r="N31" s="196"/>
      <c r="O31" s="196"/>
      <c r="P31" s="196"/>
      <c r="Q31" s="196"/>
      <c r="R31" s="196"/>
      <c r="S31" s="196"/>
      <c r="T31" s="196"/>
      <c r="U31" s="196"/>
      <c r="V31" s="55"/>
      <c r="W31" s="429"/>
      <c r="X31" s="55">
        <f>SUM(X32,X35,X38,X41)</f>
        <v>25935000</v>
      </c>
      <c r="Y31" s="260" t="s">
        <v>25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1" t="s">
        <v>273</v>
      </c>
      <c r="J32" s="197"/>
      <c r="K32" s="196"/>
      <c r="L32" s="196"/>
      <c r="M32" s="270"/>
      <c r="N32" s="196"/>
      <c r="O32" s="64"/>
      <c r="P32" s="271"/>
      <c r="Q32" s="196"/>
      <c r="R32" s="196"/>
      <c r="S32" s="196"/>
      <c r="T32" s="196"/>
      <c r="U32" s="196"/>
      <c r="V32" s="348" t="s">
        <v>69</v>
      </c>
      <c r="W32" s="62"/>
      <c r="X32" s="348">
        <f>SUM(X33:X34)</f>
        <v>6107000</v>
      </c>
      <c r="Y32" s="63" t="s">
        <v>310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1" t="s">
        <v>492</v>
      </c>
      <c r="J33" s="290"/>
      <c r="K33" s="289"/>
      <c r="L33" s="289"/>
      <c r="M33" s="270">
        <v>6107000</v>
      </c>
      <c r="N33" s="289" t="s">
        <v>56</v>
      </c>
      <c r="O33" s="64" t="s">
        <v>57</v>
      </c>
      <c r="P33" s="271">
        <v>1</v>
      </c>
      <c r="Q33" s="289"/>
      <c r="R33" s="289"/>
      <c r="S33" s="289"/>
      <c r="T33" s="289"/>
      <c r="U33" s="289" t="s">
        <v>207</v>
      </c>
      <c r="V33" s="415"/>
      <c r="W33" s="415"/>
      <c r="X33" s="289">
        <f>ROUND(M33*P33,-3)</f>
        <v>6107000</v>
      </c>
      <c r="Y33" s="47" t="s">
        <v>312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1"/>
      <c r="J34" s="290"/>
      <c r="K34" s="289"/>
      <c r="L34" s="289"/>
      <c r="M34" s="270"/>
      <c r="N34" s="289"/>
      <c r="O34" s="64"/>
      <c r="P34" s="271"/>
      <c r="Q34" s="289"/>
      <c r="R34" s="289"/>
      <c r="S34" s="289"/>
      <c r="T34" s="289"/>
      <c r="U34" s="289"/>
      <c r="V34" s="415"/>
      <c r="W34" s="415"/>
      <c r="X34" s="289"/>
      <c r="Y34" s="47"/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1" t="s">
        <v>274</v>
      </c>
      <c r="J35" s="197"/>
      <c r="K35" s="196"/>
      <c r="L35" s="196"/>
      <c r="M35" s="270"/>
      <c r="N35" s="196"/>
      <c r="O35" s="64"/>
      <c r="P35" s="271"/>
      <c r="Q35" s="196"/>
      <c r="R35" s="196"/>
      <c r="S35" s="196"/>
      <c r="T35" s="196"/>
      <c r="U35" s="196"/>
      <c r="V35" s="348" t="s">
        <v>69</v>
      </c>
      <c r="W35" s="62"/>
      <c r="X35" s="348">
        <f>SUM(X36:X37)</f>
        <v>2160000</v>
      </c>
      <c r="Y35" s="63" t="s">
        <v>310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1" t="s">
        <v>508</v>
      </c>
      <c r="J36" s="290"/>
      <c r="K36" s="289"/>
      <c r="L36" s="289"/>
      <c r="M36" s="270">
        <v>2160000</v>
      </c>
      <c r="N36" s="289" t="s">
        <v>56</v>
      </c>
      <c r="O36" s="64" t="s">
        <v>57</v>
      </c>
      <c r="P36" s="271">
        <v>1</v>
      </c>
      <c r="Q36" s="289"/>
      <c r="R36" s="289"/>
      <c r="S36" s="289"/>
      <c r="T36" s="289"/>
      <c r="U36" s="289" t="s">
        <v>207</v>
      </c>
      <c r="V36" s="415"/>
      <c r="W36" s="415"/>
      <c r="X36" s="289">
        <f t="shared" ref="X36" si="11">ROUND(M36*P36,-3)</f>
        <v>2160000</v>
      </c>
      <c r="Y36" s="47" t="s">
        <v>312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1"/>
      <c r="J37" s="290"/>
      <c r="K37" s="289"/>
      <c r="L37" s="289"/>
      <c r="M37" s="270"/>
      <c r="N37" s="289"/>
      <c r="O37" s="64"/>
      <c r="P37" s="271"/>
      <c r="Q37" s="289"/>
      <c r="R37" s="289"/>
      <c r="S37" s="289"/>
      <c r="T37" s="289"/>
      <c r="U37" s="289"/>
      <c r="V37" s="415"/>
      <c r="W37" s="415"/>
      <c r="X37" s="289"/>
      <c r="Y37" s="47"/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1" t="s">
        <v>275</v>
      </c>
      <c r="J38" s="197"/>
      <c r="K38" s="196"/>
      <c r="L38" s="196"/>
      <c r="M38" s="270"/>
      <c r="N38" s="196"/>
      <c r="O38" s="64"/>
      <c r="P38" s="271"/>
      <c r="Q38" s="196"/>
      <c r="R38" s="196"/>
      <c r="S38" s="196"/>
      <c r="T38" s="196"/>
      <c r="U38" s="196"/>
      <c r="V38" s="348" t="s">
        <v>69</v>
      </c>
      <c r="W38" s="62"/>
      <c r="X38" s="348">
        <f>SUM(X39:X40)</f>
        <v>13251000</v>
      </c>
      <c r="Y38" s="63" t="s">
        <v>310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1" t="s">
        <v>492</v>
      </c>
      <c r="J39" s="290"/>
      <c r="K39" s="289"/>
      <c r="L39" s="289"/>
      <c r="M39" s="270">
        <v>13251000</v>
      </c>
      <c r="N39" s="289" t="s">
        <v>56</v>
      </c>
      <c r="O39" s="64" t="s">
        <v>57</v>
      </c>
      <c r="P39" s="271">
        <v>1</v>
      </c>
      <c r="Q39" s="289"/>
      <c r="R39" s="289"/>
      <c r="S39" s="289"/>
      <c r="T39" s="289"/>
      <c r="U39" s="289" t="s">
        <v>207</v>
      </c>
      <c r="V39" s="415"/>
      <c r="W39" s="415"/>
      <c r="X39" s="289">
        <f>ROUNDDOWN(M39*P39,-3)</f>
        <v>13251000</v>
      </c>
      <c r="Y39" s="47" t="s">
        <v>312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1"/>
      <c r="J40" s="290"/>
      <c r="K40" s="289"/>
      <c r="L40" s="289"/>
      <c r="M40" s="270"/>
      <c r="N40" s="289"/>
      <c r="O40" s="64"/>
      <c r="P40" s="271"/>
      <c r="Q40" s="289"/>
      <c r="R40" s="289"/>
      <c r="S40" s="289"/>
      <c r="T40" s="289"/>
      <c r="U40" s="289"/>
      <c r="V40" s="415"/>
      <c r="W40" s="415"/>
      <c r="X40" s="289"/>
      <c r="Y40" s="47"/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1" t="s">
        <v>496</v>
      </c>
      <c r="J41" s="290"/>
      <c r="K41" s="289"/>
      <c r="L41" s="289"/>
      <c r="M41" s="270"/>
      <c r="N41" s="289"/>
      <c r="O41" s="64"/>
      <c r="P41" s="271"/>
      <c r="Q41" s="289"/>
      <c r="R41" s="289"/>
      <c r="S41" s="289"/>
      <c r="T41" s="289"/>
      <c r="U41" s="289"/>
      <c r="V41" s="348" t="s">
        <v>69</v>
      </c>
      <c r="W41" s="62"/>
      <c r="X41" s="348">
        <f>SUM(X42:X43)</f>
        <v>4417000</v>
      </c>
      <c r="Y41" s="63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1" t="s">
        <v>492</v>
      </c>
      <c r="J42" s="290"/>
      <c r="K42" s="289"/>
      <c r="L42" s="289"/>
      <c r="M42" s="270">
        <v>4417000</v>
      </c>
      <c r="N42" s="289" t="s">
        <v>56</v>
      </c>
      <c r="O42" s="64" t="s">
        <v>57</v>
      </c>
      <c r="P42" s="271">
        <v>1</v>
      </c>
      <c r="Q42" s="289"/>
      <c r="R42" s="289"/>
      <c r="S42" s="289"/>
      <c r="T42" s="289"/>
      <c r="U42" s="289" t="s">
        <v>53</v>
      </c>
      <c r="V42" s="509"/>
      <c r="W42" s="509"/>
      <c r="X42" s="289">
        <f>ROUNDDOWN(M42*P42,-3)</f>
        <v>4417000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1"/>
      <c r="J43" s="290"/>
      <c r="K43" s="289"/>
      <c r="L43" s="289"/>
      <c r="M43" s="289"/>
      <c r="N43" s="289"/>
      <c r="O43" s="64"/>
      <c r="P43" s="271"/>
      <c r="Q43" s="289"/>
      <c r="R43" s="289"/>
      <c r="S43" s="289"/>
      <c r="T43" s="289"/>
      <c r="U43" s="289"/>
      <c r="V43" s="509"/>
      <c r="W43" s="509"/>
      <c r="X43" s="289"/>
      <c r="Y43" s="47"/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2" t="s">
        <v>276</v>
      </c>
      <c r="J44" s="197"/>
      <c r="K44" s="196"/>
      <c r="L44" s="196"/>
      <c r="M44" s="289"/>
      <c r="N44" s="196"/>
      <c r="O44" s="196"/>
      <c r="P44" s="196"/>
      <c r="Q44" s="196"/>
      <c r="R44" s="196"/>
      <c r="S44" s="196"/>
      <c r="T44" s="196"/>
      <c r="U44" s="196"/>
      <c r="V44" s="198" t="s">
        <v>208</v>
      </c>
      <c r="W44" s="62"/>
      <c r="X44" s="198">
        <f>SUM(X45:X46)</f>
        <v>7289000</v>
      </c>
      <c r="Y44" s="63" t="s">
        <v>25</v>
      </c>
      <c r="Z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1" t="s">
        <v>492</v>
      </c>
      <c r="J45" s="197"/>
      <c r="K45" s="196"/>
      <c r="L45" s="196"/>
      <c r="M45" s="289">
        <f>SUM(M29,M33,M36,M39,M42)</f>
        <v>87465000</v>
      </c>
      <c r="N45" s="44" t="s">
        <v>202</v>
      </c>
      <c r="O45" s="229" t="s">
        <v>203</v>
      </c>
      <c r="P45" s="66">
        <v>12</v>
      </c>
      <c r="Q45" s="177" t="s">
        <v>204</v>
      </c>
      <c r="R45" s="64" t="s">
        <v>206</v>
      </c>
      <c r="S45" s="271">
        <v>1</v>
      </c>
      <c r="T45" s="196"/>
      <c r="U45" s="196" t="s">
        <v>205</v>
      </c>
      <c r="V45" s="79"/>
      <c r="W45" s="79"/>
      <c r="X45" s="224">
        <f>ROUNDUP(M45/P45*S45,-3)</f>
        <v>7289000</v>
      </c>
      <c r="Y45" s="261" t="s">
        <v>196</v>
      </c>
      <c r="Z45" s="17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1"/>
      <c r="J46" s="290"/>
      <c r="K46" s="289"/>
      <c r="L46" s="289"/>
      <c r="M46" s="289"/>
      <c r="N46" s="44"/>
      <c r="O46" s="415"/>
      <c r="P46" s="66"/>
      <c r="Q46" s="177"/>
      <c r="R46" s="64"/>
      <c r="S46" s="271"/>
      <c r="T46" s="289"/>
      <c r="U46" s="289"/>
      <c r="V46" s="289"/>
      <c r="W46" s="289"/>
      <c r="X46" s="58"/>
      <c r="Y46" s="261"/>
      <c r="Z46" s="289"/>
      <c r="AA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2" t="s">
        <v>277</v>
      </c>
      <c r="J47" s="197"/>
      <c r="K47" s="196"/>
      <c r="L47" s="196"/>
      <c r="M47" s="289"/>
      <c r="N47" s="44"/>
      <c r="O47" s="196"/>
      <c r="P47" s="196"/>
      <c r="Q47" s="196"/>
      <c r="R47" s="196"/>
      <c r="S47" s="196"/>
      <c r="T47" s="196"/>
      <c r="U47" s="196"/>
      <c r="V47" s="198" t="s">
        <v>208</v>
      </c>
      <c r="W47" s="62"/>
      <c r="X47" s="198">
        <f>SUM(X48,X51,X54,X57,X60)</f>
        <v>9106000</v>
      </c>
      <c r="Y47" s="63" t="s">
        <v>25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1" t="s">
        <v>278</v>
      </c>
      <c r="J48" s="197"/>
      <c r="K48" s="196"/>
      <c r="L48" s="196"/>
      <c r="M48" s="289"/>
      <c r="N48" s="44"/>
      <c r="O48" s="64"/>
      <c r="P48" s="230"/>
      <c r="Q48" s="229"/>
      <c r="R48" s="64"/>
      <c r="S48" s="271"/>
      <c r="T48" s="65"/>
      <c r="U48" s="229"/>
      <c r="V48" s="128"/>
      <c r="W48" s="129"/>
      <c r="X48" s="129">
        <f>SUM(X49:X50)</f>
        <v>3936000</v>
      </c>
      <c r="Y48" s="130" t="s">
        <v>202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1" t="s">
        <v>492</v>
      </c>
      <c r="J49" s="290"/>
      <c r="K49" s="289"/>
      <c r="L49" s="289"/>
      <c r="M49" s="289">
        <f>M45</f>
        <v>87465000</v>
      </c>
      <c r="N49" s="44" t="s">
        <v>56</v>
      </c>
      <c r="O49" s="64" t="s">
        <v>57</v>
      </c>
      <c r="P49" s="230">
        <v>0.09</v>
      </c>
      <c r="Q49" s="415">
        <v>2</v>
      </c>
      <c r="R49" s="64" t="s">
        <v>57</v>
      </c>
      <c r="S49" s="271">
        <v>1</v>
      </c>
      <c r="T49" s="65"/>
      <c r="U49" s="415" t="s">
        <v>205</v>
      </c>
      <c r="V49" s="289"/>
      <c r="W49" s="58"/>
      <c r="X49" s="58">
        <f>ROUNDUP(M49*P49/Q49*S49,-3)</f>
        <v>3936000</v>
      </c>
      <c r="Y49" s="47" t="s">
        <v>312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1"/>
      <c r="J50" s="290"/>
      <c r="K50" s="289"/>
      <c r="L50" s="289"/>
      <c r="M50" s="289"/>
      <c r="N50" s="44"/>
      <c r="O50" s="64"/>
      <c r="P50" s="230"/>
      <c r="Q50" s="415"/>
      <c r="R50" s="64"/>
      <c r="S50" s="271"/>
      <c r="T50" s="65"/>
      <c r="U50" s="415"/>
      <c r="V50" s="289"/>
      <c r="W50" s="58"/>
      <c r="X50" s="58"/>
      <c r="Y50" s="47"/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1" t="s">
        <v>279</v>
      </c>
      <c r="J51" s="197"/>
      <c r="K51" s="196"/>
      <c r="L51" s="196"/>
      <c r="M51" s="289"/>
      <c r="N51" s="44"/>
      <c r="O51" s="64"/>
      <c r="P51" s="231"/>
      <c r="Q51" s="229"/>
      <c r="R51" s="64"/>
      <c r="S51" s="271"/>
      <c r="T51" s="65"/>
      <c r="U51" s="229"/>
      <c r="V51" s="348"/>
      <c r="W51" s="62"/>
      <c r="X51" s="62">
        <f>SUM(X52:X53)</f>
        <v>3101000</v>
      </c>
      <c r="Y51" s="63" t="s">
        <v>202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1" t="s">
        <v>492</v>
      </c>
      <c r="J52" s="290"/>
      <c r="K52" s="289"/>
      <c r="L52" s="289"/>
      <c r="M52" s="289">
        <f>M45</f>
        <v>87465000</v>
      </c>
      <c r="N52" s="44" t="s">
        <v>56</v>
      </c>
      <c r="O52" s="64" t="s">
        <v>57</v>
      </c>
      <c r="P52" s="231">
        <v>7.0900000000000005E-2</v>
      </c>
      <c r="Q52" s="415">
        <v>2</v>
      </c>
      <c r="R52" s="64" t="s">
        <v>57</v>
      </c>
      <c r="S52" s="271">
        <v>1</v>
      </c>
      <c r="T52" s="65"/>
      <c r="U52" s="415"/>
      <c r="V52" s="289"/>
      <c r="W52" s="58"/>
      <c r="X52" s="58">
        <f>ROUNDUP(M52*P52/Q52*S52,-3)</f>
        <v>3101000</v>
      </c>
      <c r="Y52" s="47" t="s">
        <v>312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1"/>
      <c r="J53" s="290"/>
      <c r="K53" s="289"/>
      <c r="L53" s="289"/>
      <c r="M53" s="289"/>
      <c r="N53" s="44"/>
      <c r="O53" s="64"/>
      <c r="P53" s="231"/>
      <c r="Q53" s="415"/>
      <c r="R53" s="64"/>
      <c r="S53" s="271"/>
      <c r="T53" s="65"/>
      <c r="U53" s="415"/>
      <c r="V53" s="289"/>
      <c r="W53" s="58"/>
      <c r="X53" s="58"/>
      <c r="Y53" s="47"/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1" t="s">
        <v>280</v>
      </c>
      <c r="J54" s="197"/>
      <c r="K54" s="196"/>
      <c r="L54" s="196"/>
      <c r="M54" s="289"/>
      <c r="N54" s="44"/>
      <c r="O54" s="64"/>
      <c r="P54" s="68"/>
      <c r="Q54" s="69"/>
      <c r="R54" s="64"/>
      <c r="S54" s="67"/>
      <c r="T54" s="70"/>
      <c r="U54" s="229"/>
      <c r="V54" s="348"/>
      <c r="W54" s="62"/>
      <c r="X54" s="62">
        <f>SUM(X55:X56)</f>
        <v>398000</v>
      </c>
      <c r="Y54" s="63" t="s">
        <v>56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1" t="s">
        <v>492</v>
      </c>
      <c r="J55" s="290"/>
      <c r="K55" s="289"/>
      <c r="L55" s="289"/>
      <c r="M55" s="289">
        <f t="shared" ref="M55" si="12">X52</f>
        <v>3101000</v>
      </c>
      <c r="N55" s="44" t="s">
        <v>56</v>
      </c>
      <c r="O55" s="64" t="s">
        <v>57</v>
      </c>
      <c r="P55" s="68">
        <v>0.12809999999999999</v>
      </c>
      <c r="Q55" s="69"/>
      <c r="R55" s="64"/>
      <c r="S55" s="67"/>
      <c r="T55" s="70"/>
      <c r="U55" s="415"/>
      <c r="V55" s="289"/>
      <c r="W55" s="58"/>
      <c r="X55" s="58">
        <f>ROUNDUP(M55*P55,-3)</f>
        <v>398000</v>
      </c>
      <c r="Y55" s="47" t="s">
        <v>312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1"/>
      <c r="J56" s="290"/>
      <c r="K56" s="289"/>
      <c r="L56" s="289"/>
      <c r="M56" s="289"/>
      <c r="N56" s="44"/>
      <c r="O56" s="64"/>
      <c r="P56" s="68"/>
      <c r="Q56" s="69"/>
      <c r="R56" s="64"/>
      <c r="S56" s="67"/>
      <c r="T56" s="70"/>
      <c r="U56" s="415"/>
      <c r="V56" s="289"/>
      <c r="W56" s="58"/>
      <c r="X56" s="58"/>
      <c r="Y56" s="47"/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1" t="s">
        <v>281</v>
      </c>
      <c r="J57" s="197"/>
      <c r="K57" s="196"/>
      <c r="L57" s="196"/>
      <c r="M57" s="289"/>
      <c r="N57" s="44"/>
      <c r="O57" s="64"/>
      <c r="P57" s="68"/>
      <c r="Q57" s="64"/>
      <c r="R57" s="64"/>
      <c r="S57" s="271"/>
      <c r="T57" s="65"/>
      <c r="U57" s="229"/>
      <c r="V57" s="348"/>
      <c r="W57" s="62"/>
      <c r="X57" s="62">
        <f>SUM(X58:X59)</f>
        <v>1006000</v>
      </c>
      <c r="Y57" s="63" t="s">
        <v>56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1" t="s">
        <v>492</v>
      </c>
      <c r="J58" s="290"/>
      <c r="K58" s="289"/>
      <c r="L58" s="289"/>
      <c r="M58" s="289">
        <f>M45</f>
        <v>87465000</v>
      </c>
      <c r="N58" s="44" t="s">
        <v>56</v>
      </c>
      <c r="O58" s="64" t="s">
        <v>57</v>
      </c>
      <c r="P58" s="68">
        <v>1.15E-2</v>
      </c>
      <c r="Q58" s="64"/>
      <c r="R58" s="64" t="s">
        <v>57</v>
      </c>
      <c r="S58" s="271">
        <v>1</v>
      </c>
      <c r="T58" s="65"/>
      <c r="U58" s="415" t="s">
        <v>205</v>
      </c>
      <c r="V58" s="289"/>
      <c r="W58" s="58"/>
      <c r="X58" s="58">
        <f>ROUNDUP(M58*P58*S58,-3)</f>
        <v>1006000</v>
      </c>
      <c r="Y58" s="47" t="s">
        <v>312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1"/>
      <c r="J59" s="290"/>
      <c r="K59" s="289"/>
      <c r="L59" s="289"/>
      <c r="M59" s="289"/>
      <c r="N59" s="44"/>
      <c r="O59" s="64"/>
      <c r="P59" s="68"/>
      <c r="Q59" s="64"/>
      <c r="R59" s="64"/>
      <c r="S59" s="271"/>
      <c r="T59" s="65"/>
      <c r="U59" s="415"/>
      <c r="V59" s="289"/>
      <c r="W59" s="58"/>
      <c r="X59" s="58"/>
      <c r="Y59" s="47"/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1" t="s">
        <v>282</v>
      </c>
      <c r="J60" s="197"/>
      <c r="K60" s="196"/>
      <c r="L60" s="196"/>
      <c r="M60" s="289"/>
      <c r="N60" s="44"/>
      <c r="O60" s="64"/>
      <c r="P60" s="267"/>
      <c r="Q60" s="64"/>
      <c r="R60" s="64"/>
      <c r="S60" s="271"/>
      <c r="T60" s="65"/>
      <c r="U60" s="229"/>
      <c r="V60" s="348"/>
      <c r="W60" s="62"/>
      <c r="X60" s="62">
        <f>SUM(X61:X62)</f>
        <v>665000</v>
      </c>
      <c r="Y60" s="63" t="s">
        <v>56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1" t="s">
        <v>492</v>
      </c>
      <c r="J61" s="290"/>
      <c r="K61" s="289"/>
      <c r="L61" s="289"/>
      <c r="M61" s="289">
        <f>M45</f>
        <v>87465000</v>
      </c>
      <c r="N61" s="44" t="s">
        <v>56</v>
      </c>
      <c r="O61" s="64" t="s">
        <v>57</v>
      </c>
      <c r="P61" s="267">
        <v>7.6E-3</v>
      </c>
      <c r="Q61" s="64"/>
      <c r="R61" s="64" t="s">
        <v>57</v>
      </c>
      <c r="S61" s="271">
        <v>1</v>
      </c>
      <c r="T61" s="65"/>
      <c r="U61" s="415" t="s">
        <v>205</v>
      </c>
      <c r="V61" s="289"/>
      <c r="W61" s="58"/>
      <c r="X61" s="58">
        <f>ROUNDUP(M61*P61*S61,-3)</f>
        <v>665000</v>
      </c>
      <c r="Y61" s="47" t="s">
        <v>312</v>
      </c>
      <c r="Z61" s="6"/>
    </row>
    <row r="62" spans="1:26" s="11" customFormat="1" ht="19.5" customHeight="1">
      <c r="A62" s="50"/>
      <c r="B62" s="38"/>
      <c r="C62" s="38"/>
      <c r="D62" s="38"/>
      <c r="E62" s="40"/>
      <c r="F62" s="40"/>
      <c r="G62" s="41"/>
      <c r="H62" s="60"/>
      <c r="I62" s="281"/>
      <c r="J62" s="290"/>
      <c r="K62" s="289"/>
      <c r="L62" s="289"/>
      <c r="M62" s="289"/>
      <c r="N62" s="44"/>
      <c r="O62" s="64"/>
      <c r="P62" s="267"/>
      <c r="Q62" s="64"/>
      <c r="R62" s="64"/>
      <c r="S62" s="271"/>
      <c r="T62" s="65"/>
      <c r="U62" s="415"/>
      <c r="V62" s="289"/>
      <c r="W62" s="58"/>
      <c r="X62" s="58"/>
      <c r="Y62" s="47"/>
      <c r="Z62" s="6"/>
    </row>
    <row r="63" spans="1:26" s="11" customFormat="1" ht="19.5" customHeight="1">
      <c r="A63" s="50"/>
      <c r="B63" s="38"/>
      <c r="C63" s="38"/>
      <c r="D63" s="49"/>
      <c r="E63" s="51"/>
      <c r="F63" s="51"/>
      <c r="G63" s="52"/>
      <c r="H63" s="75"/>
      <c r="I63" s="199"/>
      <c r="J63" s="62"/>
      <c r="K63" s="218"/>
      <c r="L63" s="218"/>
      <c r="M63" s="198"/>
      <c r="N63" s="198"/>
      <c r="O63" s="219"/>
      <c r="P63" s="198"/>
      <c r="Q63" s="117"/>
      <c r="R63" s="220"/>
      <c r="S63" s="72"/>
      <c r="T63" s="169"/>
      <c r="U63" s="169"/>
      <c r="V63" s="221"/>
      <c r="W63" s="199"/>
      <c r="X63" s="62"/>
      <c r="Y63" s="63"/>
      <c r="Z63" s="6"/>
    </row>
    <row r="64" spans="1:26" s="11" customFormat="1" ht="19.5" customHeight="1" thickBot="1">
      <c r="A64" s="50"/>
      <c r="B64" s="38"/>
      <c r="C64" s="38"/>
      <c r="D64" s="28" t="s">
        <v>209</v>
      </c>
      <c r="E64" s="29">
        <v>10564</v>
      </c>
      <c r="F64" s="213">
        <f>ROUND(X64/1000,0)</f>
        <v>8547</v>
      </c>
      <c r="G64" s="30">
        <f t="shared" ref="G64" si="13">F64-E64</f>
        <v>-2017</v>
      </c>
      <c r="H64" s="109">
        <f t="shared" ref="H64" si="14">IF(E64=0,0,G64/E64)</f>
        <v>-0.19093146535403258</v>
      </c>
      <c r="I64" s="225" t="s">
        <v>210</v>
      </c>
      <c r="J64" s="224"/>
      <c r="K64" s="232"/>
      <c r="L64" s="232"/>
      <c r="M64" s="79"/>
      <c r="N64" s="79"/>
      <c r="O64" s="214"/>
      <c r="P64" s="79"/>
      <c r="Q64" s="215"/>
      <c r="R64" s="222"/>
      <c r="S64" s="223"/>
      <c r="T64" s="228"/>
      <c r="U64" s="228"/>
      <c r="V64" s="226" t="s">
        <v>191</v>
      </c>
      <c r="W64" s="227"/>
      <c r="X64" s="227">
        <f>SUM(X65:X68)</f>
        <v>8547000</v>
      </c>
      <c r="Y64" s="260" t="s">
        <v>56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197" t="s">
        <v>211</v>
      </c>
      <c r="J65" s="58"/>
      <c r="K65" s="180"/>
      <c r="L65" s="180"/>
      <c r="M65" s="270">
        <v>2641000</v>
      </c>
      <c r="N65" s="270" t="s">
        <v>25</v>
      </c>
      <c r="O65" s="363" t="s">
        <v>26</v>
      </c>
      <c r="P65" s="364">
        <v>3</v>
      </c>
      <c r="Q65" s="365" t="s">
        <v>55</v>
      </c>
      <c r="R65" s="326" t="s">
        <v>300</v>
      </c>
      <c r="S65" s="271">
        <v>1</v>
      </c>
      <c r="T65" s="329"/>
      <c r="U65" s="327" t="s">
        <v>301</v>
      </c>
      <c r="V65" s="581"/>
      <c r="W65" s="581"/>
      <c r="X65" s="58">
        <f>ROUND(M65*P65*S65,-3)</f>
        <v>7923000</v>
      </c>
      <c r="Y65" s="47" t="s">
        <v>202</v>
      </c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278"/>
      <c r="J66" s="58"/>
      <c r="K66" s="180"/>
      <c r="L66" s="180"/>
      <c r="M66" s="270">
        <v>624000</v>
      </c>
      <c r="N66" s="270" t="s">
        <v>25</v>
      </c>
      <c r="O66" s="363" t="s">
        <v>26</v>
      </c>
      <c r="P66" s="364">
        <v>1</v>
      </c>
      <c r="Q66" s="365" t="s">
        <v>55</v>
      </c>
      <c r="R66" s="326" t="s">
        <v>57</v>
      </c>
      <c r="S66" s="271">
        <v>1</v>
      </c>
      <c r="T66" s="329"/>
      <c r="U66" s="327" t="s">
        <v>53</v>
      </c>
      <c r="V66" s="581"/>
      <c r="W66" s="581"/>
      <c r="X66" s="58">
        <f>ROUND(M66*P66*S66,-3)</f>
        <v>624000</v>
      </c>
      <c r="Y66" s="47" t="s">
        <v>56</v>
      </c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341" t="s">
        <v>302</v>
      </c>
      <c r="J67" s="274"/>
      <c r="K67" s="362"/>
      <c r="L67" s="362"/>
      <c r="M67" s="270"/>
      <c r="N67" s="270"/>
      <c r="O67" s="363"/>
      <c r="P67" s="270"/>
      <c r="Q67" s="365"/>
      <c r="R67" s="368"/>
      <c r="S67" s="369"/>
      <c r="T67" s="327"/>
      <c r="U67" s="327"/>
      <c r="V67" s="366"/>
      <c r="W67" s="273"/>
      <c r="X67" s="274"/>
      <c r="Y67" s="296"/>
      <c r="Z67" s="6"/>
    </row>
    <row r="68" spans="1:26" s="11" customFormat="1" ht="19.5" customHeight="1">
      <c r="A68" s="50"/>
      <c r="B68" s="38"/>
      <c r="C68" s="38"/>
      <c r="D68" s="38"/>
      <c r="E68" s="40"/>
      <c r="F68" s="40"/>
      <c r="G68" s="41"/>
      <c r="H68" s="60"/>
      <c r="I68" s="276" t="s">
        <v>304</v>
      </c>
      <c r="J68" s="274"/>
      <c r="K68" s="362"/>
      <c r="L68" s="362"/>
      <c r="M68" s="270">
        <v>0</v>
      </c>
      <c r="N68" s="270" t="s">
        <v>25</v>
      </c>
      <c r="O68" s="363" t="s">
        <v>26</v>
      </c>
      <c r="P68" s="367">
        <v>0.5</v>
      </c>
      <c r="Q68" s="365"/>
      <c r="R68" s="368"/>
      <c r="S68" s="369"/>
      <c r="T68" s="327"/>
      <c r="U68" s="327"/>
      <c r="V68" s="366"/>
      <c r="W68" s="273" t="s">
        <v>27</v>
      </c>
      <c r="X68" s="274">
        <f>M68*P68</f>
        <v>0</v>
      </c>
      <c r="Y68" s="296" t="s">
        <v>299</v>
      </c>
      <c r="Z68" s="6"/>
    </row>
    <row r="69" spans="1:26" s="11" customFormat="1" ht="19.5" customHeight="1">
      <c r="A69" s="50"/>
      <c r="B69" s="38"/>
      <c r="C69" s="38"/>
      <c r="D69" s="49"/>
      <c r="E69" s="51"/>
      <c r="F69" s="51"/>
      <c r="G69" s="52"/>
      <c r="H69" s="75"/>
      <c r="I69" s="199"/>
      <c r="J69" s="62"/>
      <c r="K69" s="218"/>
      <c r="L69" s="218"/>
      <c r="M69" s="198"/>
      <c r="N69" s="198"/>
      <c r="O69" s="219"/>
      <c r="P69" s="198"/>
      <c r="Q69" s="117"/>
      <c r="R69" s="220"/>
      <c r="S69" s="72"/>
      <c r="T69" s="169"/>
      <c r="U69" s="169"/>
      <c r="V69" s="221"/>
      <c r="W69" s="199"/>
      <c r="X69" s="62"/>
      <c r="Y69" s="63"/>
      <c r="Z69" s="6"/>
    </row>
    <row r="70" spans="1:26" s="11" customFormat="1" ht="19.5" customHeight="1" thickBot="1">
      <c r="A70" s="50"/>
      <c r="B70" s="38"/>
      <c r="C70" s="38"/>
      <c r="D70" s="28" t="s">
        <v>212</v>
      </c>
      <c r="E70" s="29">
        <v>1642</v>
      </c>
      <c r="F70" s="213">
        <f>ROUND(X70/1000,0)</f>
        <v>1273</v>
      </c>
      <c r="G70" s="30">
        <f t="shared" ref="G70" si="15">F70-E70</f>
        <v>-369</v>
      </c>
      <c r="H70" s="109">
        <f t="shared" ref="H70" si="16">IF(E70=0,0,G70/E70)</f>
        <v>-0.22472594397076737</v>
      </c>
      <c r="I70" s="225" t="s">
        <v>214</v>
      </c>
      <c r="J70" s="224"/>
      <c r="K70" s="232"/>
      <c r="L70" s="232"/>
      <c r="M70" s="79"/>
      <c r="N70" s="79"/>
      <c r="O70" s="214"/>
      <c r="P70" s="79"/>
      <c r="Q70" s="215"/>
      <c r="R70" s="222"/>
      <c r="S70" s="223"/>
      <c r="T70" s="228"/>
      <c r="U70" s="228"/>
      <c r="V70" s="226" t="s">
        <v>191</v>
      </c>
      <c r="W70" s="227"/>
      <c r="X70" s="227">
        <f>SUM(X71:X76)</f>
        <v>1273000</v>
      </c>
      <c r="Y70" s="260" t="s">
        <v>56</v>
      </c>
      <c r="Z70" s="6"/>
    </row>
    <row r="71" spans="1:26" s="11" customFormat="1" ht="19.5" customHeight="1">
      <c r="A71" s="50"/>
      <c r="B71" s="38"/>
      <c r="C71" s="38"/>
      <c r="D71" s="38" t="s">
        <v>213</v>
      </c>
      <c r="E71" s="40"/>
      <c r="F71" s="40"/>
      <c r="G71" s="41"/>
      <c r="H71" s="60"/>
      <c r="I71" s="57" t="s">
        <v>215</v>
      </c>
      <c r="J71" s="197"/>
      <c r="K71" s="196"/>
      <c r="L71" s="196"/>
      <c r="M71" s="196">
        <v>500</v>
      </c>
      <c r="N71" s="196" t="s">
        <v>202</v>
      </c>
      <c r="O71" s="197" t="s">
        <v>206</v>
      </c>
      <c r="P71" s="234">
        <v>3</v>
      </c>
      <c r="Q71" s="235">
        <v>366</v>
      </c>
      <c r="R71" s="196" t="s">
        <v>216</v>
      </c>
      <c r="S71" s="271">
        <v>1</v>
      </c>
      <c r="T71" s="196"/>
      <c r="U71" s="196" t="s">
        <v>205</v>
      </c>
      <c r="V71" s="196"/>
      <c r="W71" s="58"/>
      <c r="X71" s="58">
        <f>ROUNDUP(M71*P71*Q71*S71,-3)</f>
        <v>549000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217</v>
      </c>
      <c r="J72" s="197"/>
      <c r="K72" s="196"/>
      <c r="L72" s="196"/>
      <c r="M72" s="196">
        <v>5000</v>
      </c>
      <c r="N72" s="196" t="s">
        <v>202</v>
      </c>
      <c r="O72" s="197" t="s">
        <v>206</v>
      </c>
      <c r="P72" s="234">
        <v>3</v>
      </c>
      <c r="Q72" s="235">
        <v>12</v>
      </c>
      <c r="R72" s="196" t="s">
        <v>204</v>
      </c>
      <c r="S72" s="271">
        <v>1</v>
      </c>
      <c r="T72" s="196"/>
      <c r="U72" s="196" t="s">
        <v>205</v>
      </c>
      <c r="V72" s="196"/>
      <c r="W72" s="58"/>
      <c r="X72" s="58">
        <f>ROUNDUP(M72*P72*Q72*S72,-3)</f>
        <v>180000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218</v>
      </c>
      <c r="J73" s="197"/>
      <c r="K73" s="196"/>
      <c r="L73" s="196"/>
      <c r="M73" s="196">
        <v>20000</v>
      </c>
      <c r="N73" s="196" t="s">
        <v>202</v>
      </c>
      <c r="O73" s="197" t="s">
        <v>206</v>
      </c>
      <c r="P73" s="234">
        <v>3</v>
      </c>
      <c r="Q73" s="235">
        <v>4</v>
      </c>
      <c r="R73" s="196" t="s">
        <v>219</v>
      </c>
      <c r="S73" s="271">
        <v>1</v>
      </c>
      <c r="T73" s="196"/>
      <c r="U73" s="196" t="s">
        <v>205</v>
      </c>
      <c r="V73" s="196"/>
      <c r="W73" s="58"/>
      <c r="X73" s="58">
        <f>ROUNDUP(M73*P73*Q73*S73,-3)</f>
        <v>240000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440</v>
      </c>
      <c r="J74" s="197"/>
      <c r="K74" s="196"/>
      <c r="L74" s="196"/>
      <c r="M74" s="196">
        <v>12000</v>
      </c>
      <c r="N74" s="196" t="s">
        <v>202</v>
      </c>
      <c r="O74" s="197" t="s">
        <v>206</v>
      </c>
      <c r="P74" s="234">
        <v>3</v>
      </c>
      <c r="Q74" s="235">
        <v>4</v>
      </c>
      <c r="R74" s="196" t="s">
        <v>219</v>
      </c>
      <c r="S74" s="271">
        <v>1</v>
      </c>
      <c r="T74" s="196"/>
      <c r="U74" s="196" t="s">
        <v>205</v>
      </c>
      <c r="V74" s="196"/>
      <c r="W74" s="58"/>
      <c r="X74" s="58">
        <f>ROUNDUP(M74*P74*Q74*S74,-3)</f>
        <v>144000</v>
      </c>
      <c r="Y74" s="47" t="s">
        <v>25</v>
      </c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220</v>
      </c>
      <c r="J75" s="197"/>
      <c r="K75" s="196"/>
      <c r="L75" s="196"/>
      <c r="M75" s="196"/>
      <c r="N75" s="196"/>
      <c r="O75" s="197"/>
      <c r="P75" s="234"/>
      <c r="Q75" s="235"/>
      <c r="R75" s="196"/>
      <c r="S75" s="196">
        <v>0.3</v>
      </c>
      <c r="T75" s="196"/>
      <c r="U75" s="196"/>
      <c r="V75" s="196"/>
      <c r="W75" s="58"/>
      <c r="X75" s="58"/>
      <c r="Y75" s="47"/>
      <c r="Z75" s="6"/>
    </row>
    <row r="76" spans="1:26" s="11" customFormat="1" ht="19.5" customHeight="1">
      <c r="A76" s="50"/>
      <c r="B76" s="38"/>
      <c r="C76" s="38"/>
      <c r="D76" s="38"/>
      <c r="E76" s="40"/>
      <c r="F76" s="40"/>
      <c r="G76" s="41"/>
      <c r="H76" s="60"/>
      <c r="I76" s="57" t="s">
        <v>221</v>
      </c>
      <c r="J76" s="197"/>
      <c r="K76" s="196"/>
      <c r="L76" s="196"/>
      <c r="M76" s="196">
        <v>40000</v>
      </c>
      <c r="N76" s="196" t="s">
        <v>202</v>
      </c>
      <c r="O76" s="197" t="s">
        <v>206</v>
      </c>
      <c r="P76" s="234">
        <v>4</v>
      </c>
      <c r="Q76" s="235">
        <v>1</v>
      </c>
      <c r="R76" s="196" t="s">
        <v>219</v>
      </c>
      <c r="S76" s="271">
        <v>1</v>
      </c>
      <c r="T76" s="196"/>
      <c r="U76" s="196" t="s">
        <v>205</v>
      </c>
      <c r="V76" s="196"/>
      <c r="W76" s="58"/>
      <c r="X76" s="58">
        <f>ROUNDUP(M76*P76*Q76*S76,-3)</f>
        <v>160000</v>
      </c>
      <c r="Y76" s="47" t="s">
        <v>25</v>
      </c>
      <c r="Z76" s="6"/>
    </row>
    <row r="77" spans="1:26" s="11" customFormat="1" ht="19.5" customHeight="1">
      <c r="A77" s="50"/>
      <c r="B77" s="38"/>
      <c r="C77" s="38"/>
      <c r="D77" s="49"/>
      <c r="E77" s="51"/>
      <c r="F77" s="51"/>
      <c r="G77" s="52"/>
      <c r="H77" s="75"/>
      <c r="I77" s="199"/>
      <c r="J77" s="62"/>
      <c r="K77" s="218"/>
      <c r="L77" s="218"/>
      <c r="M77" s="198"/>
      <c r="N77" s="198"/>
      <c r="O77" s="219"/>
      <c r="P77" s="198"/>
      <c r="Q77" s="117"/>
      <c r="R77" s="220"/>
      <c r="S77" s="72"/>
      <c r="T77" s="169"/>
      <c r="U77" s="169"/>
      <c r="V77" s="221"/>
      <c r="W77" s="199"/>
      <c r="X77" s="62"/>
      <c r="Y77" s="63"/>
      <c r="Z77" s="6"/>
    </row>
    <row r="78" spans="1:26" s="11" customFormat="1" ht="19.5" customHeight="1" thickBot="1">
      <c r="A78" s="50"/>
      <c r="B78" s="38"/>
      <c r="C78" s="38"/>
      <c r="D78" s="28" t="s">
        <v>222</v>
      </c>
      <c r="E78" s="29">
        <v>0</v>
      </c>
      <c r="F78" s="213">
        <f>ROUND(X78/1000,0)</f>
        <v>0</v>
      </c>
      <c r="G78" s="30">
        <f t="shared" ref="G78" si="17">F78-E78</f>
        <v>0</v>
      </c>
      <c r="H78" s="109">
        <f t="shared" ref="H78" si="18">IF(E78=0,0,G78/E78)</f>
        <v>0</v>
      </c>
      <c r="I78" s="225" t="s">
        <v>314</v>
      </c>
      <c r="J78" s="224"/>
      <c r="K78" s="232"/>
      <c r="L78" s="232"/>
      <c r="M78" s="79"/>
      <c r="N78" s="79"/>
      <c r="O78" s="214"/>
      <c r="P78" s="79"/>
      <c r="Q78" s="215"/>
      <c r="R78" s="222"/>
      <c r="S78" s="223"/>
      <c r="T78" s="228"/>
      <c r="U78" s="228"/>
      <c r="V78" s="226" t="s">
        <v>191</v>
      </c>
      <c r="W78" s="227"/>
      <c r="X78" s="227">
        <f>X79</f>
        <v>0</v>
      </c>
      <c r="Y78" s="260" t="s">
        <v>56</v>
      </c>
      <c r="Z78" s="6"/>
    </row>
    <row r="79" spans="1:26" s="11" customFormat="1" ht="19.5" customHeight="1">
      <c r="A79" s="50"/>
      <c r="B79" s="38"/>
      <c r="C79" s="38"/>
      <c r="D79" s="38" t="s">
        <v>315</v>
      </c>
      <c r="E79" s="40"/>
      <c r="F79" s="40"/>
      <c r="G79" s="41"/>
      <c r="H79" s="60"/>
      <c r="I79" s="281" t="s">
        <v>283</v>
      </c>
      <c r="J79" s="197"/>
      <c r="K79" s="196"/>
      <c r="L79" s="196"/>
      <c r="M79" s="237">
        <v>0</v>
      </c>
      <c r="N79" s="59" t="s">
        <v>202</v>
      </c>
      <c r="O79" s="59" t="s">
        <v>206</v>
      </c>
      <c r="P79" s="271">
        <v>1</v>
      </c>
      <c r="Q79" s="235"/>
      <c r="R79" s="59"/>
      <c r="S79" s="236"/>
      <c r="T79" s="59"/>
      <c r="U79" s="59" t="s">
        <v>207</v>
      </c>
      <c r="V79" s="196"/>
      <c r="W79" s="58"/>
      <c r="X79" s="196">
        <f>M79*P79</f>
        <v>0</v>
      </c>
      <c r="Y79" s="47" t="s">
        <v>202</v>
      </c>
      <c r="Z79" s="6"/>
    </row>
    <row r="80" spans="1:26" s="11" customFormat="1" ht="19.5" customHeight="1">
      <c r="A80" s="50"/>
      <c r="B80" s="38"/>
      <c r="C80" s="38"/>
      <c r="D80" s="49"/>
      <c r="E80" s="51"/>
      <c r="F80" s="51"/>
      <c r="G80" s="52"/>
      <c r="H80" s="75"/>
      <c r="I80" s="199"/>
      <c r="J80" s="62"/>
      <c r="K80" s="218"/>
      <c r="L80" s="218"/>
      <c r="M80" s="198"/>
      <c r="N80" s="198"/>
      <c r="O80" s="219"/>
      <c r="P80" s="198"/>
      <c r="Q80" s="117"/>
      <c r="R80" s="220"/>
      <c r="S80" s="198"/>
      <c r="T80" s="169"/>
      <c r="U80" s="169"/>
      <c r="V80" s="221"/>
      <c r="W80" s="199"/>
      <c r="X80" s="62"/>
      <c r="Y80" s="63"/>
      <c r="Z80" s="6"/>
    </row>
    <row r="81" spans="1:26" s="11" customFormat="1" ht="19.5" customHeight="1">
      <c r="A81" s="50"/>
      <c r="B81" s="38"/>
      <c r="C81" s="38"/>
      <c r="D81" s="38" t="s">
        <v>223</v>
      </c>
      <c r="E81" s="40">
        <v>0</v>
      </c>
      <c r="F81" s="213">
        <f>ROUND(X81/1000,0)</f>
        <v>0</v>
      </c>
      <c r="G81" s="41">
        <f t="shared" ref="G81" si="19">F81-E81</f>
        <v>0</v>
      </c>
      <c r="H81" s="60">
        <f t="shared" ref="H81" si="20">IF(E81=0,0,G81/E81)</f>
        <v>0</v>
      </c>
      <c r="I81" s="61" t="s">
        <v>226</v>
      </c>
      <c r="J81" s="58"/>
      <c r="K81" s="180"/>
      <c r="L81" s="180"/>
      <c r="M81" s="196"/>
      <c r="N81" s="196"/>
      <c r="O81" s="177"/>
      <c r="P81" s="196"/>
      <c r="Q81" s="44"/>
      <c r="R81" s="179"/>
      <c r="S81" s="46"/>
      <c r="T81" s="229"/>
      <c r="U81" s="229"/>
      <c r="V81" s="198" t="s">
        <v>225</v>
      </c>
      <c r="W81" s="62"/>
      <c r="X81" s="198">
        <f>SUM(X82:X82)</f>
        <v>0</v>
      </c>
      <c r="Y81" s="63" t="s">
        <v>25</v>
      </c>
      <c r="Z81" s="6"/>
    </row>
    <row r="82" spans="1:26" s="11" customFormat="1" ht="19.5" customHeight="1">
      <c r="A82" s="50"/>
      <c r="B82" s="38"/>
      <c r="C82" s="38"/>
      <c r="D82" s="38" t="s">
        <v>224</v>
      </c>
      <c r="E82" s="40"/>
      <c r="F82" s="40"/>
      <c r="G82" s="41"/>
      <c r="H82" s="60"/>
      <c r="I82" s="273" t="s">
        <v>303</v>
      </c>
      <c r="J82" s="58"/>
      <c r="K82" s="180"/>
      <c r="L82" s="180"/>
      <c r="M82" s="237">
        <v>0</v>
      </c>
      <c r="N82" s="59" t="s">
        <v>202</v>
      </c>
      <c r="O82" s="59" t="s">
        <v>206</v>
      </c>
      <c r="P82" s="67">
        <v>0.2</v>
      </c>
      <c r="Q82" s="235"/>
      <c r="R82" s="59"/>
      <c r="S82" s="236"/>
      <c r="T82" s="59"/>
      <c r="U82" s="59" t="s">
        <v>207</v>
      </c>
      <c r="V82" s="196"/>
      <c r="W82" s="58"/>
      <c r="X82" s="196">
        <f>ROUND(M82*P82,-3)</f>
        <v>0</v>
      </c>
      <c r="Y82" s="47" t="s">
        <v>202</v>
      </c>
      <c r="Z82" s="6"/>
    </row>
    <row r="83" spans="1:26" s="11" customFormat="1" ht="19.5" customHeight="1">
      <c r="A83" s="50"/>
      <c r="B83" s="73"/>
      <c r="C83" s="74"/>
      <c r="D83" s="49"/>
      <c r="E83" s="51"/>
      <c r="F83" s="51"/>
      <c r="G83" s="52"/>
      <c r="H83" s="75"/>
      <c r="I83" s="199"/>
      <c r="J83" s="198"/>
      <c r="K83" s="76"/>
      <c r="L83" s="76"/>
      <c r="M83" s="198"/>
      <c r="N83" s="198"/>
      <c r="O83" s="199"/>
      <c r="P83" s="198"/>
      <c r="Q83" s="198"/>
      <c r="R83" s="199"/>
      <c r="S83" s="199"/>
      <c r="T83" s="199"/>
      <c r="U83" s="199"/>
      <c r="V83" s="199"/>
      <c r="W83" s="199"/>
      <c r="X83" s="198"/>
      <c r="Y83" s="63"/>
      <c r="Z83" s="6"/>
    </row>
    <row r="84" spans="1:26" ht="21" customHeight="1">
      <c r="A84" s="37"/>
      <c r="B84" s="38"/>
      <c r="C84" s="38" t="s">
        <v>142</v>
      </c>
      <c r="D84" s="256" t="s">
        <v>108</v>
      </c>
      <c r="E84" s="189">
        <f>SUM(E85:E141)</f>
        <v>300</v>
      </c>
      <c r="F84" s="189">
        <f>SUM(F85:F141)</f>
        <v>300</v>
      </c>
      <c r="G84" s="190">
        <f t="shared" ref="G84:G85" si="21">F84-E84</f>
        <v>0</v>
      </c>
      <c r="H84" s="191">
        <f t="shared" ref="H84:H85" si="22">IF(E84=0,0,G84/E84)</f>
        <v>0</v>
      </c>
      <c r="I84" s="173" t="s">
        <v>143</v>
      </c>
      <c r="J84" s="174"/>
      <c r="K84" s="175"/>
      <c r="L84" s="175"/>
      <c r="M84" s="175"/>
      <c r="N84" s="175"/>
      <c r="O84" s="175"/>
      <c r="P84" s="176"/>
      <c r="Q84" s="176"/>
      <c r="R84" s="176"/>
      <c r="S84" s="176"/>
      <c r="T84" s="176"/>
      <c r="U84" s="176"/>
      <c r="V84" s="210" t="s">
        <v>69</v>
      </c>
      <c r="W84" s="211"/>
      <c r="X84" s="212">
        <f>SUM(X85,X88,X125,X128,X136,X139)</f>
        <v>300000</v>
      </c>
      <c r="Y84" s="259" t="s">
        <v>56</v>
      </c>
    </row>
    <row r="85" spans="1:26" ht="21" customHeight="1">
      <c r="A85" s="37"/>
      <c r="B85" s="38"/>
      <c r="C85" s="38" t="s">
        <v>193</v>
      </c>
      <c r="D85" s="28" t="s">
        <v>192</v>
      </c>
      <c r="E85" s="213">
        <v>0</v>
      </c>
      <c r="F85" s="213">
        <f>ROUND(X85/1000,0)</f>
        <v>0</v>
      </c>
      <c r="G85" s="266">
        <f t="shared" si="21"/>
        <v>0</v>
      </c>
      <c r="H85" s="156">
        <f t="shared" si="22"/>
        <v>0</v>
      </c>
      <c r="I85" s="127" t="s">
        <v>190</v>
      </c>
      <c r="J85" s="139"/>
      <c r="K85" s="79"/>
      <c r="L85" s="79"/>
      <c r="M85" s="79"/>
      <c r="N85" s="228"/>
      <c r="O85" s="214"/>
      <c r="P85" s="79"/>
      <c r="Q85" s="215"/>
      <c r="R85" s="216"/>
      <c r="S85" s="217"/>
      <c r="T85" s="217"/>
      <c r="U85" s="228"/>
      <c r="V85" s="195" t="s">
        <v>191</v>
      </c>
      <c r="W85" s="129"/>
      <c r="X85" s="129">
        <f>SUM(X86:X86)</f>
        <v>0</v>
      </c>
      <c r="Y85" s="130" t="s">
        <v>56</v>
      </c>
    </row>
    <row r="86" spans="1:26" ht="21" customHeight="1">
      <c r="A86" s="37"/>
      <c r="B86" s="38"/>
      <c r="C86" s="38"/>
      <c r="D86" s="38"/>
      <c r="E86" s="40"/>
      <c r="F86" s="40"/>
      <c r="G86" s="41"/>
      <c r="H86" s="60"/>
      <c r="I86" s="281" t="s">
        <v>270</v>
      </c>
      <c r="J86" s="290"/>
      <c r="K86" s="289"/>
      <c r="L86" s="289"/>
      <c r="M86" s="289">
        <v>0</v>
      </c>
      <c r="N86" s="412" t="s">
        <v>25</v>
      </c>
      <c r="O86" s="177" t="s">
        <v>26</v>
      </c>
      <c r="P86" s="413">
        <v>0</v>
      </c>
      <c r="Q86" s="44" t="s">
        <v>107</v>
      </c>
      <c r="R86" s="178" t="s">
        <v>26</v>
      </c>
      <c r="S86" s="181">
        <v>0</v>
      </c>
      <c r="T86" s="181" t="s">
        <v>29</v>
      </c>
      <c r="U86" s="412" t="s">
        <v>26</v>
      </c>
      <c r="V86" s="233">
        <v>0.03</v>
      </c>
      <c r="W86" s="58" t="s">
        <v>27</v>
      </c>
      <c r="X86" s="58">
        <f>ROUND(M86*P86*S86*V86,-3)</f>
        <v>0</v>
      </c>
      <c r="Y86" s="47" t="s">
        <v>138</v>
      </c>
    </row>
    <row r="87" spans="1:26" ht="21" hidden="1" customHeight="1">
      <c r="A87" s="37"/>
      <c r="B87" s="38"/>
      <c r="C87" s="38"/>
      <c r="D87" s="49"/>
      <c r="E87" s="51"/>
      <c r="F87" s="51"/>
      <c r="G87" s="52"/>
      <c r="H87" s="75"/>
      <c r="I87" s="61"/>
      <c r="J87" s="62"/>
      <c r="K87" s="218"/>
      <c r="L87" s="218"/>
      <c r="M87" s="198"/>
      <c r="N87" s="198"/>
      <c r="O87" s="219"/>
      <c r="P87" s="198"/>
      <c r="Q87" s="117"/>
      <c r="R87" s="220"/>
      <c r="S87" s="72"/>
      <c r="T87" s="169"/>
      <c r="U87" s="169"/>
      <c r="V87" s="221"/>
      <c r="W87" s="199"/>
      <c r="X87" s="62"/>
      <c r="Y87" s="63"/>
    </row>
    <row r="88" spans="1:26" ht="21" hidden="1" customHeight="1" thickBot="1">
      <c r="A88" s="37"/>
      <c r="B88" s="38"/>
      <c r="C88" s="38"/>
      <c r="D88" s="28" t="s">
        <v>201</v>
      </c>
      <c r="E88" s="29">
        <v>0</v>
      </c>
      <c r="F88" s="213">
        <f>ROUND(X88/1000,0)</f>
        <v>0</v>
      </c>
      <c r="G88" s="30">
        <f t="shared" ref="G88" si="23">F88-E88</f>
        <v>0</v>
      </c>
      <c r="H88" s="109">
        <f t="shared" ref="H88" si="24">IF(E88=0,0,G88/E88)</f>
        <v>0</v>
      </c>
      <c r="I88" s="225" t="s">
        <v>313</v>
      </c>
      <c r="J88" s="224"/>
      <c r="K88" s="232"/>
      <c r="L88" s="232"/>
      <c r="M88" s="79"/>
      <c r="N88" s="79"/>
      <c r="O88" s="214"/>
      <c r="P88" s="79"/>
      <c r="Q88" s="215"/>
      <c r="R88" s="222"/>
      <c r="S88" s="223"/>
      <c r="T88" s="416"/>
      <c r="U88" s="416"/>
      <c r="V88" s="226" t="s">
        <v>191</v>
      </c>
      <c r="W88" s="227"/>
      <c r="X88" s="227">
        <f>SUM(X89,X92,X108,X105)</f>
        <v>0</v>
      </c>
      <c r="Y88" s="260" t="s">
        <v>56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2" t="s">
        <v>271</v>
      </c>
      <c r="J89" s="290"/>
      <c r="K89" s="289"/>
      <c r="L89" s="289"/>
      <c r="M89" s="289"/>
      <c r="N89" s="289"/>
      <c r="O89" s="64"/>
      <c r="P89" s="271"/>
      <c r="Q89" s="289"/>
      <c r="R89" s="289"/>
      <c r="S89" s="289"/>
      <c r="T89" s="289"/>
      <c r="U89" s="289"/>
      <c r="V89" s="348" t="s">
        <v>69</v>
      </c>
      <c r="W89" s="62"/>
      <c r="X89" s="427">
        <f>SUM(X90:X91)</f>
        <v>0</v>
      </c>
      <c r="Y89" s="428" t="s">
        <v>310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1" t="s">
        <v>492</v>
      </c>
      <c r="J90" s="290"/>
      <c r="K90" s="289"/>
      <c r="L90" s="289"/>
      <c r="M90" s="289">
        <f>M29</f>
        <v>61530000</v>
      </c>
      <c r="N90" s="289" t="s">
        <v>56</v>
      </c>
      <c r="O90" s="64" t="s">
        <v>57</v>
      </c>
      <c r="P90" s="271">
        <v>0</v>
      </c>
      <c r="Q90" s="289"/>
      <c r="R90" s="289"/>
      <c r="S90" s="289"/>
      <c r="T90" s="289"/>
      <c r="U90" s="289" t="s">
        <v>311</v>
      </c>
      <c r="V90" s="289"/>
      <c r="W90" s="58"/>
      <c r="X90" s="289">
        <f>ROUND(M90*P90,-3)</f>
        <v>0</v>
      </c>
      <c r="Y90" s="47" t="s">
        <v>310</v>
      </c>
    </row>
    <row r="91" spans="1:26" ht="21" hidden="1" customHeight="1">
      <c r="A91" s="37"/>
      <c r="B91" s="38"/>
      <c r="C91" s="38"/>
      <c r="D91" s="38"/>
      <c r="E91" s="40"/>
      <c r="F91" s="40"/>
      <c r="G91" s="41"/>
      <c r="H91" s="60"/>
      <c r="I91" s="281"/>
      <c r="J91" s="290"/>
      <c r="K91" s="289"/>
      <c r="L91" s="289"/>
      <c r="M91" s="289"/>
      <c r="N91" s="289"/>
      <c r="O91" s="64"/>
      <c r="P91" s="271"/>
      <c r="Q91" s="289"/>
      <c r="R91" s="289"/>
      <c r="S91" s="289"/>
      <c r="T91" s="289"/>
      <c r="U91" s="289"/>
      <c r="V91" s="289"/>
      <c r="W91" s="58"/>
      <c r="X91" s="289"/>
      <c r="Y91" s="63"/>
    </row>
    <row r="92" spans="1:26" ht="21" hidden="1" customHeight="1" thickBot="1">
      <c r="A92" s="37"/>
      <c r="B92" s="38"/>
      <c r="C92" s="38"/>
      <c r="D92" s="38"/>
      <c r="E92" s="40"/>
      <c r="F92" s="40"/>
      <c r="G92" s="41"/>
      <c r="H92" s="60"/>
      <c r="I92" s="282" t="s">
        <v>272</v>
      </c>
      <c r="J92" s="290"/>
      <c r="K92" s="289"/>
      <c r="L92" s="289"/>
      <c r="M92" s="289"/>
      <c r="N92" s="289"/>
      <c r="O92" s="289"/>
      <c r="P92" s="289"/>
      <c r="Q92" s="289"/>
      <c r="R92" s="289"/>
      <c r="S92" s="289"/>
      <c r="T92" s="289"/>
      <c r="U92" s="289"/>
      <c r="V92" s="55"/>
      <c r="W92" s="429"/>
      <c r="X92" s="55">
        <f>SUM(X93,X96,X99,X102)</f>
        <v>0</v>
      </c>
      <c r="Y92" s="260" t="s">
        <v>25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1" t="s">
        <v>273</v>
      </c>
      <c r="J93" s="290"/>
      <c r="K93" s="289"/>
      <c r="L93" s="289"/>
      <c r="M93" s="289"/>
      <c r="N93" s="289"/>
      <c r="O93" s="64"/>
      <c r="P93" s="271"/>
      <c r="Q93" s="289"/>
      <c r="R93" s="289"/>
      <c r="S93" s="289"/>
      <c r="T93" s="289"/>
      <c r="U93" s="289"/>
      <c r="V93" s="348" t="s">
        <v>69</v>
      </c>
      <c r="W93" s="62"/>
      <c r="X93" s="348">
        <f>SUM(X94:X95)</f>
        <v>0</v>
      </c>
      <c r="Y93" s="63" t="s">
        <v>310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1" t="s">
        <v>492</v>
      </c>
      <c r="J94" s="290"/>
      <c r="K94" s="289"/>
      <c r="L94" s="289"/>
      <c r="M94" s="289">
        <f>M33</f>
        <v>6107000</v>
      </c>
      <c r="N94" s="289" t="s">
        <v>56</v>
      </c>
      <c r="O94" s="64" t="s">
        <v>57</v>
      </c>
      <c r="P94" s="271">
        <v>0</v>
      </c>
      <c r="Q94" s="289"/>
      <c r="R94" s="289"/>
      <c r="S94" s="289"/>
      <c r="T94" s="289"/>
      <c r="U94" s="289" t="s">
        <v>207</v>
      </c>
      <c r="V94" s="415"/>
      <c r="W94" s="415"/>
      <c r="X94" s="289">
        <f>ROUND(M94*P94,-3)</f>
        <v>0</v>
      </c>
      <c r="Y94" s="47" t="s">
        <v>312</v>
      </c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1"/>
      <c r="J95" s="290"/>
      <c r="K95" s="289"/>
      <c r="L95" s="289"/>
      <c r="M95" s="289"/>
      <c r="N95" s="289"/>
      <c r="O95" s="64"/>
      <c r="P95" s="271"/>
      <c r="Q95" s="289"/>
      <c r="R95" s="289"/>
      <c r="S95" s="289"/>
      <c r="T95" s="289"/>
      <c r="U95" s="289"/>
      <c r="V95" s="415"/>
      <c r="W95" s="415"/>
      <c r="X95" s="289"/>
      <c r="Y95" s="47"/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1" t="s">
        <v>274</v>
      </c>
      <c r="J96" s="290"/>
      <c r="K96" s="289"/>
      <c r="L96" s="289"/>
      <c r="M96" s="289"/>
      <c r="N96" s="289"/>
      <c r="O96" s="64"/>
      <c r="P96" s="271"/>
      <c r="Q96" s="289"/>
      <c r="R96" s="289"/>
      <c r="S96" s="289"/>
      <c r="T96" s="289"/>
      <c r="U96" s="289"/>
      <c r="V96" s="348" t="s">
        <v>69</v>
      </c>
      <c r="W96" s="62"/>
      <c r="X96" s="348">
        <f>SUM(X97:X98)</f>
        <v>0</v>
      </c>
      <c r="Y96" s="63" t="s">
        <v>310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81" t="s">
        <v>508</v>
      </c>
      <c r="J97" s="290"/>
      <c r="K97" s="289"/>
      <c r="L97" s="289"/>
      <c r="M97" s="289">
        <f>M36</f>
        <v>2160000</v>
      </c>
      <c r="N97" s="289" t="s">
        <v>56</v>
      </c>
      <c r="O97" s="64" t="s">
        <v>57</v>
      </c>
      <c r="P97" s="271">
        <v>0</v>
      </c>
      <c r="Q97" s="289"/>
      <c r="R97" s="289"/>
      <c r="S97" s="289"/>
      <c r="T97" s="289"/>
      <c r="U97" s="289" t="s">
        <v>207</v>
      </c>
      <c r="V97" s="415"/>
      <c r="W97" s="415"/>
      <c r="X97" s="289">
        <f>ROUND(M97*P97,-3)</f>
        <v>0</v>
      </c>
      <c r="Y97" s="47" t="s">
        <v>312</v>
      </c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81"/>
      <c r="J98" s="290"/>
      <c r="K98" s="289"/>
      <c r="L98" s="289"/>
      <c r="M98" s="289"/>
      <c r="N98" s="289"/>
      <c r="O98" s="64"/>
      <c r="P98" s="271"/>
      <c r="Q98" s="289"/>
      <c r="R98" s="289"/>
      <c r="S98" s="289"/>
      <c r="T98" s="289"/>
      <c r="U98" s="289"/>
      <c r="V98" s="415"/>
      <c r="W98" s="415"/>
      <c r="X98" s="289"/>
      <c r="Y98" s="47"/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81" t="s">
        <v>275</v>
      </c>
      <c r="J99" s="290"/>
      <c r="K99" s="289"/>
      <c r="L99" s="289"/>
      <c r="M99" s="289"/>
      <c r="N99" s="289"/>
      <c r="O99" s="64"/>
      <c r="P99" s="271"/>
      <c r="Q99" s="289"/>
      <c r="R99" s="289"/>
      <c r="S99" s="289"/>
      <c r="T99" s="289"/>
      <c r="U99" s="289"/>
      <c r="V99" s="348" t="s">
        <v>69</v>
      </c>
      <c r="W99" s="62"/>
      <c r="X99" s="348">
        <f>SUM(X100:X101)</f>
        <v>0</v>
      </c>
      <c r="Y99" s="63" t="s">
        <v>310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81" t="s">
        <v>492</v>
      </c>
      <c r="J100" s="290"/>
      <c r="K100" s="289"/>
      <c r="L100" s="289"/>
      <c r="M100" s="289">
        <f>M39</f>
        <v>13251000</v>
      </c>
      <c r="N100" s="289" t="s">
        <v>56</v>
      </c>
      <c r="O100" s="64" t="s">
        <v>57</v>
      </c>
      <c r="P100" s="271">
        <v>0</v>
      </c>
      <c r="Q100" s="289"/>
      <c r="R100" s="289"/>
      <c r="S100" s="289"/>
      <c r="T100" s="289"/>
      <c r="U100" s="289" t="s">
        <v>207</v>
      </c>
      <c r="V100" s="415"/>
      <c r="W100" s="415"/>
      <c r="X100" s="422">
        <f>ROUND(M100*P100,-3)</f>
        <v>0</v>
      </c>
      <c r="Y100" s="47" t="s">
        <v>312</v>
      </c>
    </row>
    <row r="101" spans="1:27" ht="21" hidden="1" customHeight="1">
      <c r="A101" s="37"/>
      <c r="B101" s="38"/>
      <c r="C101" s="38"/>
      <c r="D101" s="38"/>
      <c r="E101" s="40"/>
      <c r="F101" s="40"/>
      <c r="G101" s="41"/>
      <c r="H101" s="60"/>
      <c r="I101" s="281"/>
      <c r="J101" s="290"/>
      <c r="K101" s="289"/>
      <c r="L101" s="289"/>
      <c r="M101" s="289"/>
      <c r="N101" s="289"/>
      <c r="O101" s="64"/>
      <c r="P101" s="271"/>
      <c r="Q101" s="289"/>
      <c r="R101" s="289"/>
      <c r="S101" s="289"/>
      <c r="T101" s="289"/>
      <c r="U101" s="289"/>
      <c r="V101" s="415"/>
      <c r="W101" s="415"/>
      <c r="X101" s="289"/>
      <c r="Y101" s="47"/>
    </row>
    <row r="102" spans="1:27" s="11" customFormat="1" ht="19.5" hidden="1" customHeight="1">
      <c r="A102" s="50"/>
      <c r="B102" s="38"/>
      <c r="C102" s="38"/>
      <c r="D102" s="38"/>
      <c r="E102" s="40"/>
      <c r="F102" s="40"/>
      <c r="G102" s="41"/>
      <c r="H102" s="60"/>
      <c r="I102" s="281" t="s">
        <v>496</v>
      </c>
      <c r="J102" s="290"/>
      <c r="K102" s="289"/>
      <c r="L102" s="289"/>
      <c r="M102" s="289"/>
      <c r="N102" s="289"/>
      <c r="O102" s="64"/>
      <c r="P102" s="271"/>
      <c r="Q102" s="289"/>
      <c r="R102" s="289"/>
      <c r="S102" s="289"/>
      <c r="T102" s="289"/>
      <c r="U102" s="289"/>
      <c r="V102" s="348" t="s">
        <v>69</v>
      </c>
      <c r="W102" s="62"/>
      <c r="X102" s="348">
        <f>SUM(X103:X104)</f>
        <v>0</v>
      </c>
      <c r="Y102" s="63" t="s">
        <v>56</v>
      </c>
      <c r="Z102" s="6"/>
    </row>
    <row r="103" spans="1:27" s="11" customFormat="1" ht="19.5" hidden="1" customHeight="1">
      <c r="A103" s="50"/>
      <c r="B103" s="38"/>
      <c r="C103" s="38"/>
      <c r="D103" s="38"/>
      <c r="E103" s="40"/>
      <c r="F103" s="40"/>
      <c r="G103" s="41"/>
      <c r="H103" s="60"/>
      <c r="I103" s="281" t="s">
        <v>492</v>
      </c>
      <c r="J103" s="290"/>
      <c r="K103" s="289"/>
      <c r="L103" s="289"/>
      <c r="M103" s="289">
        <f>M42</f>
        <v>4417000</v>
      </c>
      <c r="N103" s="289" t="s">
        <v>56</v>
      </c>
      <c r="O103" s="64" t="s">
        <v>57</v>
      </c>
      <c r="P103" s="271">
        <v>0</v>
      </c>
      <c r="Q103" s="289"/>
      <c r="R103" s="289"/>
      <c r="S103" s="289"/>
      <c r="T103" s="289"/>
      <c r="U103" s="289" t="s">
        <v>53</v>
      </c>
      <c r="V103" s="509"/>
      <c r="W103" s="509"/>
      <c r="X103" s="289">
        <f>ROUND(M103*P103,-3)</f>
        <v>0</v>
      </c>
      <c r="Y103" s="47" t="s">
        <v>56</v>
      </c>
      <c r="Z103" s="6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81"/>
      <c r="J104" s="290"/>
      <c r="K104" s="289"/>
      <c r="L104" s="289"/>
      <c r="M104" s="289"/>
      <c r="N104" s="289"/>
      <c r="O104" s="64"/>
      <c r="P104" s="271"/>
      <c r="Q104" s="289"/>
      <c r="R104" s="289"/>
      <c r="S104" s="289"/>
      <c r="T104" s="289"/>
      <c r="U104" s="289"/>
      <c r="V104" s="509"/>
      <c r="W104" s="509"/>
      <c r="X104" s="289"/>
      <c r="Y104" s="47"/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82" t="s">
        <v>276</v>
      </c>
      <c r="J105" s="290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  <c r="V105" s="348" t="s">
        <v>69</v>
      </c>
      <c r="W105" s="62"/>
      <c r="X105" s="348">
        <f>SUM(X106:X107)</f>
        <v>0</v>
      </c>
      <c r="Y105" s="63" t="s">
        <v>25</v>
      </c>
      <c r="Z105" s="6"/>
    </row>
    <row r="106" spans="1:27" s="11" customFormat="1" ht="19.5" hidden="1" customHeight="1">
      <c r="A106" s="50"/>
      <c r="B106" s="38"/>
      <c r="C106" s="38"/>
      <c r="D106" s="38"/>
      <c r="E106" s="40"/>
      <c r="F106" s="40"/>
      <c r="G106" s="41"/>
      <c r="H106" s="60"/>
      <c r="I106" s="281" t="s">
        <v>492</v>
      </c>
      <c r="J106" s="290"/>
      <c r="K106" s="289"/>
      <c r="L106" s="289"/>
      <c r="M106" s="289">
        <f>SUM(M90+M94+M97+M100+M103)</f>
        <v>87465000</v>
      </c>
      <c r="N106" s="44" t="s">
        <v>56</v>
      </c>
      <c r="O106" s="509" t="s">
        <v>70</v>
      </c>
      <c r="P106" s="66">
        <v>12</v>
      </c>
      <c r="Q106" s="177" t="s">
        <v>0</v>
      </c>
      <c r="R106" s="64" t="s">
        <v>57</v>
      </c>
      <c r="S106" s="271">
        <v>0</v>
      </c>
      <c r="T106" s="289"/>
      <c r="U106" s="289" t="s">
        <v>53</v>
      </c>
      <c r="V106" s="79"/>
      <c r="W106" s="79"/>
      <c r="X106" s="224">
        <f>ROUNDUP(M106/P106*S106,-3)</f>
        <v>0</v>
      </c>
      <c r="Y106" s="261" t="s">
        <v>56</v>
      </c>
      <c r="Z106" s="289"/>
      <c r="AA106" s="6"/>
    </row>
    <row r="107" spans="1:27" ht="21" hidden="1" customHeight="1">
      <c r="A107" s="37"/>
      <c r="B107" s="38"/>
      <c r="C107" s="38"/>
      <c r="D107" s="38"/>
      <c r="E107" s="40"/>
      <c r="F107" s="40"/>
      <c r="G107" s="41"/>
      <c r="H107" s="60"/>
      <c r="I107" s="281"/>
      <c r="J107" s="290"/>
      <c r="K107" s="289"/>
      <c r="L107" s="289"/>
      <c r="M107" s="289"/>
      <c r="N107" s="44"/>
      <c r="O107" s="415"/>
      <c r="P107" s="66"/>
      <c r="Q107" s="177"/>
      <c r="R107" s="64"/>
      <c r="S107" s="271"/>
      <c r="T107" s="289"/>
      <c r="U107" s="289"/>
      <c r="V107" s="289"/>
      <c r="W107" s="289"/>
      <c r="X107" s="58"/>
      <c r="Y107" s="261"/>
    </row>
    <row r="108" spans="1:27" ht="21" hidden="1" customHeight="1">
      <c r="A108" s="37"/>
      <c r="B108" s="38"/>
      <c r="C108" s="38"/>
      <c r="D108" s="38"/>
      <c r="E108" s="40"/>
      <c r="F108" s="40"/>
      <c r="G108" s="41"/>
      <c r="H108" s="60"/>
      <c r="I108" s="282" t="s">
        <v>277</v>
      </c>
      <c r="J108" s="290"/>
      <c r="K108" s="289"/>
      <c r="L108" s="289"/>
      <c r="M108" s="289"/>
      <c r="N108" s="44"/>
      <c r="O108" s="289"/>
      <c r="P108" s="289"/>
      <c r="Q108" s="289"/>
      <c r="R108" s="289"/>
      <c r="S108" s="289"/>
      <c r="T108" s="289"/>
      <c r="U108" s="289"/>
      <c r="V108" s="348" t="s">
        <v>69</v>
      </c>
      <c r="W108" s="62"/>
      <c r="X108" s="348">
        <f>SUM(X109,X112,X115,X118,X121)</f>
        <v>0</v>
      </c>
      <c r="Y108" s="63" t="s">
        <v>25</v>
      </c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81" t="s">
        <v>278</v>
      </c>
      <c r="J109" s="290"/>
      <c r="K109" s="289"/>
      <c r="L109" s="289"/>
      <c r="M109" s="289"/>
      <c r="N109" s="44"/>
      <c r="O109" s="64"/>
      <c r="P109" s="230"/>
      <c r="Q109" s="415"/>
      <c r="R109" s="64"/>
      <c r="S109" s="271"/>
      <c r="T109" s="65"/>
      <c r="U109" s="415"/>
      <c r="V109" s="128"/>
      <c r="W109" s="129"/>
      <c r="X109" s="129">
        <f>SUM(X110:X111)</f>
        <v>0</v>
      </c>
      <c r="Y109" s="130" t="s">
        <v>56</v>
      </c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1" t="s">
        <v>492</v>
      </c>
      <c r="J110" s="290"/>
      <c r="K110" s="289"/>
      <c r="L110" s="289"/>
      <c r="M110" s="289">
        <f>M106</f>
        <v>87465000</v>
      </c>
      <c r="N110" s="44" t="s">
        <v>56</v>
      </c>
      <c r="O110" s="64" t="s">
        <v>57</v>
      </c>
      <c r="P110" s="230">
        <v>0.09</v>
      </c>
      <c r="Q110" s="415">
        <v>2</v>
      </c>
      <c r="R110" s="64" t="s">
        <v>57</v>
      </c>
      <c r="S110" s="271">
        <v>0</v>
      </c>
      <c r="T110" s="65"/>
      <c r="U110" s="415" t="s">
        <v>205</v>
      </c>
      <c r="V110" s="289"/>
      <c r="W110" s="58"/>
      <c r="X110" s="58">
        <f>ROUNDUP(M110*P110/Q110*S110,-3)</f>
        <v>0</v>
      </c>
      <c r="Y110" s="47" t="s">
        <v>312</v>
      </c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81"/>
      <c r="J111" s="290"/>
      <c r="K111" s="289"/>
      <c r="L111" s="289"/>
      <c r="M111" s="289"/>
      <c r="N111" s="44"/>
      <c r="O111" s="64"/>
      <c r="P111" s="230"/>
      <c r="Q111" s="415"/>
      <c r="R111" s="64"/>
      <c r="S111" s="271"/>
      <c r="T111" s="65"/>
      <c r="U111" s="415"/>
      <c r="V111" s="289"/>
      <c r="W111" s="58"/>
      <c r="X111" s="121"/>
      <c r="Y111" s="47"/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81" t="s">
        <v>279</v>
      </c>
      <c r="J112" s="290"/>
      <c r="K112" s="289"/>
      <c r="L112" s="289"/>
      <c r="M112" s="289"/>
      <c r="N112" s="44"/>
      <c r="O112" s="64"/>
      <c r="P112" s="231"/>
      <c r="Q112" s="415"/>
      <c r="R112" s="64"/>
      <c r="S112" s="271"/>
      <c r="T112" s="65"/>
      <c r="U112" s="415"/>
      <c r="V112" s="348"/>
      <c r="W112" s="62"/>
      <c r="X112" s="62">
        <f>SUM(X113:X114)</f>
        <v>0</v>
      </c>
      <c r="Y112" s="63" t="s">
        <v>56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1" t="s">
        <v>492</v>
      </c>
      <c r="J113" s="290"/>
      <c r="K113" s="289"/>
      <c r="L113" s="289"/>
      <c r="M113" s="289">
        <f>M110</f>
        <v>87465000</v>
      </c>
      <c r="N113" s="44" t="s">
        <v>56</v>
      </c>
      <c r="O113" s="64" t="s">
        <v>57</v>
      </c>
      <c r="P113" s="231">
        <v>7.0900000000000005E-2</v>
      </c>
      <c r="Q113" s="415">
        <v>2</v>
      </c>
      <c r="R113" s="64" t="s">
        <v>57</v>
      </c>
      <c r="S113" s="271">
        <v>0</v>
      </c>
      <c r="T113" s="65"/>
      <c r="U113" s="415"/>
      <c r="V113" s="289"/>
      <c r="W113" s="58"/>
      <c r="X113" s="274">
        <f>ROUNDUP(M113*P113/Q113*S113,-3)</f>
        <v>0</v>
      </c>
      <c r="Y113" s="47" t="s">
        <v>312</v>
      </c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1"/>
      <c r="J114" s="290"/>
      <c r="K114" s="289"/>
      <c r="L114" s="289"/>
      <c r="M114" s="289"/>
      <c r="N114" s="44"/>
      <c r="O114" s="64"/>
      <c r="P114" s="231"/>
      <c r="Q114" s="415"/>
      <c r="R114" s="64"/>
      <c r="S114" s="271"/>
      <c r="T114" s="65"/>
      <c r="U114" s="415"/>
      <c r="V114" s="289"/>
      <c r="W114" s="58"/>
      <c r="X114" s="121"/>
      <c r="Y114" s="47"/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1" t="s">
        <v>280</v>
      </c>
      <c r="J115" s="290"/>
      <c r="K115" s="289"/>
      <c r="L115" s="289"/>
      <c r="M115" s="289"/>
      <c r="N115" s="44"/>
      <c r="O115" s="64"/>
      <c r="P115" s="68"/>
      <c r="Q115" s="69"/>
      <c r="R115" s="64"/>
      <c r="S115" s="67"/>
      <c r="T115" s="70"/>
      <c r="U115" s="415"/>
      <c r="V115" s="348"/>
      <c r="W115" s="62"/>
      <c r="X115" s="62">
        <f>SUM(X116:X117)</f>
        <v>0</v>
      </c>
      <c r="Y115" s="63" t="s">
        <v>56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1" t="s">
        <v>492</v>
      </c>
      <c r="J116" s="290"/>
      <c r="K116" s="289"/>
      <c r="L116" s="289"/>
      <c r="M116" s="289">
        <f t="shared" ref="M116" si="25">X113</f>
        <v>0</v>
      </c>
      <c r="N116" s="44" t="s">
        <v>56</v>
      </c>
      <c r="O116" s="64" t="s">
        <v>57</v>
      </c>
      <c r="P116" s="68">
        <v>0.12809999999999999</v>
      </c>
      <c r="Q116" s="69"/>
      <c r="R116" s="64"/>
      <c r="S116" s="67"/>
      <c r="T116" s="70"/>
      <c r="U116" s="415"/>
      <c r="V116" s="289"/>
      <c r="W116" s="58"/>
      <c r="X116" s="58">
        <f>ROUND(M116*P116,-3)</f>
        <v>0</v>
      </c>
      <c r="Y116" s="47" t="s">
        <v>312</v>
      </c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1"/>
      <c r="J117" s="290"/>
      <c r="K117" s="289"/>
      <c r="L117" s="289"/>
      <c r="M117" s="289"/>
      <c r="N117" s="44"/>
      <c r="O117" s="64"/>
      <c r="P117" s="68"/>
      <c r="Q117" s="69"/>
      <c r="R117" s="64"/>
      <c r="S117" s="67"/>
      <c r="T117" s="70"/>
      <c r="U117" s="415"/>
      <c r="V117" s="289"/>
      <c r="W117" s="58"/>
      <c r="X117" s="58"/>
      <c r="Y117" s="47"/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1" t="s">
        <v>281</v>
      </c>
      <c r="J118" s="290"/>
      <c r="K118" s="289"/>
      <c r="L118" s="289"/>
      <c r="M118" s="289"/>
      <c r="N118" s="44"/>
      <c r="O118" s="64"/>
      <c r="P118" s="68"/>
      <c r="Q118" s="64"/>
      <c r="R118" s="64"/>
      <c r="S118" s="271"/>
      <c r="T118" s="65"/>
      <c r="U118" s="415"/>
      <c r="V118" s="348"/>
      <c r="W118" s="62"/>
      <c r="X118" s="62">
        <f>SUM(X119:X120)</f>
        <v>0</v>
      </c>
      <c r="Y118" s="63" t="s">
        <v>56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1" t="s">
        <v>492</v>
      </c>
      <c r="J119" s="290"/>
      <c r="K119" s="289"/>
      <c r="L119" s="289"/>
      <c r="M119" s="289">
        <f>M110</f>
        <v>87465000</v>
      </c>
      <c r="N119" s="44" t="s">
        <v>56</v>
      </c>
      <c r="O119" s="64" t="s">
        <v>57</v>
      </c>
      <c r="P119" s="68">
        <v>1.15E-2</v>
      </c>
      <c r="Q119" s="64"/>
      <c r="R119" s="64" t="s">
        <v>57</v>
      </c>
      <c r="S119" s="271">
        <v>0</v>
      </c>
      <c r="T119" s="65"/>
      <c r="U119" s="415" t="s">
        <v>205</v>
      </c>
      <c r="V119" s="289"/>
      <c r="W119" s="58"/>
      <c r="X119" s="58">
        <f>ROUND(M119*P119*S119,-3)</f>
        <v>0</v>
      </c>
      <c r="Y119" s="47" t="s">
        <v>312</v>
      </c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1"/>
      <c r="J120" s="290"/>
      <c r="K120" s="289"/>
      <c r="L120" s="289"/>
      <c r="M120" s="289"/>
      <c r="N120" s="44"/>
      <c r="O120" s="64"/>
      <c r="P120" s="68"/>
      <c r="Q120" s="64"/>
      <c r="R120" s="64"/>
      <c r="S120" s="271"/>
      <c r="T120" s="65"/>
      <c r="U120" s="415"/>
      <c r="V120" s="289"/>
      <c r="W120" s="58"/>
      <c r="X120" s="58"/>
      <c r="Y120" s="47"/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1" t="s">
        <v>282</v>
      </c>
      <c r="J121" s="290"/>
      <c r="K121" s="289"/>
      <c r="L121" s="289"/>
      <c r="M121" s="289"/>
      <c r="N121" s="44"/>
      <c r="O121" s="64"/>
      <c r="P121" s="267"/>
      <c r="Q121" s="64"/>
      <c r="R121" s="64"/>
      <c r="S121" s="271"/>
      <c r="T121" s="65"/>
      <c r="U121" s="415"/>
      <c r="V121" s="348"/>
      <c r="W121" s="62"/>
      <c r="X121" s="62">
        <f>SUM(X122:X123)</f>
        <v>0</v>
      </c>
      <c r="Y121" s="63" t="s">
        <v>56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1" t="s">
        <v>492</v>
      </c>
      <c r="J122" s="290"/>
      <c r="K122" s="289"/>
      <c r="L122" s="289"/>
      <c r="M122" s="289">
        <f>M110</f>
        <v>87465000</v>
      </c>
      <c r="N122" s="44" t="s">
        <v>56</v>
      </c>
      <c r="O122" s="64" t="s">
        <v>57</v>
      </c>
      <c r="P122" s="267">
        <v>7.6E-3</v>
      </c>
      <c r="Q122" s="64"/>
      <c r="R122" s="64" t="s">
        <v>57</v>
      </c>
      <c r="S122" s="271">
        <v>0</v>
      </c>
      <c r="T122" s="65"/>
      <c r="U122" s="415" t="s">
        <v>205</v>
      </c>
      <c r="V122" s="289"/>
      <c r="W122" s="58"/>
      <c r="X122" s="58">
        <f>ROUNDUP(M122*P122*S122,-3)</f>
        <v>0</v>
      </c>
      <c r="Y122" s="47" t="s">
        <v>312</v>
      </c>
    </row>
    <row r="123" spans="1:25" ht="21" hidden="1" customHeight="1">
      <c r="A123" s="37"/>
      <c r="B123" s="38"/>
      <c r="C123" s="38"/>
      <c r="D123" s="38"/>
      <c r="E123" s="40"/>
      <c r="F123" s="40"/>
      <c r="G123" s="41"/>
      <c r="H123" s="60"/>
      <c r="I123" s="281"/>
      <c r="J123" s="290"/>
      <c r="K123" s="289"/>
      <c r="L123" s="289"/>
      <c r="M123" s="289"/>
      <c r="N123" s="44"/>
      <c r="O123" s="64"/>
      <c r="P123" s="267"/>
      <c r="Q123" s="64"/>
      <c r="R123" s="64"/>
      <c r="S123" s="271"/>
      <c r="T123" s="65"/>
      <c r="U123" s="415"/>
      <c r="V123" s="289"/>
      <c r="W123" s="58"/>
      <c r="X123" s="121"/>
      <c r="Y123" s="47"/>
    </row>
    <row r="124" spans="1:25" ht="21" hidden="1" customHeight="1">
      <c r="A124" s="37"/>
      <c r="B124" s="38"/>
      <c r="C124" s="38"/>
      <c r="D124" s="49"/>
      <c r="E124" s="51"/>
      <c r="F124" s="51"/>
      <c r="G124" s="52"/>
      <c r="H124" s="75"/>
      <c r="I124" s="61"/>
      <c r="J124" s="62"/>
      <c r="K124" s="218"/>
      <c r="L124" s="218"/>
      <c r="M124" s="198"/>
      <c r="N124" s="198"/>
      <c r="O124" s="219"/>
      <c r="P124" s="198"/>
      <c r="Q124" s="117"/>
      <c r="R124" s="220"/>
      <c r="S124" s="72"/>
      <c r="T124" s="169"/>
      <c r="U124" s="169"/>
      <c r="V124" s="221"/>
      <c r="W124" s="199"/>
      <c r="X124" s="62"/>
      <c r="Y124" s="63"/>
    </row>
    <row r="125" spans="1:25" ht="21" hidden="1" customHeight="1" thickBot="1">
      <c r="A125" s="37"/>
      <c r="B125" s="38"/>
      <c r="C125" s="38"/>
      <c r="D125" s="28" t="s">
        <v>209</v>
      </c>
      <c r="E125" s="29">
        <v>0</v>
      </c>
      <c r="F125" s="213">
        <f>ROUND(X125/1000,0)</f>
        <v>0</v>
      </c>
      <c r="G125" s="30">
        <f t="shared" ref="G125" si="26">F125-E125</f>
        <v>0</v>
      </c>
      <c r="H125" s="109">
        <f t="shared" ref="H125" si="27">IF(E125=0,0,G125/E125)</f>
        <v>0</v>
      </c>
      <c r="I125" s="225" t="s">
        <v>210</v>
      </c>
      <c r="J125" s="224"/>
      <c r="K125" s="232"/>
      <c r="L125" s="232"/>
      <c r="M125" s="79"/>
      <c r="N125" s="79"/>
      <c r="O125" s="214"/>
      <c r="P125" s="79"/>
      <c r="Q125" s="215"/>
      <c r="R125" s="222"/>
      <c r="S125" s="223"/>
      <c r="T125" s="228"/>
      <c r="U125" s="228"/>
      <c r="V125" s="226" t="s">
        <v>191</v>
      </c>
      <c r="W125" s="227"/>
      <c r="X125" s="227">
        <f>SUM(X126:X126)</f>
        <v>0</v>
      </c>
      <c r="Y125" s="260" t="s">
        <v>56</v>
      </c>
    </row>
    <row r="126" spans="1:25" ht="21" hidden="1" customHeight="1">
      <c r="A126" s="37"/>
      <c r="B126" s="38"/>
      <c r="C126" s="38"/>
      <c r="D126" s="38"/>
      <c r="E126" s="40"/>
      <c r="F126" s="40"/>
      <c r="G126" s="41"/>
      <c r="H126" s="60"/>
      <c r="I126" s="290" t="s">
        <v>211</v>
      </c>
      <c r="J126" s="58"/>
      <c r="K126" s="180"/>
      <c r="L126" s="180"/>
      <c r="M126" s="289">
        <f>M65</f>
        <v>2641000</v>
      </c>
      <c r="N126" s="270" t="s">
        <v>25</v>
      </c>
      <c r="O126" s="363" t="s">
        <v>26</v>
      </c>
      <c r="P126" s="364">
        <v>4</v>
      </c>
      <c r="Q126" s="365" t="s">
        <v>55</v>
      </c>
      <c r="R126" s="326" t="s">
        <v>300</v>
      </c>
      <c r="S126" s="271">
        <v>0</v>
      </c>
      <c r="T126" s="329"/>
      <c r="U126" s="327" t="s">
        <v>301</v>
      </c>
      <c r="V126" s="581"/>
      <c r="W126" s="581"/>
      <c r="X126" s="58">
        <f>ROUND(M126*P126*S126,-3)</f>
        <v>0</v>
      </c>
      <c r="Y126" s="47" t="s">
        <v>56</v>
      </c>
    </row>
    <row r="127" spans="1:25" ht="21" hidden="1" customHeight="1">
      <c r="A127" s="37"/>
      <c r="B127" s="38"/>
      <c r="C127" s="38"/>
      <c r="D127" s="49"/>
      <c r="E127" s="51"/>
      <c r="F127" s="51"/>
      <c r="G127" s="52"/>
      <c r="H127" s="75"/>
      <c r="I127" s="61"/>
      <c r="J127" s="62"/>
      <c r="K127" s="218"/>
      <c r="L127" s="218"/>
      <c r="M127" s="198"/>
      <c r="N127" s="198"/>
      <c r="O127" s="219"/>
      <c r="P127" s="198"/>
      <c r="Q127" s="117"/>
      <c r="R127" s="220"/>
      <c r="S127" s="72"/>
      <c r="T127" s="169"/>
      <c r="U127" s="169"/>
      <c r="V127" s="221"/>
      <c r="W127" s="199"/>
      <c r="X127" s="62"/>
      <c r="Y127" s="63"/>
    </row>
    <row r="128" spans="1:25" ht="21" hidden="1" customHeight="1" thickBot="1">
      <c r="A128" s="37"/>
      <c r="B128" s="38"/>
      <c r="C128" s="38"/>
      <c r="D128" s="28" t="s">
        <v>212</v>
      </c>
      <c r="E128" s="29">
        <v>0</v>
      </c>
      <c r="F128" s="213">
        <f>ROUND(X128/1000,0)</f>
        <v>0</v>
      </c>
      <c r="G128" s="30">
        <f t="shared" ref="G128" si="28">F128-E128</f>
        <v>0</v>
      </c>
      <c r="H128" s="109">
        <f t="shared" ref="H128" si="29">IF(E128=0,0,G128/E128)</f>
        <v>0</v>
      </c>
      <c r="I128" s="225" t="s">
        <v>214</v>
      </c>
      <c r="J128" s="224"/>
      <c r="K128" s="232"/>
      <c r="L128" s="232"/>
      <c r="M128" s="79"/>
      <c r="N128" s="79"/>
      <c r="O128" s="214"/>
      <c r="P128" s="79"/>
      <c r="Q128" s="215"/>
      <c r="R128" s="222"/>
      <c r="S128" s="223"/>
      <c r="T128" s="228"/>
      <c r="U128" s="228"/>
      <c r="V128" s="226" t="s">
        <v>191</v>
      </c>
      <c r="W128" s="227"/>
      <c r="X128" s="227">
        <f>SUM(X129:X134)</f>
        <v>0</v>
      </c>
      <c r="Y128" s="260" t="s">
        <v>56</v>
      </c>
    </row>
    <row r="129" spans="1:26" ht="21" hidden="1" customHeight="1">
      <c r="A129" s="37"/>
      <c r="B129" s="38"/>
      <c r="C129" s="38"/>
      <c r="D129" s="38" t="s">
        <v>213</v>
      </c>
      <c r="E129" s="40"/>
      <c r="F129" s="40"/>
      <c r="G129" s="41"/>
      <c r="H129" s="60"/>
      <c r="I129" s="57" t="s">
        <v>215</v>
      </c>
      <c r="J129" s="197"/>
      <c r="K129" s="196"/>
      <c r="L129" s="196"/>
      <c r="M129" s="196">
        <v>500</v>
      </c>
      <c r="N129" s="196" t="s">
        <v>202</v>
      </c>
      <c r="O129" s="197" t="s">
        <v>206</v>
      </c>
      <c r="P129" s="234">
        <v>4</v>
      </c>
      <c r="Q129" s="235">
        <v>365</v>
      </c>
      <c r="R129" s="196" t="s">
        <v>216</v>
      </c>
      <c r="S129" s="271">
        <v>0</v>
      </c>
      <c r="T129" s="196"/>
      <c r="U129" s="196" t="s">
        <v>205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hidden="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217</v>
      </c>
      <c r="J130" s="197"/>
      <c r="K130" s="196"/>
      <c r="L130" s="196"/>
      <c r="M130" s="196">
        <v>5000</v>
      </c>
      <c r="N130" s="196" t="s">
        <v>202</v>
      </c>
      <c r="O130" s="197" t="s">
        <v>206</v>
      </c>
      <c r="P130" s="234">
        <v>4</v>
      </c>
      <c r="Q130" s="235">
        <v>12</v>
      </c>
      <c r="R130" s="196" t="s">
        <v>204</v>
      </c>
      <c r="S130" s="271">
        <v>0</v>
      </c>
      <c r="T130" s="196"/>
      <c r="U130" s="196" t="s">
        <v>205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hidden="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218</v>
      </c>
      <c r="J131" s="197"/>
      <c r="K131" s="196"/>
      <c r="L131" s="196"/>
      <c r="M131" s="196">
        <v>20000</v>
      </c>
      <c r="N131" s="196" t="s">
        <v>202</v>
      </c>
      <c r="O131" s="197" t="s">
        <v>206</v>
      </c>
      <c r="P131" s="234">
        <v>4</v>
      </c>
      <c r="Q131" s="235">
        <v>4</v>
      </c>
      <c r="R131" s="196" t="s">
        <v>219</v>
      </c>
      <c r="S131" s="271">
        <v>0</v>
      </c>
      <c r="T131" s="196"/>
      <c r="U131" s="196" t="s">
        <v>205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440</v>
      </c>
      <c r="J132" s="197"/>
      <c r="K132" s="196"/>
      <c r="L132" s="196"/>
      <c r="M132" s="196">
        <v>12000</v>
      </c>
      <c r="N132" s="196" t="s">
        <v>202</v>
      </c>
      <c r="O132" s="197" t="s">
        <v>206</v>
      </c>
      <c r="P132" s="234">
        <v>4</v>
      </c>
      <c r="Q132" s="235">
        <v>4</v>
      </c>
      <c r="R132" s="196" t="s">
        <v>219</v>
      </c>
      <c r="S132" s="271">
        <v>0</v>
      </c>
      <c r="T132" s="196"/>
      <c r="U132" s="196" t="s">
        <v>205</v>
      </c>
      <c r="V132" s="196"/>
      <c r="W132" s="58"/>
      <c r="X132" s="58">
        <f>ROUND(M132*P132*Q132*S132,-3)</f>
        <v>0</v>
      </c>
      <c r="Y132" s="47" t="s">
        <v>25</v>
      </c>
    </row>
    <row r="133" spans="1:26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220</v>
      </c>
      <c r="J133" s="197"/>
      <c r="K133" s="196"/>
      <c r="L133" s="196"/>
      <c r="M133" s="196"/>
      <c r="N133" s="196"/>
      <c r="O133" s="197"/>
      <c r="P133" s="234"/>
      <c r="Q133" s="235"/>
      <c r="R133" s="196"/>
      <c r="S133" s="196"/>
      <c r="T133" s="196"/>
      <c r="U133" s="196"/>
      <c r="V133" s="196"/>
      <c r="W133" s="58"/>
      <c r="X133" s="58"/>
      <c r="Y133" s="47"/>
    </row>
    <row r="134" spans="1:26" ht="21" hidden="1" customHeight="1">
      <c r="A134" s="37"/>
      <c r="B134" s="38"/>
      <c r="C134" s="38"/>
      <c r="D134" s="38"/>
      <c r="E134" s="40"/>
      <c r="F134" s="40"/>
      <c r="G134" s="41"/>
      <c r="H134" s="60"/>
      <c r="I134" s="57" t="s">
        <v>221</v>
      </c>
      <c r="J134" s="197"/>
      <c r="K134" s="196"/>
      <c r="L134" s="196"/>
      <c r="M134" s="196">
        <v>40000</v>
      </c>
      <c r="N134" s="196" t="s">
        <v>202</v>
      </c>
      <c r="O134" s="197" t="s">
        <v>206</v>
      </c>
      <c r="P134" s="234">
        <v>4</v>
      </c>
      <c r="Q134" s="235">
        <v>1</v>
      </c>
      <c r="R134" s="196" t="s">
        <v>219</v>
      </c>
      <c r="S134" s="271">
        <v>0</v>
      </c>
      <c r="T134" s="196"/>
      <c r="U134" s="196" t="s">
        <v>205</v>
      </c>
      <c r="V134" s="196"/>
      <c r="W134" s="58"/>
      <c r="X134" s="58">
        <f>ROUNDUP(M134*P134*Q134*S134,-3)</f>
        <v>0</v>
      </c>
      <c r="Y134" s="47" t="s">
        <v>25</v>
      </c>
    </row>
    <row r="135" spans="1:26" ht="21" hidden="1" customHeight="1">
      <c r="A135" s="37"/>
      <c r="B135" s="38"/>
      <c r="C135" s="38"/>
      <c r="D135" s="49"/>
      <c r="E135" s="51"/>
      <c r="F135" s="51"/>
      <c r="G135" s="52"/>
      <c r="H135" s="75"/>
      <c r="I135" s="61"/>
      <c r="J135" s="62"/>
      <c r="K135" s="218"/>
      <c r="L135" s="218"/>
      <c r="M135" s="198"/>
      <c r="N135" s="198"/>
      <c r="O135" s="219"/>
      <c r="P135" s="198"/>
      <c r="Q135" s="117"/>
      <c r="R135" s="220"/>
      <c r="S135" s="72"/>
      <c r="T135" s="169"/>
      <c r="U135" s="169"/>
      <c r="V135" s="221"/>
      <c r="W135" s="199"/>
      <c r="X135" s="62"/>
      <c r="Y135" s="63"/>
    </row>
    <row r="136" spans="1:26" ht="21" hidden="1" customHeight="1" thickBot="1">
      <c r="A136" s="37"/>
      <c r="B136" s="38"/>
      <c r="C136" s="38"/>
      <c r="D136" s="28" t="s">
        <v>222</v>
      </c>
      <c r="E136" s="29">
        <v>0</v>
      </c>
      <c r="F136" s="213">
        <f>ROUND(X136/1000,0)</f>
        <v>0</v>
      </c>
      <c r="G136" s="30">
        <f t="shared" ref="G136" si="30">F136-E136</f>
        <v>0</v>
      </c>
      <c r="H136" s="109">
        <f t="shared" ref="H136" si="31">IF(E136=0,0,G136/E136)</f>
        <v>0</v>
      </c>
      <c r="I136" s="225" t="s">
        <v>314</v>
      </c>
      <c r="J136" s="224"/>
      <c r="K136" s="232"/>
      <c r="L136" s="232"/>
      <c r="M136" s="79"/>
      <c r="N136" s="79"/>
      <c r="O136" s="214"/>
      <c r="P136" s="79"/>
      <c r="Q136" s="215"/>
      <c r="R136" s="222"/>
      <c r="S136" s="223"/>
      <c r="T136" s="345"/>
      <c r="U136" s="345"/>
      <c r="V136" s="226" t="s">
        <v>191</v>
      </c>
      <c r="W136" s="227"/>
      <c r="X136" s="227">
        <f>X137</f>
        <v>0</v>
      </c>
      <c r="Y136" s="260" t="s">
        <v>56</v>
      </c>
    </row>
    <row r="137" spans="1:26" ht="21" hidden="1" customHeight="1">
      <c r="A137" s="37"/>
      <c r="B137" s="38"/>
      <c r="C137" s="38"/>
      <c r="D137" s="38" t="s">
        <v>315</v>
      </c>
      <c r="E137" s="40"/>
      <c r="F137" s="40"/>
      <c r="G137" s="41"/>
      <c r="H137" s="60"/>
      <c r="I137" s="281" t="s">
        <v>283</v>
      </c>
      <c r="J137" s="290"/>
      <c r="K137" s="289"/>
      <c r="L137" s="289"/>
      <c r="M137" s="237">
        <v>2000000</v>
      </c>
      <c r="N137" s="59" t="s">
        <v>56</v>
      </c>
      <c r="O137" s="59" t="s">
        <v>57</v>
      </c>
      <c r="P137" s="271">
        <v>0</v>
      </c>
      <c r="Q137" s="235"/>
      <c r="R137" s="59"/>
      <c r="S137" s="236"/>
      <c r="T137" s="59"/>
      <c r="U137" s="59" t="s">
        <v>53</v>
      </c>
      <c r="V137" s="289"/>
      <c r="W137" s="58"/>
      <c r="X137" s="289">
        <f>M137*P137</f>
        <v>0</v>
      </c>
      <c r="Y137" s="47" t="s">
        <v>56</v>
      </c>
    </row>
    <row r="138" spans="1:26" ht="21" hidden="1" customHeight="1">
      <c r="A138" s="37"/>
      <c r="B138" s="38"/>
      <c r="C138" s="38"/>
      <c r="D138" s="49"/>
      <c r="E138" s="51"/>
      <c r="F138" s="51"/>
      <c r="G138" s="52"/>
      <c r="H138" s="75"/>
      <c r="I138" s="349"/>
      <c r="J138" s="62"/>
      <c r="K138" s="218"/>
      <c r="L138" s="218"/>
      <c r="M138" s="348"/>
      <c r="N138" s="348"/>
      <c r="O138" s="219"/>
      <c r="P138" s="348"/>
      <c r="Q138" s="117"/>
      <c r="R138" s="220"/>
      <c r="S138" s="348"/>
      <c r="T138" s="169"/>
      <c r="U138" s="169"/>
      <c r="V138" s="221"/>
      <c r="W138" s="349"/>
      <c r="X138" s="62"/>
      <c r="Y138" s="63"/>
    </row>
    <row r="139" spans="1:26" ht="21" customHeight="1">
      <c r="A139" s="37"/>
      <c r="B139" s="38"/>
      <c r="C139" s="38"/>
      <c r="D139" s="38" t="s">
        <v>319</v>
      </c>
      <c r="E139" s="40">
        <v>300</v>
      </c>
      <c r="F139" s="213">
        <f>ROUND(X139/1000,0)</f>
        <v>300</v>
      </c>
      <c r="G139" s="41">
        <f t="shared" ref="G139" si="32">F139-E139</f>
        <v>0</v>
      </c>
      <c r="H139" s="60">
        <f t="shared" ref="H139" si="33">IF(E139=0,0,G139/E139)</f>
        <v>0</v>
      </c>
      <c r="I139" s="61" t="s">
        <v>318</v>
      </c>
      <c r="J139" s="58"/>
      <c r="K139" s="180"/>
      <c r="L139" s="180"/>
      <c r="M139" s="196"/>
      <c r="N139" s="196"/>
      <c r="O139" s="177"/>
      <c r="P139" s="196"/>
      <c r="Q139" s="44"/>
      <c r="R139" s="179"/>
      <c r="S139" s="46"/>
      <c r="T139" s="229"/>
      <c r="U139" s="229"/>
      <c r="V139" s="198" t="s">
        <v>225</v>
      </c>
      <c r="W139" s="62"/>
      <c r="X139" s="198">
        <f>SUM(X140:X140)</f>
        <v>300000</v>
      </c>
      <c r="Y139" s="63" t="s">
        <v>25</v>
      </c>
    </row>
    <row r="140" spans="1:26" ht="21" customHeight="1">
      <c r="A140" s="37"/>
      <c r="B140" s="38"/>
      <c r="C140" s="38"/>
      <c r="D140" s="38" t="s">
        <v>224</v>
      </c>
      <c r="E140" s="40"/>
      <c r="F140" s="40"/>
      <c r="G140" s="41"/>
      <c r="H140" s="60"/>
      <c r="I140" s="281" t="s">
        <v>284</v>
      </c>
      <c r="J140" s="290"/>
      <c r="K140" s="289"/>
      <c r="L140" s="289"/>
      <c r="M140" s="237">
        <v>300000</v>
      </c>
      <c r="N140" s="59" t="s">
        <v>56</v>
      </c>
      <c r="O140" s="59" t="s">
        <v>57</v>
      </c>
      <c r="P140" s="238">
        <v>1</v>
      </c>
      <c r="Q140" s="235"/>
      <c r="R140" s="59"/>
      <c r="S140" s="236"/>
      <c r="T140" s="59"/>
      <c r="U140" s="59" t="s">
        <v>207</v>
      </c>
      <c r="V140" s="289"/>
      <c r="W140" s="58"/>
      <c r="X140" s="289">
        <f>ROUND(M140*P140,-3)</f>
        <v>300000</v>
      </c>
      <c r="Y140" s="47" t="s">
        <v>56</v>
      </c>
    </row>
    <row r="141" spans="1:26" ht="21" customHeight="1">
      <c r="A141" s="37"/>
      <c r="B141" s="38"/>
      <c r="C141" s="38"/>
      <c r="D141" s="38"/>
      <c r="E141" s="40"/>
      <c r="F141" s="40"/>
      <c r="G141" s="41"/>
      <c r="H141" s="60"/>
      <c r="I141" s="57"/>
      <c r="J141" s="197"/>
      <c r="K141" s="196"/>
      <c r="L141" s="196"/>
      <c r="M141" s="196"/>
      <c r="N141" s="44"/>
      <c r="O141" s="64"/>
      <c r="P141" s="68"/>
      <c r="Q141" s="64"/>
      <c r="R141" s="64"/>
      <c r="S141" s="67"/>
      <c r="T141" s="65"/>
      <c r="U141" s="229"/>
      <c r="V141" s="196"/>
      <c r="W141" s="58"/>
      <c r="X141" s="58"/>
      <c r="Y141" s="47"/>
    </row>
    <row r="142" spans="1:26" ht="21" customHeight="1">
      <c r="A142" s="37"/>
      <c r="B142" s="38"/>
      <c r="C142" s="28" t="s">
        <v>144</v>
      </c>
      <c r="D142" s="256" t="s">
        <v>108</v>
      </c>
      <c r="E142" s="189">
        <f>E143</f>
        <v>0</v>
      </c>
      <c r="F142" s="189">
        <f>F143</f>
        <v>0</v>
      </c>
      <c r="G142" s="190">
        <f t="shared" ref="G142:G143" si="34">F142-E142</f>
        <v>0</v>
      </c>
      <c r="H142" s="191">
        <f t="shared" ref="H142:H143" si="35">IF(E142=0,0,G142/E142)</f>
        <v>0</v>
      </c>
      <c r="I142" s="173" t="s">
        <v>143</v>
      </c>
      <c r="J142" s="174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210" t="s">
        <v>69</v>
      </c>
      <c r="W142" s="211"/>
      <c r="X142" s="211">
        <f>SUM(X143:X143)</f>
        <v>0</v>
      </c>
      <c r="Y142" s="259" t="s">
        <v>56</v>
      </c>
    </row>
    <row r="143" spans="1:26" ht="21" customHeight="1">
      <c r="A143" s="37"/>
      <c r="B143" s="38"/>
      <c r="C143" s="38" t="s">
        <v>140</v>
      </c>
      <c r="D143" s="38" t="s">
        <v>145</v>
      </c>
      <c r="E143" s="40">
        <v>0</v>
      </c>
      <c r="F143" s="40">
        <f>ROUND(X143/1000,0)</f>
        <v>0</v>
      </c>
      <c r="G143" s="266">
        <f t="shared" si="34"/>
        <v>0</v>
      </c>
      <c r="H143" s="156">
        <f t="shared" si="35"/>
        <v>0</v>
      </c>
      <c r="I143" s="57"/>
      <c r="J143" s="197"/>
      <c r="K143" s="196"/>
      <c r="L143" s="196"/>
      <c r="M143" s="196"/>
      <c r="N143" s="229"/>
      <c r="O143" s="177"/>
      <c r="P143" s="196"/>
      <c r="Q143" s="44"/>
      <c r="R143" s="178"/>
      <c r="S143" s="181"/>
      <c r="T143" s="181"/>
      <c r="U143" s="229"/>
      <c r="V143" s="110"/>
      <c r="W143" s="58"/>
      <c r="X143" s="58">
        <v>0</v>
      </c>
      <c r="Y143" s="47" t="s">
        <v>141</v>
      </c>
    </row>
    <row r="144" spans="1:26" s="11" customFormat="1" ht="19.5" customHeight="1">
      <c r="A144" s="262"/>
      <c r="B144" s="74"/>
      <c r="C144" s="74"/>
      <c r="D144" s="49"/>
      <c r="E144" s="51"/>
      <c r="F144" s="51"/>
      <c r="G144" s="52"/>
      <c r="H144" s="75"/>
      <c r="I144" s="61"/>
      <c r="J144" s="198"/>
      <c r="K144" s="76"/>
      <c r="L144" s="76"/>
      <c r="M144" s="77"/>
      <c r="N144" s="198"/>
      <c r="O144" s="76"/>
      <c r="P144" s="198"/>
      <c r="Q144" s="198"/>
      <c r="R144" s="198"/>
      <c r="S144" s="198"/>
      <c r="T144" s="198"/>
      <c r="U144" s="198"/>
      <c r="V144" s="198"/>
      <c r="W144" s="198"/>
      <c r="X144" s="198"/>
      <c r="Y144" s="63"/>
      <c r="Z144" s="6"/>
    </row>
    <row r="145" spans="1:25" ht="21" customHeight="1">
      <c r="A145" s="27" t="s">
        <v>72</v>
      </c>
      <c r="B145" s="28" t="s">
        <v>30</v>
      </c>
      <c r="C145" s="573" t="s">
        <v>254</v>
      </c>
      <c r="D145" s="574"/>
      <c r="E145" s="239">
        <f>SUM(E146,E153)</f>
        <v>1113</v>
      </c>
      <c r="F145" s="239">
        <f>SUM(F146,F153)</f>
        <v>1120</v>
      </c>
      <c r="G145" s="240">
        <f t="shared" ref="G145" si="36">F145-E145</f>
        <v>7</v>
      </c>
      <c r="H145" s="241">
        <f t="shared" ref="H145" si="37">IF(E145=0,0,G145/E145)</f>
        <v>6.2893081761006293E-3</v>
      </c>
      <c r="I145" s="242" t="s">
        <v>255</v>
      </c>
      <c r="J145" s="243"/>
      <c r="K145" s="244"/>
      <c r="L145" s="244"/>
      <c r="M145" s="243"/>
      <c r="N145" s="243"/>
      <c r="O145" s="243"/>
      <c r="P145" s="243"/>
      <c r="Q145" s="243" t="s">
        <v>65</v>
      </c>
      <c r="R145" s="245"/>
      <c r="S145" s="245"/>
      <c r="T145" s="245"/>
      <c r="U145" s="245"/>
      <c r="V145" s="245"/>
      <c r="W145" s="245"/>
      <c r="X145" s="246">
        <f>X146+X153</f>
        <v>1120000</v>
      </c>
      <c r="Y145" s="258" t="s">
        <v>25</v>
      </c>
    </row>
    <row r="146" spans="1:25" ht="21" customHeight="1">
      <c r="A146" s="37" t="s">
        <v>129</v>
      </c>
      <c r="B146" s="38" t="s">
        <v>129</v>
      </c>
      <c r="C146" s="28" t="s">
        <v>146</v>
      </c>
      <c r="D146" s="256" t="s">
        <v>260</v>
      </c>
      <c r="E146" s="189">
        <f>E147+E151</f>
        <v>610</v>
      </c>
      <c r="F146" s="189">
        <f>F147+F151</f>
        <v>610</v>
      </c>
      <c r="G146" s="190">
        <f t="shared" ref="G146:G147" si="38">F146-E146</f>
        <v>0</v>
      </c>
      <c r="H146" s="191">
        <f t="shared" ref="H146:H147" si="39">IF(E146=0,0,G146/E146)</f>
        <v>0</v>
      </c>
      <c r="I146" s="173" t="s">
        <v>261</v>
      </c>
      <c r="J146" s="174"/>
      <c r="K146" s="175"/>
      <c r="L146" s="175"/>
      <c r="M146" s="175"/>
      <c r="N146" s="175"/>
      <c r="O146" s="175"/>
      <c r="P146" s="176"/>
      <c r="Q146" s="176"/>
      <c r="R146" s="176"/>
      <c r="S146" s="176"/>
      <c r="T146" s="176"/>
      <c r="U146" s="176"/>
      <c r="V146" s="210" t="s">
        <v>249</v>
      </c>
      <c r="W146" s="211"/>
      <c r="X146" s="212">
        <f>SUM(X147,X151)</f>
        <v>610000</v>
      </c>
      <c r="Y146" s="259" t="s">
        <v>244</v>
      </c>
    </row>
    <row r="147" spans="1:25" ht="21.75" customHeight="1">
      <c r="A147" s="37"/>
      <c r="B147" s="38"/>
      <c r="C147" s="38" t="s">
        <v>147</v>
      </c>
      <c r="D147" s="28" t="s">
        <v>148</v>
      </c>
      <c r="E147" s="29">
        <v>610</v>
      </c>
      <c r="F147" s="40">
        <f>ROUND(X147/1000,0)</f>
        <v>610</v>
      </c>
      <c r="G147" s="266">
        <f t="shared" si="38"/>
        <v>0</v>
      </c>
      <c r="H147" s="156">
        <f t="shared" si="39"/>
        <v>0</v>
      </c>
      <c r="I147" s="127" t="s">
        <v>149</v>
      </c>
      <c r="J147" s="13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572" t="s">
        <v>69</v>
      </c>
      <c r="W147" s="572"/>
      <c r="X147" s="129">
        <f>SUM(X148:X149)</f>
        <v>610000</v>
      </c>
      <c r="Y147" s="130" t="s">
        <v>63</v>
      </c>
    </row>
    <row r="148" spans="1:25" ht="21.75" customHeight="1">
      <c r="A148" s="37"/>
      <c r="B148" s="38"/>
      <c r="C148" s="38"/>
      <c r="D148" s="38"/>
      <c r="E148" s="40"/>
      <c r="F148" s="40"/>
      <c r="G148" s="264"/>
      <c r="H148" s="265"/>
      <c r="I148" s="57" t="s">
        <v>531</v>
      </c>
      <c r="J148" s="290"/>
      <c r="K148" s="289"/>
      <c r="L148" s="289"/>
      <c r="M148" s="289"/>
      <c r="N148" s="289"/>
      <c r="O148" s="289"/>
      <c r="P148" s="289"/>
      <c r="Q148" s="289"/>
      <c r="R148" s="289"/>
      <c r="S148" s="289"/>
      <c r="T148" s="289"/>
      <c r="U148" s="534" t="s">
        <v>53</v>
      </c>
      <c r="V148" s="534"/>
      <c r="W148" s="534"/>
      <c r="X148" s="58">
        <v>610000</v>
      </c>
      <c r="Y148" s="47" t="s">
        <v>56</v>
      </c>
    </row>
    <row r="149" spans="1:25" ht="18" customHeight="1">
      <c r="A149" s="37"/>
      <c r="B149" s="38"/>
      <c r="C149" s="38"/>
      <c r="D149" s="38"/>
      <c r="E149" s="40"/>
      <c r="F149" s="40"/>
      <c r="G149" s="41"/>
      <c r="H149" s="25"/>
      <c r="I149" s="57" t="s">
        <v>98</v>
      </c>
      <c r="J149" s="197"/>
      <c r="K149" s="196"/>
      <c r="L149" s="196"/>
      <c r="M149" s="196">
        <v>0</v>
      </c>
      <c r="N149" s="229" t="s">
        <v>66</v>
      </c>
      <c r="O149" s="64" t="s">
        <v>67</v>
      </c>
      <c r="P149" s="59">
        <v>12</v>
      </c>
      <c r="Q149" s="64" t="s">
        <v>112</v>
      </c>
      <c r="R149" s="71"/>
      <c r="S149" s="65"/>
      <c r="T149" s="65"/>
      <c r="U149" s="229" t="s">
        <v>68</v>
      </c>
      <c r="V149" s="196"/>
      <c r="W149" s="58"/>
      <c r="X149" s="121">
        <f>M149*P149</f>
        <v>0</v>
      </c>
      <c r="Y149" s="47" t="s">
        <v>63</v>
      </c>
    </row>
    <row r="150" spans="1:25" ht="18" customHeight="1">
      <c r="A150" s="37"/>
      <c r="B150" s="38"/>
      <c r="C150" s="38"/>
      <c r="D150" s="49"/>
      <c r="E150" s="51"/>
      <c r="F150" s="51"/>
      <c r="G150" s="52"/>
      <c r="H150" s="172"/>
      <c r="I150" s="61"/>
      <c r="J150" s="199"/>
      <c r="K150" s="198"/>
      <c r="L150" s="198"/>
      <c r="M150" s="198"/>
      <c r="N150" s="169"/>
      <c r="O150" s="182"/>
      <c r="P150" s="183"/>
      <c r="Q150" s="182"/>
      <c r="R150" s="184"/>
      <c r="S150" s="185"/>
      <c r="T150" s="185"/>
      <c r="U150" s="169"/>
      <c r="V150" s="198"/>
      <c r="W150" s="62"/>
      <c r="X150" s="62"/>
      <c r="Y150" s="63"/>
    </row>
    <row r="151" spans="1:25" ht="18" customHeight="1">
      <c r="A151" s="37"/>
      <c r="B151" s="38"/>
      <c r="C151" s="38"/>
      <c r="D151" s="28" t="s">
        <v>250</v>
      </c>
      <c r="E151" s="29">
        <v>0</v>
      </c>
      <c r="F151" s="40">
        <f>ROUND(X151/1000,0)</f>
        <v>0</v>
      </c>
      <c r="G151" s="30">
        <f t="shared" ref="G151" si="40">F151-E151</f>
        <v>0</v>
      </c>
      <c r="H151" s="31">
        <f t="shared" ref="H151" si="41">IF(E151=0,0,G151/E151)</f>
        <v>0</v>
      </c>
      <c r="I151" s="127" t="s">
        <v>149</v>
      </c>
      <c r="J151" s="13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572" t="s">
        <v>69</v>
      </c>
      <c r="W151" s="572"/>
      <c r="X151" s="129">
        <f>X152</f>
        <v>0</v>
      </c>
      <c r="Y151" s="130" t="s">
        <v>56</v>
      </c>
    </row>
    <row r="152" spans="1:25" ht="18" customHeight="1">
      <c r="A152" s="37"/>
      <c r="B152" s="38"/>
      <c r="C152" s="49"/>
      <c r="D152" s="49"/>
      <c r="E152" s="51"/>
      <c r="F152" s="51"/>
      <c r="G152" s="52"/>
      <c r="H152" s="172"/>
      <c r="I152" s="57" t="s">
        <v>251</v>
      </c>
      <c r="J152" s="197"/>
      <c r="K152" s="196"/>
      <c r="L152" s="196"/>
      <c r="M152" s="196">
        <v>0</v>
      </c>
      <c r="N152" s="229" t="s">
        <v>56</v>
      </c>
      <c r="O152" s="64" t="s">
        <v>57</v>
      </c>
      <c r="P152" s="59">
        <v>12</v>
      </c>
      <c r="Q152" s="64" t="s">
        <v>0</v>
      </c>
      <c r="R152" s="71"/>
      <c r="S152" s="65"/>
      <c r="T152" s="65"/>
      <c r="U152" s="229" t="s">
        <v>53</v>
      </c>
      <c r="V152" s="196"/>
      <c r="W152" s="58"/>
      <c r="X152" s="58">
        <f>M152*P152</f>
        <v>0</v>
      </c>
      <c r="Y152" s="47" t="s">
        <v>56</v>
      </c>
    </row>
    <row r="153" spans="1:25" ht="25.5" customHeight="1">
      <c r="A153" s="37"/>
      <c r="B153" s="38"/>
      <c r="C153" s="38" t="s">
        <v>150</v>
      </c>
      <c r="D153" s="256" t="s">
        <v>108</v>
      </c>
      <c r="E153" s="189">
        <f>E154</f>
        <v>503</v>
      </c>
      <c r="F153" s="189">
        <f>F154</f>
        <v>510</v>
      </c>
      <c r="G153" s="190">
        <f t="shared" ref="G153:G154" si="42">F153-E153</f>
        <v>7</v>
      </c>
      <c r="H153" s="191">
        <f t="shared" ref="H153:H154" si="43">IF(E153=0,0,G153/E153)</f>
        <v>1.3916500994035786E-2</v>
      </c>
      <c r="I153" s="173" t="s">
        <v>152</v>
      </c>
      <c r="J153" s="174"/>
      <c r="K153" s="175"/>
      <c r="L153" s="175"/>
      <c r="M153" s="175"/>
      <c r="N153" s="175"/>
      <c r="O153" s="175"/>
      <c r="P153" s="176"/>
      <c r="Q153" s="176"/>
      <c r="R153" s="176"/>
      <c r="S153" s="176"/>
      <c r="T153" s="176"/>
      <c r="U153" s="176"/>
      <c r="V153" s="210" t="s">
        <v>69</v>
      </c>
      <c r="W153" s="211"/>
      <c r="X153" s="211">
        <f>X154</f>
        <v>510000</v>
      </c>
      <c r="Y153" s="259" t="s">
        <v>56</v>
      </c>
    </row>
    <row r="154" spans="1:25" ht="21" customHeight="1">
      <c r="A154" s="37"/>
      <c r="B154" s="38"/>
      <c r="C154" s="38" t="s">
        <v>147</v>
      </c>
      <c r="D154" s="38" t="s">
        <v>151</v>
      </c>
      <c r="E154" s="40">
        <v>503</v>
      </c>
      <c r="F154" s="40">
        <f>ROUND(X154/1000,0)</f>
        <v>510</v>
      </c>
      <c r="G154" s="266">
        <f t="shared" si="42"/>
        <v>7</v>
      </c>
      <c r="H154" s="156">
        <f t="shared" si="43"/>
        <v>1.3916500994035786E-2</v>
      </c>
      <c r="I154" s="127" t="s">
        <v>308</v>
      </c>
      <c r="J154" s="13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572" t="s">
        <v>69</v>
      </c>
      <c r="W154" s="572"/>
      <c r="X154" s="129">
        <f>SUM(X155:X157)</f>
        <v>510000</v>
      </c>
      <c r="Y154" s="130" t="s">
        <v>63</v>
      </c>
    </row>
    <row r="155" spans="1:25" ht="21" customHeight="1">
      <c r="A155" s="37"/>
      <c r="B155" s="38"/>
      <c r="C155" s="38"/>
      <c r="D155" s="38"/>
      <c r="E155" s="40"/>
      <c r="F155" s="40"/>
      <c r="G155" s="264"/>
      <c r="H155" s="265"/>
      <c r="I155" s="57" t="s">
        <v>73</v>
      </c>
      <c r="J155" s="290"/>
      <c r="K155" s="289"/>
      <c r="L155" s="289"/>
      <c r="M155" s="289"/>
      <c r="N155" s="412"/>
      <c r="O155" s="64"/>
      <c r="P155" s="59"/>
      <c r="Q155" s="64"/>
      <c r="R155" s="71"/>
      <c r="S155" s="65"/>
      <c r="T155" s="65"/>
      <c r="U155" s="412" t="s">
        <v>53</v>
      </c>
      <c r="V155" s="289"/>
      <c r="W155" s="58"/>
      <c r="X155" s="58">
        <v>500000</v>
      </c>
      <c r="Y155" s="47" t="s">
        <v>63</v>
      </c>
    </row>
    <row r="156" spans="1:25" ht="21" customHeight="1">
      <c r="A156" s="37"/>
      <c r="B156" s="38"/>
      <c r="C156" s="38"/>
      <c r="D156" s="38"/>
      <c r="E156" s="40"/>
      <c r="F156" s="40"/>
      <c r="G156" s="264"/>
      <c r="H156" s="265"/>
      <c r="I156" s="528" t="s">
        <v>519</v>
      </c>
      <c r="J156" s="529"/>
      <c r="K156" s="529"/>
      <c r="L156" s="529"/>
      <c r="M156" s="529"/>
      <c r="N156" s="529"/>
      <c r="O156" s="529"/>
      <c r="P156" s="529"/>
      <c r="Q156" s="529"/>
      <c r="R156" s="529"/>
      <c r="S156" s="529"/>
      <c r="T156" s="529"/>
      <c r="U156" s="529"/>
      <c r="V156" s="529"/>
      <c r="W156" s="529"/>
      <c r="X156" s="545">
        <v>5000</v>
      </c>
      <c r="Y156" s="530" t="s">
        <v>25</v>
      </c>
    </row>
    <row r="157" spans="1:25" ht="21" customHeight="1">
      <c r="A157" s="48"/>
      <c r="B157" s="49"/>
      <c r="C157" s="49"/>
      <c r="D157" s="49"/>
      <c r="E157" s="51"/>
      <c r="F157" s="51"/>
      <c r="G157" s="52"/>
      <c r="H157" s="172"/>
      <c r="I157" s="57" t="s">
        <v>242</v>
      </c>
      <c r="J157" s="290"/>
      <c r="K157" s="289"/>
      <c r="L157" s="289"/>
      <c r="M157" s="289"/>
      <c r="N157" s="289"/>
      <c r="O157" s="289"/>
      <c r="P157" s="289"/>
      <c r="Q157" s="44"/>
      <c r="R157" s="44"/>
      <c r="S157" s="44"/>
      <c r="T157" s="289"/>
      <c r="U157" s="289"/>
      <c r="V157" s="289"/>
      <c r="W157" s="58"/>
      <c r="X157" s="546">
        <v>5000</v>
      </c>
      <c r="Y157" s="47" t="s">
        <v>56</v>
      </c>
    </row>
    <row r="158" spans="1:25" ht="21" customHeight="1">
      <c r="A158" s="27" t="s">
        <v>153</v>
      </c>
      <c r="B158" s="28" t="s">
        <v>153</v>
      </c>
      <c r="C158" s="573" t="s">
        <v>254</v>
      </c>
      <c r="D158" s="574"/>
      <c r="E158" s="239">
        <f>E159+E162</f>
        <v>0</v>
      </c>
      <c r="F158" s="239">
        <f>F159+F162</f>
        <v>0</v>
      </c>
      <c r="G158" s="240">
        <f t="shared" ref="G158:G160" si="44">F158-E158</f>
        <v>0</v>
      </c>
      <c r="H158" s="241">
        <f t="shared" ref="H158:H160" si="45">IF(E158=0,0,G158/E158)</f>
        <v>0</v>
      </c>
      <c r="I158" s="242" t="s">
        <v>256</v>
      </c>
      <c r="J158" s="243"/>
      <c r="K158" s="244"/>
      <c r="L158" s="244"/>
      <c r="M158" s="243"/>
      <c r="N158" s="243"/>
      <c r="O158" s="243"/>
      <c r="P158" s="243"/>
      <c r="Q158" s="243" t="s">
        <v>64</v>
      </c>
      <c r="R158" s="245"/>
      <c r="S158" s="245"/>
      <c r="T158" s="245"/>
      <c r="U158" s="245"/>
      <c r="V158" s="245"/>
      <c r="W158" s="245"/>
      <c r="X158" s="246">
        <f>X159+X162</f>
        <v>0</v>
      </c>
      <c r="Y158" s="258" t="s">
        <v>25</v>
      </c>
    </row>
    <row r="159" spans="1:25" ht="21" customHeight="1">
      <c r="A159" s="37"/>
      <c r="B159" s="38"/>
      <c r="C159" s="28" t="s">
        <v>154</v>
      </c>
      <c r="D159" s="256" t="s">
        <v>108</v>
      </c>
      <c r="E159" s="189">
        <f>E160</f>
        <v>0</v>
      </c>
      <c r="F159" s="189">
        <f>F160</f>
        <v>0</v>
      </c>
      <c r="G159" s="190">
        <f t="shared" si="44"/>
        <v>0</v>
      </c>
      <c r="H159" s="191">
        <f t="shared" si="45"/>
        <v>0</v>
      </c>
      <c r="I159" s="173" t="s">
        <v>157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69</v>
      </c>
      <c r="W159" s="211"/>
      <c r="X159" s="212">
        <f>X160</f>
        <v>0</v>
      </c>
      <c r="Y159" s="259" t="s">
        <v>56</v>
      </c>
    </row>
    <row r="160" spans="1:25" ht="21" customHeight="1">
      <c r="A160" s="37"/>
      <c r="B160" s="38"/>
      <c r="C160" s="38" t="s">
        <v>155</v>
      </c>
      <c r="D160" s="28" t="s">
        <v>159</v>
      </c>
      <c r="E160" s="29">
        <v>0</v>
      </c>
      <c r="F160" s="40">
        <f>ROUND(X160/1000,0)</f>
        <v>0</v>
      </c>
      <c r="G160" s="30">
        <f t="shared" si="44"/>
        <v>0</v>
      </c>
      <c r="H160" s="31">
        <f t="shared" si="45"/>
        <v>0</v>
      </c>
      <c r="I160" s="127" t="s">
        <v>157</v>
      </c>
      <c r="J160" s="13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572" t="s">
        <v>69</v>
      </c>
      <c r="W160" s="572"/>
      <c r="X160" s="129">
        <f>X161</f>
        <v>0</v>
      </c>
      <c r="Y160" s="130" t="s">
        <v>56</v>
      </c>
    </row>
    <row r="161" spans="1:27" ht="21" customHeight="1">
      <c r="A161" s="37"/>
      <c r="B161" s="38"/>
      <c r="C161" s="38" t="s">
        <v>153</v>
      </c>
      <c r="D161" s="38" t="s">
        <v>153</v>
      </c>
      <c r="E161" s="40"/>
      <c r="F161" s="40"/>
      <c r="G161" s="41"/>
      <c r="H161" s="25"/>
      <c r="I161" s="57" t="s">
        <v>158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37"/>
      <c r="B162" s="38"/>
      <c r="C162" s="28" t="s">
        <v>144</v>
      </c>
      <c r="D162" s="256" t="s">
        <v>108</v>
      </c>
      <c r="E162" s="189">
        <f>E163</f>
        <v>0</v>
      </c>
      <c r="F162" s="189">
        <f>F163</f>
        <v>0</v>
      </c>
      <c r="G162" s="190">
        <f t="shared" ref="G162:G163" si="46">F162-E162</f>
        <v>0</v>
      </c>
      <c r="H162" s="191">
        <f t="shared" ref="H162:H163" si="47">IF(E162=0,0,G162/E162)</f>
        <v>0</v>
      </c>
      <c r="I162" s="173" t="s">
        <v>160</v>
      </c>
      <c r="J162" s="174"/>
      <c r="K162" s="175"/>
      <c r="L162" s="175"/>
      <c r="M162" s="175"/>
      <c r="N162" s="175"/>
      <c r="O162" s="175"/>
      <c r="P162" s="176"/>
      <c r="Q162" s="176"/>
      <c r="R162" s="176"/>
      <c r="S162" s="176"/>
      <c r="T162" s="176"/>
      <c r="U162" s="176"/>
      <c r="V162" s="210" t="s">
        <v>69</v>
      </c>
      <c r="W162" s="211"/>
      <c r="X162" s="211">
        <f>X163</f>
        <v>0</v>
      </c>
      <c r="Y162" s="259" t="s">
        <v>56</v>
      </c>
    </row>
    <row r="163" spans="1:27" ht="21" customHeight="1">
      <c r="A163" s="37"/>
      <c r="B163" s="38"/>
      <c r="C163" s="38" t="s">
        <v>153</v>
      </c>
      <c r="D163" s="38" t="s">
        <v>156</v>
      </c>
      <c r="E163" s="40">
        <v>0</v>
      </c>
      <c r="F163" s="40">
        <f>ROUND(X163/1000,0)</f>
        <v>0</v>
      </c>
      <c r="G163" s="30">
        <f t="shared" si="46"/>
        <v>0</v>
      </c>
      <c r="H163" s="31">
        <f t="shared" si="47"/>
        <v>0</v>
      </c>
      <c r="I163" s="57" t="s">
        <v>161</v>
      </c>
      <c r="J163" s="197"/>
      <c r="K163" s="196"/>
      <c r="L163" s="196"/>
      <c r="M163" s="196"/>
      <c r="N163" s="229"/>
      <c r="O163" s="64"/>
      <c r="P163" s="59"/>
      <c r="Q163" s="64"/>
      <c r="R163" s="71"/>
      <c r="S163" s="65"/>
      <c r="T163" s="65"/>
      <c r="U163" s="229"/>
      <c r="V163" s="196"/>
      <c r="W163" s="58"/>
      <c r="X163" s="58">
        <v>0</v>
      </c>
      <c r="Y163" s="47" t="s">
        <v>56</v>
      </c>
    </row>
    <row r="164" spans="1:27" ht="21" customHeight="1">
      <c r="A164" s="48"/>
      <c r="B164" s="49"/>
      <c r="C164" s="49"/>
      <c r="D164" s="49"/>
      <c r="E164" s="51"/>
      <c r="F164" s="51"/>
      <c r="G164" s="52"/>
      <c r="H164" s="172"/>
      <c r="I164" s="61"/>
      <c r="J164" s="199"/>
      <c r="K164" s="198"/>
      <c r="L164" s="198"/>
      <c r="M164" s="198"/>
      <c r="N164" s="169"/>
      <c r="O164" s="182"/>
      <c r="P164" s="183"/>
      <c r="Q164" s="182"/>
      <c r="R164" s="184"/>
      <c r="S164" s="185"/>
      <c r="T164" s="185"/>
      <c r="U164" s="169"/>
      <c r="V164" s="198"/>
      <c r="W164" s="62"/>
      <c r="X164" s="62"/>
      <c r="Y164" s="63"/>
    </row>
    <row r="165" spans="1:27" ht="21" customHeight="1">
      <c r="A165" s="27" t="s">
        <v>74</v>
      </c>
      <c r="B165" s="28" t="s">
        <v>13</v>
      </c>
      <c r="C165" s="573" t="s">
        <v>254</v>
      </c>
      <c r="D165" s="574"/>
      <c r="E165" s="239">
        <f>SUM(E166,E170)</f>
        <v>0</v>
      </c>
      <c r="F165" s="239">
        <f>SUM(F166,F170)</f>
        <v>0</v>
      </c>
      <c r="G165" s="240">
        <f t="shared" ref="G165:G167" si="48">F165-E165</f>
        <v>0</v>
      </c>
      <c r="H165" s="241">
        <f t="shared" ref="H165:H167" si="49">IF(E165=0,0,G165/E165)</f>
        <v>0</v>
      </c>
      <c r="I165" s="242" t="s">
        <v>257</v>
      </c>
      <c r="J165" s="243"/>
      <c r="K165" s="244"/>
      <c r="L165" s="244"/>
      <c r="M165" s="243"/>
      <c r="N165" s="243"/>
      <c r="O165" s="243"/>
      <c r="P165" s="243"/>
      <c r="Q165" s="243" t="s">
        <v>64</v>
      </c>
      <c r="R165" s="245"/>
      <c r="S165" s="245"/>
      <c r="T165" s="245"/>
      <c r="U165" s="245"/>
      <c r="V165" s="245"/>
      <c r="W165" s="245"/>
      <c r="X165" s="246">
        <f>X167+X170</f>
        <v>0</v>
      </c>
      <c r="Y165" s="258" t="s">
        <v>25</v>
      </c>
      <c r="Z165" s="17"/>
      <c r="AA165" s="18"/>
    </row>
    <row r="166" spans="1:27" ht="21" customHeight="1">
      <c r="A166" s="37"/>
      <c r="B166" s="38"/>
      <c r="C166" s="28" t="s">
        <v>162</v>
      </c>
      <c r="D166" s="256" t="s">
        <v>260</v>
      </c>
      <c r="E166" s="189">
        <f>E167</f>
        <v>0</v>
      </c>
      <c r="F166" s="189">
        <f>F167</f>
        <v>0</v>
      </c>
      <c r="G166" s="190">
        <f t="shared" si="48"/>
        <v>0</v>
      </c>
      <c r="H166" s="191">
        <f t="shared" si="49"/>
        <v>0</v>
      </c>
      <c r="I166" s="173" t="s">
        <v>262</v>
      </c>
      <c r="J166" s="174"/>
      <c r="K166" s="175"/>
      <c r="L166" s="175"/>
      <c r="M166" s="175"/>
      <c r="N166" s="175"/>
      <c r="O166" s="175"/>
      <c r="P166" s="176"/>
      <c r="Q166" s="176"/>
      <c r="R166" s="176"/>
      <c r="S166" s="176"/>
      <c r="T166" s="176"/>
      <c r="U166" s="176"/>
      <c r="V166" s="210" t="s">
        <v>249</v>
      </c>
      <c r="W166" s="211"/>
      <c r="X166" s="212">
        <f>SUM(X167:X167)</f>
        <v>0</v>
      </c>
      <c r="Y166" s="259" t="s">
        <v>244</v>
      </c>
      <c r="Z166" s="17"/>
      <c r="AA166" s="18"/>
    </row>
    <row r="167" spans="1:27" ht="21" customHeight="1">
      <c r="A167" s="37"/>
      <c r="B167" s="38"/>
      <c r="C167" s="38" t="s">
        <v>163</v>
      </c>
      <c r="D167" s="28" t="s">
        <v>164</v>
      </c>
      <c r="E167" s="29">
        <v>0</v>
      </c>
      <c r="F167" s="40">
        <f>ROUND(X167/1000,0)</f>
        <v>0</v>
      </c>
      <c r="G167" s="30">
        <f t="shared" si="48"/>
        <v>0</v>
      </c>
      <c r="H167" s="31">
        <f t="shared" si="49"/>
        <v>0</v>
      </c>
      <c r="I167" s="127" t="s">
        <v>168</v>
      </c>
      <c r="J167" s="13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572" t="s">
        <v>69</v>
      </c>
      <c r="W167" s="572"/>
      <c r="X167" s="129">
        <f>SUM(X169:X169)</f>
        <v>0</v>
      </c>
      <c r="Y167" s="130" t="s">
        <v>56</v>
      </c>
      <c r="Z167" s="17"/>
      <c r="AA167" s="18"/>
    </row>
    <row r="168" spans="1:27" ht="21" customHeight="1">
      <c r="A168" s="37"/>
      <c r="B168" s="38"/>
      <c r="C168" s="38"/>
      <c r="D168" s="38"/>
      <c r="E168" s="40"/>
      <c r="F168" s="40"/>
      <c r="G168" s="41"/>
      <c r="H168" s="25"/>
      <c r="I168" s="57" t="s">
        <v>229</v>
      </c>
      <c r="J168" s="197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229"/>
      <c r="W168" s="229"/>
      <c r="X168" s="58"/>
      <c r="Y168" s="47" t="s">
        <v>230</v>
      </c>
      <c r="Z168" s="17"/>
      <c r="AA168" s="18"/>
    </row>
    <row r="169" spans="1:27" ht="21" customHeight="1">
      <c r="A169" s="37"/>
      <c r="B169" s="38"/>
      <c r="C169" s="38"/>
      <c r="D169" s="38"/>
      <c r="E169" s="40"/>
      <c r="F169" s="40"/>
      <c r="G169" s="41"/>
      <c r="H169" s="25"/>
      <c r="I169" s="57"/>
      <c r="J169" s="197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196"/>
      <c r="W169" s="58"/>
      <c r="X169" s="58"/>
      <c r="Y169" s="47"/>
      <c r="Z169" s="17"/>
      <c r="AA169" s="18"/>
    </row>
    <row r="170" spans="1:27" ht="21" customHeight="1">
      <c r="A170" s="37"/>
      <c r="B170" s="38"/>
      <c r="C170" s="28" t="s">
        <v>165</v>
      </c>
      <c r="D170" s="256" t="s">
        <v>260</v>
      </c>
      <c r="E170" s="189">
        <f>E171</f>
        <v>0</v>
      </c>
      <c r="F170" s="189">
        <f>F171</f>
        <v>0</v>
      </c>
      <c r="G170" s="190">
        <f t="shared" ref="G170:G171" si="50">F170-E170</f>
        <v>0</v>
      </c>
      <c r="H170" s="191">
        <f t="shared" ref="H170:H171" si="51">IF(E170=0,0,G170/E170)</f>
        <v>0</v>
      </c>
      <c r="I170" s="173" t="s">
        <v>263</v>
      </c>
      <c r="J170" s="174"/>
      <c r="K170" s="175"/>
      <c r="L170" s="175"/>
      <c r="M170" s="175"/>
      <c r="N170" s="175"/>
      <c r="O170" s="175"/>
      <c r="P170" s="176"/>
      <c r="Q170" s="176"/>
      <c r="R170" s="176"/>
      <c r="S170" s="176"/>
      <c r="T170" s="176"/>
      <c r="U170" s="176"/>
      <c r="V170" s="210" t="s">
        <v>249</v>
      </c>
      <c r="W170" s="211"/>
      <c r="X170" s="211">
        <f>SUM(X171:X171)</f>
        <v>0</v>
      </c>
      <c r="Y170" s="259" t="s">
        <v>244</v>
      </c>
      <c r="Z170" s="17"/>
      <c r="AA170" s="18"/>
    </row>
    <row r="171" spans="1:27" ht="21" customHeight="1">
      <c r="A171" s="37"/>
      <c r="B171" s="38"/>
      <c r="C171" s="38" t="s">
        <v>163</v>
      </c>
      <c r="D171" s="38" t="s">
        <v>164</v>
      </c>
      <c r="E171" s="40">
        <v>0</v>
      </c>
      <c r="F171" s="40">
        <f>ROUND(X171/1000,0)</f>
        <v>0</v>
      </c>
      <c r="G171" s="30">
        <f t="shared" si="50"/>
        <v>0</v>
      </c>
      <c r="H171" s="31">
        <f t="shared" si="51"/>
        <v>0</v>
      </c>
      <c r="I171" s="127" t="s">
        <v>169</v>
      </c>
      <c r="J171" s="131"/>
      <c r="K171" s="196"/>
      <c r="L171" s="196"/>
      <c r="M171" s="196"/>
      <c r="N171" s="229"/>
      <c r="O171" s="64"/>
      <c r="P171" s="59"/>
      <c r="Q171" s="64"/>
      <c r="R171" s="71"/>
      <c r="S171" s="65"/>
      <c r="T171" s="65"/>
      <c r="U171" s="229"/>
      <c r="V171" s="572" t="s">
        <v>69</v>
      </c>
      <c r="W171" s="572"/>
      <c r="X171" s="129">
        <v>0</v>
      </c>
      <c r="Y171" s="130" t="s">
        <v>56</v>
      </c>
    </row>
    <row r="172" spans="1:27" ht="21" customHeight="1">
      <c r="A172" s="37"/>
      <c r="B172" s="38"/>
      <c r="C172" s="38" t="s">
        <v>227</v>
      </c>
      <c r="D172" s="38" t="s">
        <v>228</v>
      </c>
      <c r="E172" s="40"/>
      <c r="F172" s="40"/>
      <c r="G172" s="41"/>
      <c r="H172" s="25"/>
      <c r="I172" s="57"/>
      <c r="J172" s="290"/>
      <c r="K172" s="289"/>
      <c r="L172" s="289"/>
      <c r="M172" s="289"/>
      <c r="N172" s="289"/>
      <c r="O172" s="289"/>
      <c r="P172" s="289"/>
      <c r="Q172" s="44"/>
      <c r="R172" s="44"/>
      <c r="S172" s="44"/>
      <c r="T172" s="289"/>
      <c r="U172" s="289"/>
      <c r="V172" s="289"/>
      <c r="W172" s="58"/>
      <c r="X172" s="58"/>
      <c r="Y172" s="47"/>
    </row>
    <row r="173" spans="1:27" ht="21" customHeight="1">
      <c r="A173" s="48"/>
      <c r="B173" s="49"/>
      <c r="C173" s="49"/>
      <c r="D173" s="49"/>
      <c r="E173" s="51"/>
      <c r="F173" s="51"/>
      <c r="G173" s="52"/>
      <c r="H173" s="172"/>
      <c r="I173" s="61"/>
      <c r="J173" s="199"/>
      <c r="K173" s="198"/>
      <c r="L173" s="198"/>
      <c r="M173" s="198"/>
      <c r="N173" s="169"/>
      <c r="O173" s="182"/>
      <c r="P173" s="183"/>
      <c r="Q173" s="182"/>
      <c r="R173" s="184"/>
      <c r="S173" s="185"/>
      <c r="T173" s="185"/>
      <c r="U173" s="169"/>
      <c r="V173" s="198"/>
      <c r="W173" s="62"/>
      <c r="X173" s="62"/>
      <c r="Y173" s="63"/>
    </row>
    <row r="174" spans="1:27" ht="21" customHeight="1">
      <c r="A174" s="27" t="s">
        <v>14</v>
      </c>
      <c r="B174" s="28" t="s">
        <v>14</v>
      </c>
      <c r="C174" s="573" t="s">
        <v>254</v>
      </c>
      <c r="D174" s="574"/>
      <c r="E174" s="239">
        <f>SUM(E175,E191,E196)</f>
        <v>5447</v>
      </c>
      <c r="F174" s="239">
        <f>SUM(F175,F191,F196)</f>
        <v>5447</v>
      </c>
      <c r="G174" s="240">
        <f t="shared" ref="G174:G176" si="52">F174-E174</f>
        <v>0</v>
      </c>
      <c r="H174" s="241">
        <f t="shared" ref="H174:H176" si="53">IF(E174=0,0,G174/E174)</f>
        <v>0</v>
      </c>
      <c r="I174" s="242" t="s">
        <v>258</v>
      </c>
      <c r="J174" s="243"/>
      <c r="K174" s="244"/>
      <c r="L174" s="244"/>
      <c r="M174" s="243"/>
      <c r="N174" s="243"/>
      <c r="O174" s="243"/>
      <c r="P174" s="243"/>
      <c r="Q174" s="243" t="s">
        <v>64</v>
      </c>
      <c r="R174" s="245"/>
      <c r="S174" s="245"/>
      <c r="T174" s="245"/>
      <c r="U174" s="245"/>
      <c r="V174" s="245"/>
      <c r="W174" s="245"/>
      <c r="X174" s="246">
        <f>SUM(X175,X191,X196)</f>
        <v>5447000</v>
      </c>
      <c r="Y174" s="258" t="s">
        <v>25</v>
      </c>
    </row>
    <row r="175" spans="1:27" ht="21" customHeight="1">
      <c r="A175" s="37"/>
      <c r="B175" s="38"/>
      <c r="C175" s="28" t="s">
        <v>170</v>
      </c>
      <c r="D175" s="256" t="s">
        <v>260</v>
      </c>
      <c r="E175" s="189">
        <f>SUM(E176,E179,E183,E187)</f>
        <v>5133</v>
      </c>
      <c r="F175" s="189">
        <f>SUM(F176,F179,F183,F187)</f>
        <v>5133</v>
      </c>
      <c r="G175" s="190">
        <f t="shared" si="52"/>
        <v>0</v>
      </c>
      <c r="H175" s="191">
        <f t="shared" si="53"/>
        <v>0</v>
      </c>
      <c r="I175" s="173" t="s">
        <v>264</v>
      </c>
      <c r="J175" s="174"/>
      <c r="K175" s="175"/>
      <c r="L175" s="175"/>
      <c r="M175" s="175"/>
      <c r="N175" s="175"/>
      <c r="O175" s="175"/>
      <c r="P175" s="176"/>
      <c r="Q175" s="176"/>
      <c r="R175" s="176"/>
      <c r="S175" s="176"/>
      <c r="T175" s="176"/>
      <c r="U175" s="176"/>
      <c r="V175" s="210" t="s">
        <v>249</v>
      </c>
      <c r="W175" s="211"/>
      <c r="X175" s="212">
        <f>SUM(X176,X179,X183,X187)</f>
        <v>5133000</v>
      </c>
      <c r="Y175" s="259" t="s">
        <v>244</v>
      </c>
    </row>
    <row r="176" spans="1:27" ht="21" customHeight="1">
      <c r="A176" s="37"/>
      <c r="B176" s="38"/>
      <c r="C176" s="38" t="s">
        <v>171</v>
      </c>
      <c r="D176" s="28" t="s">
        <v>233</v>
      </c>
      <c r="E176" s="29">
        <v>3932</v>
      </c>
      <c r="F176" s="40">
        <f>ROUND(X176/1000,0)</f>
        <v>3932</v>
      </c>
      <c r="G176" s="30">
        <f t="shared" si="52"/>
        <v>0</v>
      </c>
      <c r="H176" s="31">
        <f t="shared" si="53"/>
        <v>0</v>
      </c>
      <c r="I176" s="127" t="s">
        <v>232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72" t="s">
        <v>69</v>
      </c>
      <c r="W176" s="572"/>
      <c r="X176" s="360">
        <f>ROUNDUP(SUM(W177:X178),-3)</f>
        <v>3932000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1" t="s">
        <v>285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431">
        <v>3931457</v>
      </c>
      <c r="Y177" s="47" t="s">
        <v>230</v>
      </c>
    </row>
    <row r="178" spans="1:25" ht="21" customHeight="1">
      <c r="A178" s="37"/>
      <c r="B178" s="38"/>
      <c r="C178" s="38"/>
      <c r="D178" s="49"/>
      <c r="E178" s="51"/>
      <c r="F178" s="51"/>
      <c r="G178" s="52"/>
      <c r="H178" s="172"/>
      <c r="I178" s="282" t="s">
        <v>286</v>
      </c>
      <c r="J178" s="199"/>
      <c r="K178" s="198"/>
      <c r="L178" s="198"/>
      <c r="M178" s="198"/>
      <c r="N178" s="198"/>
      <c r="O178" s="198"/>
      <c r="P178" s="198"/>
      <c r="Q178" s="198"/>
      <c r="R178" s="198"/>
      <c r="S178" s="198"/>
      <c r="T178" s="198"/>
      <c r="U178" s="198"/>
      <c r="V178" s="169"/>
      <c r="W178" s="169"/>
      <c r="X178" s="62">
        <v>0</v>
      </c>
      <c r="Y178" s="63" t="s">
        <v>230</v>
      </c>
    </row>
    <row r="179" spans="1:25" ht="21" customHeight="1">
      <c r="A179" s="37"/>
      <c r="B179" s="38"/>
      <c r="C179" s="38"/>
      <c r="D179" s="28" t="s">
        <v>172</v>
      </c>
      <c r="E179" s="29">
        <v>0</v>
      </c>
      <c r="F179" s="40">
        <f>ROUND(X179/1000,0)</f>
        <v>0</v>
      </c>
      <c r="G179" s="30">
        <f t="shared" ref="G179" si="54">F179-E179</f>
        <v>0</v>
      </c>
      <c r="H179" s="31">
        <f t="shared" ref="H179" si="55">IF(E179=0,0,G179/E179)</f>
        <v>0</v>
      </c>
      <c r="I179" s="127" t="s">
        <v>234</v>
      </c>
      <c r="J179" s="13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572" t="s">
        <v>69</v>
      </c>
      <c r="W179" s="572"/>
      <c r="X179" s="129">
        <f>ROUNDUP(SUM(W180:X181),-3)</f>
        <v>0</v>
      </c>
      <c r="Y179" s="130" t="s">
        <v>56</v>
      </c>
    </row>
    <row r="180" spans="1:25" ht="21" customHeight="1">
      <c r="A180" s="37"/>
      <c r="B180" s="38"/>
      <c r="C180" s="38"/>
      <c r="D180" s="38"/>
      <c r="E180" s="40"/>
      <c r="F180" s="40"/>
      <c r="G180" s="41"/>
      <c r="H180" s="25"/>
      <c r="I180" s="281" t="s">
        <v>287</v>
      </c>
      <c r="J180" s="197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229"/>
      <c r="W180" s="229"/>
      <c r="X180" s="58">
        <v>0</v>
      </c>
      <c r="Y180" s="47" t="s">
        <v>230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1" t="s">
        <v>288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58">
        <v>0</v>
      </c>
      <c r="Y181" s="47" t="s">
        <v>230</v>
      </c>
    </row>
    <row r="182" spans="1:25" ht="21" customHeight="1">
      <c r="A182" s="37"/>
      <c r="B182" s="38"/>
      <c r="C182" s="38"/>
      <c r="D182" s="49"/>
      <c r="E182" s="51"/>
      <c r="F182" s="51"/>
      <c r="G182" s="52"/>
      <c r="H182" s="172"/>
      <c r="I182" s="61"/>
      <c r="J182" s="199"/>
      <c r="K182" s="198"/>
      <c r="L182" s="198"/>
      <c r="M182" s="198"/>
      <c r="N182" s="198"/>
      <c r="O182" s="198"/>
      <c r="P182" s="198"/>
      <c r="Q182" s="198"/>
      <c r="R182" s="198"/>
      <c r="S182" s="198"/>
      <c r="T182" s="198"/>
      <c r="U182" s="198"/>
      <c r="V182" s="169"/>
      <c r="W182" s="169"/>
      <c r="X182" s="62"/>
      <c r="Y182" s="63"/>
    </row>
    <row r="183" spans="1:25" ht="21" customHeight="1">
      <c r="A183" s="37"/>
      <c r="B183" s="38"/>
      <c r="C183" s="38"/>
      <c r="D183" s="28" t="s">
        <v>236</v>
      </c>
      <c r="E183" s="29">
        <v>2</v>
      </c>
      <c r="F183" s="29">
        <f>ROUND(X183/1000,0)</f>
        <v>2</v>
      </c>
      <c r="G183" s="30">
        <f t="shared" ref="G183" si="56">F183-E183</f>
        <v>0</v>
      </c>
      <c r="H183" s="31">
        <f t="shared" ref="H183" si="57">IF(E183=0,0,G183/E183)</f>
        <v>0</v>
      </c>
      <c r="I183" s="127" t="s">
        <v>237</v>
      </c>
      <c r="J183" s="13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572" t="s">
        <v>69</v>
      </c>
      <c r="W183" s="572"/>
      <c r="X183" s="129">
        <f>ROUND(SUM(W184:X185),-3)</f>
        <v>2000</v>
      </c>
      <c r="Y183" s="130" t="s">
        <v>56</v>
      </c>
    </row>
    <row r="184" spans="1:25" ht="21" customHeight="1">
      <c r="A184" s="37"/>
      <c r="B184" s="38"/>
      <c r="C184" s="38"/>
      <c r="D184" s="38"/>
      <c r="E184" s="40"/>
      <c r="F184" s="40"/>
      <c r="G184" s="41"/>
      <c r="H184" s="25"/>
      <c r="I184" s="281" t="s">
        <v>289</v>
      </c>
      <c r="J184" s="197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229"/>
      <c r="W184" s="229"/>
      <c r="X184" s="431">
        <v>1999</v>
      </c>
      <c r="Y184" s="47" t="s">
        <v>230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1" t="s">
        <v>290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58">
        <v>0</v>
      </c>
      <c r="Y185" s="47" t="s">
        <v>230</v>
      </c>
    </row>
    <row r="186" spans="1:25" ht="21" customHeight="1">
      <c r="A186" s="37"/>
      <c r="B186" s="38"/>
      <c r="C186" s="38"/>
      <c r="D186" s="49"/>
      <c r="E186" s="51"/>
      <c r="F186" s="51"/>
      <c r="G186" s="52"/>
      <c r="H186" s="172"/>
      <c r="I186" s="61"/>
      <c r="J186" s="199"/>
      <c r="K186" s="198"/>
      <c r="L186" s="198"/>
      <c r="M186" s="198"/>
      <c r="N186" s="198"/>
      <c r="O186" s="198"/>
      <c r="P186" s="198"/>
      <c r="Q186" s="198"/>
      <c r="R186" s="198"/>
      <c r="S186" s="198"/>
      <c r="T186" s="198"/>
      <c r="U186" s="198"/>
      <c r="V186" s="169"/>
      <c r="W186" s="169"/>
      <c r="X186" s="62"/>
      <c r="Y186" s="63"/>
    </row>
    <row r="187" spans="1:25" ht="21" customHeight="1">
      <c r="A187" s="37"/>
      <c r="B187" s="38"/>
      <c r="C187" s="38"/>
      <c r="D187" s="38" t="s">
        <v>235</v>
      </c>
      <c r="E187" s="40">
        <v>1199</v>
      </c>
      <c r="F187" s="29">
        <f>ROUND(X187/1000,0)</f>
        <v>1199</v>
      </c>
      <c r="G187" s="30">
        <f t="shared" ref="G187" si="58">F187-E187</f>
        <v>0</v>
      </c>
      <c r="H187" s="31">
        <f t="shared" ref="H187" si="59">IF(E187=0,0,G187/E187)</f>
        <v>0</v>
      </c>
      <c r="I187" s="127" t="s">
        <v>239</v>
      </c>
      <c r="J187" s="13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572" t="s">
        <v>69</v>
      </c>
      <c r="W187" s="572"/>
      <c r="X187" s="129">
        <f>ROUNDUP(SUM(W188:X189),-3)</f>
        <v>1199000</v>
      </c>
      <c r="Y187" s="130" t="s">
        <v>56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281" t="s">
        <v>291</v>
      </c>
      <c r="J188" s="197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229"/>
      <c r="W188" s="229"/>
      <c r="X188" s="432">
        <v>1198112</v>
      </c>
      <c r="Y188" s="47" t="s">
        <v>230</v>
      </c>
    </row>
    <row r="189" spans="1:25" ht="21" customHeight="1">
      <c r="A189" s="37"/>
      <c r="B189" s="38"/>
      <c r="C189" s="38"/>
      <c r="D189" s="38"/>
      <c r="E189" s="40"/>
      <c r="F189" s="40"/>
      <c r="G189" s="41"/>
      <c r="H189" s="25"/>
      <c r="I189" s="281" t="s">
        <v>292</v>
      </c>
      <c r="J189" s="197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229"/>
      <c r="W189" s="229"/>
      <c r="X189" s="58">
        <v>0</v>
      </c>
      <c r="Y189" s="47" t="s">
        <v>230</v>
      </c>
    </row>
    <row r="190" spans="1:25" ht="21" customHeight="1">
      <c r="A190" s="37"/>
      <c r="B190" s="38"/>
      <c r="C190" s="38"/>
      <c r="D190" s="38"/>
      <c r="E190" s="40"/>
      <c r="F190" s="40"/>
      <c r="G190" s="41"/>
      <c r="H190" s="25"/>
      <c r="I190" s="57"/>
      <c r="J190" s="197"/>
      <c r="K190" s="196"/>
      <c r="L190" s="196"/>
      <c r="M190" s="196"/>
      <c r="N190" s="229"/>
      <c r="O190" s="64"/>
      <c r="P190" s="59"/>
      <c r="Q190" s="64"/>
      <c r="R190" s="71"/>
      <c r="S190" s="65"/>
      <c r="T190" s="65"/>
      <c r="U190" s="229"/>
      <c r="V190" s="196"/>
      <c r="W190" s="58"/>
      <c r="X190" s="58"/>
      <c r="Y190" s="47"/>
    </row>
    <row r="191" spans="1:25" ht="21" customHeight="1">
      <c r="A191" s="37"/>
      <c r="B191" s="38"/>
      <c r="C191" s="28" t="s">
        <v>170</v>
      </c>
      <c r="D191" s="256" t="s">
        <v>108</v>
      </c>
      <c r="E191" s="189">
        <f>E192</f>
        <v>314</v>
      </c>
      <c r="F191" s="189">
        <f>F192</f>
        <v>314</v>
      </c>
      <c r="G191" s="190">
        <f t="shared" ref="G191:G192" si="60">F191-E191</f>
        <v>0</v>
      </c>
      <c r="H191" s="191">
        <f t="shared" ref="H191:H192" si="61">IF(E191=0,0,G191/E191)</f>
        <v>0</v>
      </c>
      <c r="I191" s="173" t="s">
        <v>174</v>
      </c>
      <c r="J191" s="174"/>
      <c r="K191" s="175"/>
      <c r="L191" s="175"/>
      <c r="M191" s="175"/>
      <c r="N191" s="175"/>
      <c r="O191" s="175"/>
      <c r="P191" s="176"/>
      <c r="Q191" s="176"/>
      <c r="R191" s="176"/>
      <c r="S191" s="176"/>
      <c r="T191" s="176"/>
      <c r="U191" s="176"/>
      <c r="V191" s="210" t="s">
        <v>69</v>
      </c>
      <c r="W191" s="211"/>
      <c r="X191" s="211">
        <f>X192</f>
        <v>314000</v>
      </c>
      <c r="Y191" s="259" t="s">
        <v>56</v>
      </c>
    </row>
    <row r="192" spans="1:25" ht="21" customHeight="1">
      <c r="A192" s="37"/>
      <c r="B192" s="38"/>
      <c r="C192" s="38" t="s">
        <v>171</v>
      </c>
      <c r="D192" s="38" t="s">
        <v>173</v>
      </c>
      <c r="E192" s="40">
        <v>314</v>
      </c>
      <c r="F192" s="40">
        <f>ROUND(X192/1000,0)</f>
        <v>314</v>
      </c>
      <c r="G192" s="30">
        <f t="shared" si="60"/>
        <v>0</v>
      </c>
      <c r="H192" s="31">
        <f t="shared" si="61"/>
        <v>0</v>
      </c>
      <c r="I192" s="283" t="s">
        <v>293</v>
      </c>
      <c r="J192" s="13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572"/>
      <c r="W192" s="572"/>
      <c r="X192" s="129">
        <f>ROUNDUP(SUM(W193:X194),-3)</f>
        <v>314000</v>
      </c>
      <c r="Y192" s="130" t="s">
        <v>56</v>
      </c>
    </row>
    <row r="193" spans="1:47" ht="21" customHeight="1">
      <c r="A193" s="37"/>
      <c r="B193" s="38"/>
      <c r="C193" s="38" t="s">
        <v>166</v>
      </c>
      <c r="D193" s="38" t="s">
        <v>167</v>
      </c>
      <c r="E193" s="40"/>
      <c r="F193" s="40"/>
      <c r="G193" s="41"/>
      <c r="H193" s="60"/>
      <c r="I193" s="281" t="s">
        <v>316</v>
      </c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431">
        <v>313474</v>
      </c>
      <c r="Y193" s="47" t="s">
        <v>103</v>
      </c>
    </row>
    <row r="194" spans="1:47" ht="21" customHeight="1">
      <c r="A194" s="37"/>
      <c r="B194" s="38"/>
      <c r="C194" s="38"/>
      <c r="D194" s="38"/>
      <c r="E194" s="40"/>
      <c r="F194" s="40"/>
      <c r="G194" s="41"/>
      <c r="H194" s="60"/>
      <c r="I194" s="281" t="s">
        <v>317</v>
      </c>
      <c r="J194" s="290"/>
      <c r="K194" s="289"/>
      <c r="L194" s="289"/>
      <c r="M194" s="289"/>
      <c r="N194" s="289"/>
      <c r="O194" s="289"/>
      <c r="P194" s="289"/>
      <c r="Q194" s="44"/>
      <c r="R194" s="44"/>
      <c r="S194" s="44"/>
      <c r="T194" s="289"/>
      <c r="U194" s="289"/>
      <c r="V194" s="289"/>
      <c r="W194" s="58"/>
      <c r="X194" s="58">
        <v>0</v>
      </c>
      <c r="Y194" s="47" t="s">
        <v>103</v>
      </c>
    </row>
    <row r="195" spans="1:47" ht="21" customHeight="1">
      <c r="A195" s="37"/>
      <c r="B195" s="38"/>
      <c r="C195" s="38"/>
      <c r="D195" s="38"/>
      <c r="E195" s="40"/>
      <c r="F195" s="40"/>
      <c r="G195" s="41"/>
      <c r="H195" s="60"/>
      <c r="I195" s="57"/>
      <c r="J195" s="197"/>
      <c r="K195" s="196"/>
      <c r="L195" s="196"/>
      <c r="M195" s="196"/>
      <c r="N195" s="196"/>
      <c r="O195" s="196"/>
      <c r="P195" s="196"/>
      <c r="Q195" s="44"/>
      <c r="R195" s="44"/>
      <c r="S195" s="44"/>
      <c r="T195" s="196"/>
      <c r="U195" s="196"/>
      <c r="V195" s="196"/>
      <c r="W195" s="58"/>
      <c r="X195" s="58"/>
      <c r="Y195" s="47"/>
    </row>
    <row r="196" spans="1:47" ht="21" customHeight="1">
      <c r="A196" s="37"/>
      <c r="B196" s="38"/>
      <c r="C196" s="28" t="s">
        <v>175</v>
      </c>
      <c r="D196" s="256" t="s">
        <v>108</v>
      </c>
      <c r="E196" s="189">
        <f>E197</f>
        <v>0</v>
      </c>
      <c r="F196" s="189">
        <f>F197</f>
        <v>0</v>
      </c>
      <c r="G196" s="190">
        <f t="shared" ref="G196:G197" si="62">F196-E196</f>
        <v>0</v>
      </c>
      <c r="H196" s="191">
        <f t="shared" ref="H196:H197" si="63">IF(E196=0,0,G196/E196)</f>
        <v>0</v>
      </c>
      <c r="I196" s="173" t="s">
        <v>178</v>
      </c>
      <c r="J196" s="174"/>
      <c r="K196" s="175"/>
      <c r="L196" s="175"/>
      <c r="M196" s="175"/>
      <c r="N196" s="175"/>
      <c r="O196" s="175"/>
      <c r="P196" s="176"/>
      <c r="Q196" s="176"/>
      <c r="R196" s="176"/>
      <c r="S196" s="176"/>
      <c r="T196" s="176"/>
      <c r="U196" s="176"/>
      <c r="V196" s="210" t="s">
        <v>69</v>
      </c>
      <c r="W196" s="211"/>
      <c r="X196" s="211">
        <f>ROUND(SUM(W197:X198),-3)</f>
        <v>0</v>
      </c>
      <c r="Y196" s="259" t="s">
        <v>56</v>
      </c>
    </row>
    <row r="197" spans="1:47" ht="21" customHeight="1">
      <c r="A197" s="37"/>
      <c r="B197" s="38"/>
      <c r="C197" s="38" t="s">
        <v>176</v>
      </c>
      <c r="D197" s="38" t="s">
        <v>177</v>
      </c>
      <c r="E197" s="40">
        <v>0</v>
      </c>
      <c r="F197" s="40">
        <f>ROUND(X197/1000,0)</f>
        <v>0</v>
      </c>
      <c r="G197" s="30">
        <f t="shared" si="62"/>
        <v>0</v>
      </c>
      <c r="H197" s="31">
        <f t="shared" si="63"/>
        <v>0</v>
      </c>
      <c r="I197" s="57"/>
      <c r="J197" s="197"/>
      <c r="K197" s="196"/>
      <c r="L197" s="196"/>
      <c r="M197" s="196"/>
      <c r="N197" s="229"/>
      <c r="O197" s="64"/>
      <c r="P197" s="59"/>
      <c r="Q197" s="64"/>
      <c r="R197" s="71"/>
      <c r="S197" s="65"/>
      <c r="T197" s="65"/>
      <c r="U197" s="229"/>
      <c r="V197" s="196"/>
      <c r="W197" s="58"/>
      <c r="X197" s="58">
        <f>M197*P197</f>
        <v>0</v>
      </c>
      <c r="Y197" s="47" t="s">
        <v>56</v>
      </c>
    </row>
    <row r="198" spans="1:47" ht="21" customHeight="1">
      <c r="A198" s="48"/>
      <c r="B198" s="49"/>
      <c r="C198" s="49"/>
      <c r="D198" s="49"/>
      <c r="E198" s="51"/>
      <c r="F198" s="51"/>
      <c r="G198" s="52"/>
      <c r="H198" s="75"/>
      <c r="I198" s="61"/>
      <c r="J198" s="199"/>
      <c r="K198" s="198"/>
      <c r="L198" s="198"/>
      <c r="M198" s="198"/>
      <c r="N198" s="198"/>
      <c r="O198" s="198"/>
      <c r="P198" s="198"/>
      <c r="Q198" s="117"/>
      <c r="R198" s="117"/>
      <c r="S198" s="117"/>
      <c r="T198" s="198"/>
      <c r="U198" s="198"/>
      <c r="V198" s="198"/>
      <c r="W198" s="62"/>
      <c r="X198" s="62">
        <v>0</v>
      </c>
      <c r="Y198" s="63" t="s">
        <v>56</v>
      </c>
    </row>
    <row r="199" spans="1:47" s="4" customFormat="1" ht="21" customHeight="1">
      <c r="A199" s="37" t="s">
        <v>75</v>
      </c>
      <c r="B199" s="78" t="s">
        <v>16</v>
      </c>
      <c r="C199" s="573" t="s">
        <v>254</v>
      </c>
      <c r="D199" s="574"/>
      <c r="E199" s="239">
        <f>SUM(E200,E203,E211)</f>
        <v>1919</v>
      </c>
      <c r="F199" s="239">
        <f>SUM(F200,F203,F211)</f>
        <v>1919</v>
      </c>
      <c r="G199" s="240">
        <f t="shared" ref="G199:G201" si="64">F199-E199</f>
        <v>0</v>
      </c>
      <c r="H199" s="241">
        <f t="shared" ref="H199:H201" si="65">IF(E199=0,0,G199/E199)</f>
        <v>0</v>
      </c>
      <c r="I199" s="242" t="s">
        <v>259</v>
      </c>
      <c r="J199" s="243"/>
      <c r="K199" s="244"/>
      <c r="L199" s="244"/>
      <c r="M199" s="243"/>
      <c r="N199" s="243"/>
      <c r="O199" s="243"/>
      <c r="P199" s="243"/>
      <c r="Q199" s="243" t="s">
        <v>64</v>
      </c>
      <c r="R199" s="245"/>
      <c r="S199" s="245"/>
      <c r="T199" s="245"/>
      <c r="U199" s="245"/>
      <c r="V199" s="245"/>
      <c r="W199" s="245"/>
      <c r="X199" s="255">
        <f>SUM(X200,X203,X211)</f>
        <v>1919000</v>
      </c>
      <c r="Y199" s="263" t="s">
        <v>244</v>
      </c>
      <c r="Z199" s="247"/>
      <c r="AA199" s="248"/>
      <c r="AB199" s="248"/>
      <c r="AC199" s="249"/>
      <c r="AD199" s="250"/>
      <c r="AE199" s="251"/>
      <c r="AF199" s="252"/>
      <c r="AG199" s="253"/>
      <c r="AH199" s="253"/>
      <c r="AI199" s="252"/>
      <c r="AJ199" s="252"/>
      <c r="AK199" s="252"/>
      <c r="AL199" s="252"/>
      <c r="AM199" s="252"/>
      <c r="AN199" s="251"/>
      <c r="AO199" s="251"/>
      <c r="AP199" s="251"/>
      <c r="AQ199" s="251"/>
      <c r="AR199" s="251"/>
      <c r="AS199" s="251"/>
      <c r="AT199" s="254"/>
      <c r="AU199" s="252"/>
    </row>
    <row r="200" spans="1:47" ht="21" customHeight="1">
      <c r="A200" s="37"/>
      <c r="B200" s="84"/>
      <c r="C200" s="28" t="s">
        <v>179</v>
      </c>
      <c r="D200" s="256" t="s">
        <v>108</v>
      </c>
      <c r="E200" s="189">
        <f>E201</f>
        <v>0</v>
      </c>
      <c r="F200" s="189">
        <f>F201</f>
        <v>0</v>
      </c>
      <c r="G200" s="190">
        <f t="shared" si="64"/>
        <v>0</v>
      </c>
      <c r="H200" s="191">
        <f t="shared" si="65"/>
        <v>0</v>
      </c>
      <c r="I200" s="173" t="s">
        <v>188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69</v>
      </c>
      <c r="W200" s="211"/>
      <c r="X200" s="212">
        <f>SUM(X201:X201)</f>
        <v>0</v>
      </c>
      <c r="Y200" s="259" t="s">
        <v>56</v>
      </c>
    </row>
    <row r="201" spans="1:47" s="11" customFormat="1" ht="19.5" customHeight="1">
      <c r="A201" s="50"/>
      <c r="B201" s="86"/>
      <c r="C201" s="38" t="s">
        <v>180</v>
      </c>
      <c r="D201" s="28" t="s">
        <v>181</v>
      </c>
      <c r="E201" s="29">
        <v>0</v>
      </c>
      <c r="F201" s="40">
        <f>ROUND(X201/1000,0)</f>
        <v>0</v>
      </c>
      <c r="G201" s="30">
        <f t="shared" si="64"/>
        <v>0</v>
      </c>
      <c r="H201" s="31">
        <f t="shared" si="65"/>
        <v>0</v>
      </c>
      <c r="I201" s="127" t="s">
        <v>188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72" t="s">
        <v>69</v>
      </c>
      <c r="W201" s="572"/>
      <c r="X201" s="129">
        <f>SUM(X202:X202)</f>
        <v>0</v>
      </c>
      <c r="Y201" s="130" t="s">
        <v>56</v>
      </c>
      <c r="Z201" s="6"/>
    </row>
    <row r="202" spans="1:47" s="11" customFormat="1" ht="19.5" customHeight="1">
      <c r="A202" s="50"/>
      <c r="B202" s="80"/>
      <c r="C202" s="38"/>
      <c r="D202" s="38"/>
      <c r="E202" s="40"/>
      <c r="F202" s="40"/>
      <c r="G202" s="41"/>
      <c r="H202" s="25"/>
      <c r="I202" s="57"/>
      <c r="J202" s="197"/>
      <c r="K202" s="196"/>
      <c r="L202" s="196"/>
      <c r="M202" s="196"/>
      <c r="N202" s="229"/>
      <c r="O202" s="64"/>
      <c r="P202" s="59"/>
      <c r="Q202" s="64"/>
      <c r="R202" s="71"/>
      <c r="S202" s="65"/>
      <c r="T202" s="65"/>
      <c r="U202" s="229"/>
      <c r="V202" s="196"/>
      <c r="W202" s="58"/>
      <c r="X202" s="58">
        <f>M202*P202</f>
        <v>0</v>
      </c>
      <c r="Y202" s="47" t="s">
        <v>56</v>
      </c>
      <c r="Z202" s="6"/>
    </row>
    <row r="203" spans="1:47" s="11" customFormat="1" ht="19.5" customHeight="1">
      <c r="A203" s="50"/>
      <c r="B203" s="80"/>
      <c r="C203" s="28" t="s">
        <v>182</v>
      </c>
      <c r="D203" s="256" t="s">
        <v>108</v>
      </c>
      <c r="E203" s="189">
        <f>E204</f>
        <v>29</v>
      </c>
      <c r="F203" s="189">
        <f>F204</f>
        <v>29</v>
      </c>
      <c r="G203" s="190">
        <f t="shared" ref="G203:G204" si="66">F203-E203</f>
        <v>0</v>
      </c>
      <c r="H203" s="191">
        <f t="shared" ref="H203:H204" si="67">IF(E203=0,0,G203/E203)</f>
        <v>0</v>
      </c>
      <c r="I203" s="173" t="s">
        <v>189</v>
      </c>
      <c r="J203" s="174"/>
      <c r="K203" s="175"/>
      <c r="L203" s="175"/>
      <c r="M203" s="175"/>
      <c r="N203" s="175"/>
      <c r="O203" s="175"/>
      <c r="P203" s="176"/>
      <c r="Q203" s="176"/>
      <c r="R203" s="176"/>
      <c r="S203" s="176"/>
      <c r="T203" s="176"/>
      <c r="U203" s="176"/>
      <c r="V203" s="210" t="s">
        <v>69</v>
      </c>
      <c r="W203" s="211"/>
      <c r="X203" s="211">
        <f>SUM(X204:X204)</f>
        <v>29000</v>
      </c>
      <c r="Y203" s="259" t="s">
        <v>56</v>
      </c>
      <c r="Z203" s="6"/>
    </row>
    <row r="204" spans="1:47" s="11" customFormat="1" ht="19.5" customHeight="1">
      <c r="A204" s="50"/>
      <c r="B204" s="80"/>
      <c r="C204" s="38" t="s">
        <v>183</v>
      </c>
      <c r="D204" s="38" t="s">
        <v>184</v>
      </c>
      <c r="E204" s="40">
        <v>29</v>
      </c>
      <c r="F204" s="40">
        <f>ROUND(X204/1000,0)</f>
        <v>29</v>
      </c>
      <c r="G204" s="30">
        <f t="shared" si="66"/>
        <v>0</v>
      </c>
      <c r="H204" s="31">
        <f t="shared" si="67"/>
        <v>0</v>
      </c>
      <c r="I204" s="127" t="s">
        <v>241</v>
      </c>
      <c r="J204" s="13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572"/>
      <c r="W204" s="572"/>
      <c r="X204" s="129">
        <f>ROUND(SUM(W205:X209),-3)</f>
        <v>29000</v>
      </c>
      <c r="Y204" s="130" t="s">
        <v>56</v>
      </c>
      <c r="Z204" s="6"/>
    </row>
    <row r="205" spans="1:47" s="11" customFormat="1" ht="19.5" customHeight="1">
      <c r="A205" s="50"/>
      <c r="B205" s="80"/>
      <c r="C205" s="38" t="s">
        <v>129</v>
      </c>
      <c r="D205" s="38" t="s">
        <v>185</v>
      </c>
      <c r="E205" s="40"/>
      <c r="F205" s="40"/>
      <c r="G205" s="41"/>
      <c r="H205" s="60"/>
      <c r="I205" s="57" t="s">
        <v>320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20000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507</v>
      </c>
      <c r="J206" s="290"/>
      <c r="K206" s="289"/>
      <c r="L206" s="289"/>
      <c r="M206" s="289"/>
      <c r="N206" s="289"/>
      <c r="O206" s="289"/>
      <c r="P206" s="289"/>
      <c r="Q206" s="44"/>
      <c r="R206" s="44"/>
      <c r="S206" s="44"/>
      <c r="T206" s="289"/>
      <c r="U206" s="289"/>
      <c r="V206" s="289"/>
      <c r="W206" s="58"/>
      <c r="X206" s="58">
        <v>2000</v>
      </c>
      <c r="Y206" s="47" t="s">
        <v>501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231</v>
      </c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>
        <v>5000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 t="s">
        <v>238</v>
      </c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>
        <v>0</v>
      </c>
      <c r="Y208" s="47" t="s">
        <v>56</v>
      </c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 t="s">
        <v>240</v>
      </c>
      <c r="J209" s="197"/>
      <c r="K209" s="196"/>
      <c r="L209" s="196"/>
      <c r="M209" s="196"/>
      <c r="N209" s="196"/>
      <c r="O209" s="196"/>
      <c r="P209" s="196"/>
      <c r="Q209" s="44"/>
      <c r="R209" s="44"/>
      <c r="S209" s="44"/>
      <c r="T209" s="196"/>
      <c r="U209" s="196"/>
      <c r="V209" s="196"/>
      <c r="W209" s="58"/>
      <c r="X209" s="58">
        <v>2000</v>
      </c>
      <c r="Y209" s="47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60"/>
      <c r="I210" s="57"/>
      <c r="J210" s="197"/>
      <c r="K210" s="196"/>
      <c r="L210" s="196"/>
      <c r="M210" s="196"/>
      <c r="N210" s="196"/>
      <c r="O210" s="196"/>
      <c r="P210" s="196"/>
      <c r="Q210" s="44"/>
      <c r="R210" s="44"/>
      <c r="S210" s="44"/>
      <c r="T210" s="196"/>
      <c r="U210" s="196"/>
      <c r="V210" s="196"/>
      <c r="W210" s="58"/>
      <c r="X210" s="58" t="s">
        <v>322</v>
      </c>
      <c r="Y210" s="47"/>
      <c r="Z210" s="6"/>
    </row>
    <row r="211" spans="1:26" s="11" customFormat="1" ht="19.5" customHeight="1">
      <c r="A211" s="50"/>
      <c r="B211" s="80"/>
      <c r="C211" s="28" t="s">
        <v>144</v>
      </c>
      <c r="D211" s="256" t="s">
        <v>260</v>
      </c>
      <c r="E211" s="189">
        <f>E212</f>
        <v>1890</v>
      </c>
      <c r="F211" s="189">
        <f>F212</f>
        <v>1890</v>
      </c>
      <c r="G211" s="190">
        <f t="shared" ref="G211:G212" si="68">F211-E211</f>
        <v>0</v>
      </c>
      <c r="H211" s="191">
        <f t="shared" ref="H211:H212" si="69">IF(E211=0,0,G211/E211)</f>
        <v>0</v>
      </c>
      <c r="I211" s="173" t="s">
        <v>243</v>
      </c>
      <c r="J211" s="174"/>
      <c r="K211" s="175"/>
      <c r="L211" s="175"/>
      <c r="M211" s="175"/>
      <c r="N211" s="175"/>
      <c r="O211" s="175"/>
      <c r="P211" s="176"/>
      <c r="Q211" s="176"/>
      <c r="R211" s="176"/>
      <c r="S211" s="176"/>
      <c r="T211" s="176"/>
      <c r="U211" s="176"/>
      <c r="V211" s="210" t="s">
        <v>249</v>
      </c>
      <c r="W211" s="211"/>
      <c r="X211" s="211">
        <f>SUM(X212:X212)</f>
        <v>1890000</v>
      </c>
      <c r="Y211" s="259" t="s">
        <v>244</v>
      </c>
      <c r="Z211" s="6"/>
    </row>
    <row r="212" spans="1:26" s="11" customFormat="1" ht="19.5" customHeight="1">
      <c r="A212" s="50"/>
      <c r="B212" s="80"/>
      <c r="C212" s="38" t="s">
        <v>186</v>
      </c>
      <c r="D212" s="38" t="s">
        <v>187</v>
      </c>
      <c r="E212" s="40">
        <v>1890</v>
      </c>
      <c r="F212" s="40">
        <f>ROUND(X212/1000,0)</f>
        <v>1890</v>
      </c>
      <c r="G212" s="30">
        <f t="shared" si="68"/>
        <v>0</v>
      </c>
      <c r="H212" s="31">
        <f t="shared" si="69"/>
        <v>0</v>
      </c>
      <c r="I212" s="127" t="s">
        <v>243</v>
      </c>
      <c r="J212" s="13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572"/>
      <c r="W212" s="572"/>
      <c r="X212" s="129">
        <f>ROUND(SUM(W213:X216),-3)</f>
        <v>1890000</v>
      </c>
      <c r="Y212" s="130" t="s">
        <v>56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528" t="s">
        <v>520</v>
      </c>
      <c r="J213" s="531"/>
      <c r="K213" s="529"/>
      <c r="L213" s="529"/>
      <c r="M213" s="529"/>
      <c r="N213" s="529"/>
      <c r="O213" s="529"/>
      <c r="P213" s="529"/>
      <c r="Q213" s="529"/>
      <c r="R213" s="529"/>
      <c r="S213" s="529"/>
      <c r="T213" s="529"/>
      <c r="U213" s="529"/>
      <c r="V213" s="529"/>
      <c r="W213" s="532"/>
      <c r="X213" s="532">
        <v>8000</v>
      </c>
      <c r="Y213" s="530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528" t="s">
        <v>521</v>
      </c>
      <c r="J214" s="531"/>
      <c r="K214" s="529"/>
      <c r="L214" s="529"/>
      <c r="M214" s="529"/>
      <c r="N214" s="529"/>
      <c r="O214" s="529"/>
      <c r="P214" s="529"/>
      <c r="Q214" s="529"/>
      <c r="R214" s="529"/>
      <c r="S214" s="529"/>
      <c r="T214" s="529"/>
      <c r="U214" s="529"/>
      <c r="V214" s="529"/>
      <c r="W214" s="532"/>
      <c r="X214" s="532">
        <v>2000</v>
      </c>
      <c r="Y214" s="530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57" t="s">
        <v>321</v>
      </c>
      <c r="J215" s="196"/>
      <c r="K215" s="196"/>
      <c r="L215" s="196"/>
      <c r="M215" s="196">
        <v>70000</v>
      </c>
      <c r="N215" s="196" t="s">
        <v>244</v>
      </c>
      <c r="O215" s="197" t="s">
        <v>245</v>
      </c>
      <c r="P215" s="196">
        <v>2</v>
      </c>
      <c r="Q215" s="197" t="s">
        <v>246</v>
      </c>
      <c r="R215" s="197" t="s">
        <v>245</v>
      </c>
      <c r="S215" s="196">
        <v>12</v>
      </c>
      <c r="T215" s="196" t="s">
        <v>247</v>
      </c>
      <c r="U215" s="229" t="s">
        <v>248</v>
      </c>
      <c r="V215" s="229"/>
      <c r="W215" s="197"/>
      <c r="X215" s="196">
        <f>ROUND(M215*P215*S215,-3)</f>
        <v>1680000</v>
      </c>
      <c r="Y215" s="47" t="s">
        <v>244</v>
      </c>
      <c r="Z215" s="6"/>
    </row>
    <row r="216" spans="1:26" s="11" customFormat="1" ht="19.5" customHeight="1" thickBot="1">
      <c r="A216" s="88"/>
      <c r="B216" s="89"/>
      <c r="C216" s="90"/>
      <c r="D216" s="90"/>
      <c r="E216" s="91"/>
      <c r="F216" s="91"/>
      <c r="G216" s="92"/>
      <c r="H216" s="93"/>
      <c r="I216" s="53" t="s">
        <v>323</v>
      </c>
      <c r="J216" s="55"/>
      <c r="K216" s="55"/>
      <c r="L216" s="55"/>
      <c r="M216" s="520">
        <v>100000</v>
      </c>
      <c r="N216" s="55" t="s">
        <v>244</v>
      </c>
      <c r="O216" s="54" t="s">
        <v>245</v>
      </c>
      <c r="P216" s="55">
        <v>2</v>
      </c>
      <c r="Q216" s="55" t="s">
        <v>247</v>
      </c>
      <c r="R216" s="54"/>
      <c r="S216" s="55"/>
      <c r="T216" s="55"/>
      <c r="U216" s="94" t="s">
        <v>248</v>
      </c>
      <c r="V216" s="94"/>
      <c r="W216" s="54"/>
      <c r="X216" s="55">
        <f>ROUND(M216*P216,-3)</f>
        <v>200000</v>
      </c>
      <c r="Y216" s="56" t="s">
        <v>244</v>
      </c>
      <c r="Z216" s="6"/>
    </row>
    <row r="227" spans="26:26" ht="19.5" customHeight="1">
      <c r="Z227" s="6" t="s">
        <v>61</v>
      </c>
    </row>
  </sheetData>
  <mergeCells count="30">
    <mergeCell ref="A1:D1"/>
    <mergeCell ref="A2:D2"/>
    <mergeCell ref="E2:E3"/>
    <mergeCell ref="A4:D4"/>
    <mergeCell ref="C174:D174"/>
    <mergeCell ref="C199:D199"/>
    <mergeCell ref="V201:W201"/>
    <mergeCell ref="F2:F3"/>
    <mergeCell ref="C13:D13"/>
    <mergeCell ref="C145:D145"/>
    <mergeCell ref="C158:D158"/>
    <mergeCell ref="V160:W160"/>
    <mergeCell ref="C165:D165"/>
    <mergeCell ref="G2:H2"/>
    <mergeCell ref="I2:Y3"/>
    <mergeCell ref="V147:W147"/>
    <mergeCell ref="V167:W167"/>
    <mergeCell ref="V65:W65"/>
    <mergeCell ref="V126:W126"/>
    <mergeCell ref="V66:W66"/>
    <mergeCell ref="V212:W212"/>
    <mergeCell ref="V151:W151"/>
    <mergeCell ref="V171:W171"/>
    <mergeCell ref="V179:W179"/>
    <mergeCell ref="V192:W192"/>
    <mergeCell ref="V183:W183"/>
    <mergeCell ref="V187:W187"/>
    <mergeCell ref="V204:W204"/>
    <mergeCell ref="V154:W154"/>
    <mergeCell ref="V176:W17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16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0"/>
  <sheetViews>
    <sheetView workbookViewId="0">
      <selection activeCell="AD200" sqref="AD200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6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82" t="s">
        <v>543</v>
      </c>
      <c r="B1" s="582"/>
      <c r="C1" s="582"/>
      <c r="D1" s="582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83" t="s">
        <v>22</v>
      </c>
      <c r="B2" s="584"/>
      <c r="C2" s="584"/>
      <c r="D2" s="575" t="s">
        <v>544</v>
      </c>
      <c r="E2" s="590" t="s">
        <v>545</v>
      </c>
      <c r="F2" s="591"/>
      <c r="G2" s="591"/>
      <c r="H2" s="591"/>
      <c r="I2" s="591"/>
      <c r="J2" s="591"/>
      <c r="K2" s="591"/>
      <c r="L2" s="592"/>
      <c r="M2" s="577" t="s">
        <v>23</v>
      </c>
      <c r="N2" s="577"/>
      <c r="O2" s="593" t="s">
        <v>326</v>
      </c>
      <c r="P2" s="594"/>
      <c r="Q2" s="594"/>
      <c r="R2" s="594"/>
      <c r="S2" s="594"/>
      <c r="T2" s="594"/>
      <c r="U2" s="594"/>
      <c r="V2" s="594"/>
      <c r="W2" s="594"/>
      <c r="X2" s="594"/>
      <c r="Y2" s="594"/>
      <c r="Z2" s="594"/>
      <c r="AA2" s="594"/>
      <c r="AB2" s="594"/>
      <c r="AC2" s="594"/>
      <c r="AD2" s="594"/>
      <c r="AE2" s="595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6"/>
      <c r="E3" s="149" t="s">
        <v>327</v>
      </c>
      <c r="F3" s="149" t="s">
        <v>324</v>
      </c>
      <c r="G3" s="149" t="s">
        <v>325</v>
      </c>
      <c r="H3" s="149" t="s">
        <v>436</v>
      </c>
      <c r="I3" s="149" t="s">
        <v>328</v>
      </c>
      <c r="J3" s="149" t="s">
        <v>329</v>
      </c>
      <c r="K3" s="149" t="s">
        <v>330</v>
      </c>
      <c r="L3" s="149" t="s">
        <v>331</v>
      </c>
      <c r="M3" s="132" t="s">
        <v>332</v>
      </c>
      <c r="N3" s="96" t="s">
        <v>4</v>
      </c>
      <c r="O3" s="596"/>
      <c r="P3" s="597"/>
      <c r="Q3" s="597"/>
      <c r="R3" s="597"/>
      <c r="S3" s="597"/>
      <c r="T3" s="597"/>
      <c r="U3" s="597"/>
      <c r="V3" s="597"/>
      <c r="W3" s="597"/>
      <c r="X3" s="597"/>
      <c r="Y3" s="597"/>
      <c r="Z3" s="597"/>
      <c r="AA3" s="597"/>
      <c r="AB3" s="597"/>
      <c r="AC3" s="597"/>
      <c r="AD3" s="597"/>
      <c r="AE3" s="598"/>
    </row>
    <row r="4" spans="1:31" s="11" customFormat="1" ht="21" customHeight="1">
      <c r="A4" s="599" t="s">
        <v>31</v>
      </c>
      <c r="B4" s="600"/>
      <c r="C4" s="600"/>
      <c r="D4" s="306">
        <f>SUM(D5,D110,D132,D186,D189)</f>
        <v>138605</v>
      </c>
      <c r="E4" s="306">
        <f>SUM(E5,E110,E132,E186+E189)</f>
        <v>136226</v>
      </c>
      <c r="F4" s="306">
        <f t="shared" ref="F4:L4" ca="1" si="0">SUM(F5,F110,F132,F186,F189)</f>
        <v>112427</v>
      </c>
      <c r="G4" s="306">
        <f t="shared" si="0"/>
        <v>1275</v>
      </c>
      <c r="H4" s="306">
        <f t="shared" si="0"/>
        <v>300</v>
      </c>
      <c r="I4" s="306">
        <f>SUM(I5,I110,I132,I186,I189)</f>
        <v>1434</v>
      </c>
      <c r="J4" s="306">
        <f t="shared" si="0"/>
        <v>17697</v>
      </c>
      <c r="K4" s="306">
        <f t="shared" si="0"/>
        <v>2</v>
      </c>
      <c r="L4" s="306">
        <f t="shared" si="0"/>
        <v>3091</v>
      </c>
      <c r="M4" s="307">
        <f>E4-D4</f>
        <v>-2379</v>
      </c>
      <c r="N4" s="308">
        <f>IF(D4=0,0,M4/D4)</f>
        <v>-1.7163882976804587E-2</v>
      </c>
      <c r="O4" s="309" t="s">
        <v>333</v>
      </c>
      <c r="P4" s="310"/>
      <c r="Q4" s="310"/>
      <c r="R4" s="310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>
        <f>SUM(AD5,AD110,AD132,AD186,AD189)</f>
        <v>136226000</v>
      </c>
      <c r="AE4" s="312" t="s">
        <v>25</v>
      </c>
    </row>
    <row r="5" spans="1:31" s="11" customFormat="1" ht="21" customHeight="1">
      <c r="A5" s="101" t="s">
        <v>6</v>
      </c>
      <c r="B5" s="601" t="s">
        <v>7</v>
      </c>
      <c r="C5" s="602"/>
      <c r="D5" s="313">
        <f t="shared" ref="D5:L5" si="1">SUM(D6,D62,D71)</f>
        <v>116572</v>
      </c>
      <c r="E5" s="313">
        <f t="shared" si="1"/>
        <v>116382</v>
      </c>
      <c r="F5" s="313">
        <f t="shared" si="1"/>
        <v>108057</v>
      </c>
      <c r="G5" s="313">
        <f t="shared" si="1"/>
        <v>0</v>
      </c>
      <c r="H5" s="313">
        <f t="shared" si="1"/>
        <v>300</v>
      </c>
      <c r="I5" s="313">
        <f t="shared" si="1"/>
        <v>350</v>
      </c>
      <c r="J5" s="313">
        <f>SUM(J6,J62,J71)</f>
        <v>4972</v>
      </c>
      <c r="K5" s="313">
        <f t="shared" si="1"/>
        <v>2</v>
      </c>
      <c r="L5" s="313">
        <f t="shared" si="1"/>
        <v>2701</v>
      </c>
      <c r="M5" s="314">
        <f>E5-D5</f>
        <v>-190</v>
      </c>
      <c r="N5" s="315">
        <f>IF(D5=0,0,M5/D5)</f>
        <v>-1.6298939711079847E-3</v>
      </c>
      <c r="O5" s="316" t="s">
        <v>296</v>
      </c>
      <c r="P5" s="316"/>
      <c r="Q5" s="316"/>
      <c r="R5" s="316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>
        <f>SUM(AD6,AD62,AD71)</f>
        <v>116382000</v>
      </c>
      <c r="AE5" s="318" t="s">
        <v>25</v>
      </c>
    </row>
    <row r="6" spans="1:31" s="11" customFormat="1" ht="21" customHeight="1">
      <c r="A6" s="37"/>
      <c r="B6" s="28" t="s">
        <v>8</v>
      </c>
      <c r="C6" s="319" t="s">
        <v>5</v>
      </c>
      <c r="D6" s="414">
        <f t="shared" ref="D6:L6" si="2">SUM(D7,D10,D13,D30,D38,D57)</f>
        <v>104510</v>
      </c>
      <c r="E6" s="320">
        <f t="shared" si="2"/>
        <v>104510</v>
      </c>
      <c r="F6" s="320">
        <f t="shared" si="2"/>
        <v>103860</v>
      </c>
      <c r="G6" s="320">
        <f t="shared" si="2"/>
        <v>0</v>
      </c>
      <c r="H6" s="320">
        <f t="shared" si="2"/>
        <v>300</v>
      </c>
      <c r="I6" s="320">
        <f t="shared" si="2"/>
        <v>350</v>
      </c>
      <c r="J6" s="320">
        <f t="shared" si="2"/>
        <v>0</v>
      </c>
      <c r="K6" s="320">
        <f t="shared" si="2"/>
        <v>0</v>
      </c>
      <c r="L6" s="320">
        <f t="shared" si="2"/>
        <v>0</v>
      </c>
      <c r="M6" s="321">
        <f>E6-D6</f>
        <v>0</v>
      </c>
      <c r="N6" s="322">
        <f>IF(D6=0,0,M6/D6)</f>
        <v>0</v>
      </c>
      <c r="O6" s="323" t="s">
        <v>306</v>
      </c>
      <c r="P6" s="323"/>
      <c r="Q6" s="323"/>
      <c r="R6" s="323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>
        <f>SUM(AD7,AD10,AD13,AD30,AD38,AD57)</f>
        <v>104510000</v>
      </c>
      <c r="AE6" s="325" t="s">
        <v>25</v>
      </c>
    </row>
    <row r="7" spans="1:31" s="11" customFormat="1" ht="21" customHeight="1">
      <c r="A7" s="37"/>
      <c r="B7" s="38"/>
      <c r="C7" s="28" t="s">
        <v>32</v>
      </c>
      <c r="D7" s="135">
        <v>61530</v>
      </c>
      <c r="E7" s="103">
        <f>ROUND(AD7/1000,0)</f>
        <v>61530</v>
      </c>
      <c r="F7" s="103">
        <f>SUMIF($AB$8:$AB$9,"보조",$AD$8:$AD$9)/1000</f>
        <v>61530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0</v>
      </c>
      <c r="N7" s="277">
        <f>IF(D7=0,0,M7/D7)</f>
        <v>0</v>
      </c>
      <c r="O7" s="105" t="s">
        <v>334</v>
      </c>
      <c r="P7" s="105"/>
      <c r="Q7" s="151"/>
      <c r="R7" s="151"/>
      <c r="S7" s="151"/>
      <c r="T7" s="150"/>
      <c r="U7" s="150"/>
      <c r="V7" s="150"/>
      <c r="W7" s="87" t="s">
        <v>60</v>
      </c>
      <c r="X7" s="518"/>
      <c r="Y7" s="87"/>
      <c r="Z7" s="87"/>
      <c r="AA7" s="87"/>
      <c r="AB7" s="87"/>
      <c r="AC7" s="107"/>
      <c r="AD7" s="107">
        <f>SUM(AD8:AD9)</f>
        <v>61530000</v>
      </c>
      <c r="AE7" s="108" t="s">
        <v>335</v>
      </c>
    </row>
    <row r="8" spans="1:31" s="11" customFormat="1" ht="21" customHeight="1">
      <c r="A8" s="37"/>
      <c r="B8" s="38"/>
      <c r="C8" s="38"/>
      <c r="D8" s="435"/>
      <c r="E8" s="436"/>
      <c r="F8" s="436"/>
      <c r="G8" s="436"/>
      <c r="H8" s="436"/>
      <c r="I8" s="436"/>
      <c r="J8" s="436"/>
      <c r="K8" s="436"/>
      <c r="L8" s="436"/>
      <c r="M8" s="97"/>
      <c r="N8" s="60"/>
      <c r="O8" s="377" t="s">
        <v>493</v>
      </c>
      <c r="P8" s="377"/>
      <c r="Q8" s="377"/>
      <c r="R8" s="377"/>
      <c r="S8" s="273"/>
      <c r="T8" s="270"/>
      <c r="U8" s="270"/>
      <c r="V8" s="270"/>
      <c r="W8" s="270"/>
      <c r="X8" s="270"/>
      <c r="Y8" s="270"/>
      <c r="Z8" s="270"/>
      <c r="AA8" s="342"/>
      <c r="AB8" s="342" t="s">
        <v>336</v>
      </c>
      <c r="AC8" s="343"/>
      <c r="AD8" s="399">
        <v>61530000</v>
      </c>
      <c r="AE8" s="344" t="s">
        <v>335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7"/>
      <c r="P9" s="377"/>
      <c r="Q9" s="377"/>
      <c r="R9" s="377"/>
      <c r="S9" s="273"/>
      <c r="T9" s="270"/>
      <c r="U9" s="270"/>
      <c r="V9" s="270"/>
      <c r="W9" s="270"/>
      <c r="X9" s="270"/>
      <c r="Y9" s="270"/>
      <c r="Z9" s="270"/>
      <c r="AA9" s="342"/>
      <c r="AB9" s="342"/>
      <c r="AC9" s="343"/>
      <c r="AD9" s="399"/>
      <c r="AE9" s="344"/>
    </row>
    <row r="10" spans="1:31" s="11" customFormat="1" ht="21" customHeight="1">
      <c r="A10" s="37"/>
      <c r="B10" s="38"/>
      <c r="C10" s="28" t="s">
        <v>341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342</v>
      </c>
      <c r="P10" s="420"/>
      <c r="Q10" s="153"/>
      <c r="R10" s="153"/>
      <c r="S10" s="153"/>
      <c r="T10" s="152"/>
      <c r="U10" s="152"/>
      <c r="V10" s="150"/>
      <c r="W10" s="87" t="s">
        <v>343</v>
      </c>
      <c r="X10" s="87"/>
      <c r="Y10" s="87"/>
      <c r="Z10" s="87"/>
      <c r="AA10" s="87"/>
      <c r="AB10" s="87"/>
      <c r="AC10" s="107"/>
      <c r="AD10" s="107">
        <v>0</v>
      </c>
      <c r="AE10" s="108" t="s">
        <v>344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0"/>
      <c r="P12" s="290"/>
      <c r="Q12" s="290"/>
      <c r="R12" s="290"/>
      <c r="S12" s="289"/>
      <c r="T12" s="289"/>
      <c r="U12" s="290"/>
      <c r="V12" s="289"/>
      <c r="W12" s="289"/>
      <c r="X12" s="290"/>
      <c r="Y12" s="81"/>
      <c r="Z12" s="289"/>
      <c r="AA12" s="289"/>
      <c r="AB12" s="289"/>
      <c r="AC12" s="58"/>
      <c r="AD12" s="289"/>
      <c r="AE12" s="47"/>
    </row>
    <row r="13" spans="1:31" s="11" customFormat="1" ht="21" customHeight="1">
      <c r="A13" s="37"/>
      <c r="B13" s="38"/>
      <c r="C13" s="28" t="s">
        <v>33</v>
      </c>
      <c r="D13" s="135">
        <v>26085</v>
      </c>
      <c r="E13" s="103">
        <f>ROUND(AD13/1000,0)</f>
        <v>26085</v>
      </c>
      <c r="F13" s="103">
        <f>SUMIF($AB$14:$AB$29,"보조",$AD$14:$AD$29)/1000</f>
        <v>25935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0</v>
      </c>
      <c r="N13" s="109">
        <f>IF(D13=0,0,M13/D13)</f>
        <v>0</v>
      </c>
      <c r="O13" s="85" t="s">
        <v>34</v>
      </c>
      <c r="P13" s="420"/>
      <c r="Q13" s="153"/>
      <c r="R13" s="153"/>
      <c r="S13" s="153"/>
      <c r="T13" s="152"/>
      <c r="U13" s="152"/>
      <c r="V13" s="152"/>
      <c r="W13" s="419" t="s">
        <v>343</v>
      </c>
      <c r="X13" s="419"/>
      <c r="Y13" s="419"/>
      <c r="Z13" s="419"/>
      <c r="AA13" s="419"/>
      <c r="AB13" s="419"/>
      <c r="AC13" s="147"/>
      <c r="AD13" s="147">
        <f>명절휴가비+가족수당+연장근로수당+AD23+AD26</f>
        <v>26085000</v>
      </c>
      <c r="AE13" s="146" t="s">
        <v>335</v>
      </c>
    </row>
    <row r="14" spans="1:31" s="11" customFormat="1" ht="21" customHeight="1">
      <c r="A14" s="37"/>
      <c r="B14" s="38"/>
      <c r="C14" s="38"/>
      <c r="D14" s="433"/>
      <c r="E14" s="434"/>
      <c r="F14" s="434"/>
      <c r="G14" s="434"/>
      <c r="H14" s="434"/>
      <c r="I14" s="434"/>
      <c r="J14" s="434"/>
      <c r="K14" s="434"/>
      <c r="L14" s="434"/>
      <c r="M14" s="97"/>
      <c r="N14" s="60"/>
      <c r="O14" s="377" t="s">
        <v>345</v>
      </c>
      <c r="P14" s="273"/>
      <c r="Q14" s="273"/>
      <c r="R14" s="273"/>
      <c r="S14" s="273"/>
      <c r="T14" s="270"/>
      <c r="U14" s="270"/>
      <c r="V14" s="270"/>
      <c r="W14" s="342" t="s">
        <v>346</v>
      </c>
      <c r="X14" s="342"/>
      <c r="Y14" s="342"/>
      <c r="Z14" s="342"/>
      <c r="AA14" s="342"/>
      <c r="AB14" s="342"/>
      <c r="AC14" s="343" t="s">
        <v>347</v>
      </c>
      <c r="AD14" s="343">
        <f>AD15</f>
        <v>6107000</v>
      </c>
      <c r="AE14" s="344" t="s">
        <v>335</v>
      </c>
    </row>
    <row r="15" spans="1:31" s="11" customFormat="1" ht="21" customHeight="1">
      <c r="A15" s="37"/>
      <c r="B15" s="38"/>
      <c r="C15" s="38"/>
      <c r="D15" s="435"/>
      <c r="E15" s="436"/>
      <c r="F15" s="436"/>
      <c r="G15" s="436"/>
      <c r="H15" s="436"/>
      <c r="I15" s="436"/>
      <c r="J15" s="436"/>
      <c r="K15" s="436"/>
      <c r="L15" s="436"/>
      <c r="M15" s="97"/>
      <c r="N15" s="60"/>
      <c r="O15" s="273" t="s">
        <v>494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336</v>
      </c>
      <c r="AC15" s="274"/>
      <c r="AD15" s="121">
        <v>6107000</v>
      </c>
      <c r="AE15" s="296" t="s">
        <v>335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6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7" t="s">
        <v>348</v>
      </c>
      <c r="P17" s="273"/>
      <c r="Q17" s="273"/>
      <c r="R17" s="273"/>
      <c r="S17" s="273"/>
      <c r="T17" s="270"/>
      <c r="U17" s="270"/>
      <c r="V17" s="270"/>
      <c r="W17" s="342" t="s">
        <v>346</v>
      </c>
      <c r="X17" s="342"/>
      <c r="Y17" s="342"/>
      <c r="Z17" s="342"/>
      <c r="AA17" s="342"/>
      <c r="AB17" s="342"/>
      <c r="AC17" s="343" t="s">
        <v>347</v>
      </c>
      <c r="AD17" s="343">
        <f>AD18</f>
        <v>2160000</v>
      </c>
      <c r="AE17" s="344" t="s">
        <v>335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425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336</v>
      </c>
      <c r="AC18" s="274"/>
      <c r="AD18" s="274">
        <v>2160000</v>
      </c>
      <c r="AE18" s="296" t="s">
        <v>335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6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7" t="s">
        <v>349</v>
      </c>
      <c r="P20" s="273"/>
      <c r="Q20" s="273"/>
      <c r="R20" s="273"/>
      <c r="S20" s="273"/>
      <c r="T20" s="270"/>
      <c r="U20" s="270"/>
      <c r="V20" s="270"/>
      <c r="W20" s="342" t="s">
        <v>346</v>
      </c>
      <c r="X20" s="342"/>
      <c r="Y20" s="342"/>
      <c r="Z20" s="342"/>
      <c r="AA20" s="342"/>
      <c r="AB20" s="342"/>
      <c r="AC20" s="343" t="s">
        <v>347</v>
      </c>
      <c r="AD20" s="343">
        <f>AD21</f>
        <v>13251000</v>
      </c>
      <c r="AE20" s="344" t="s">
        <v>335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494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336</v>
      </c>
      <c r="AC21" s="274"/>
      <c r="AD21" s="121">
        <v>13251000</v>
      </c>
      <c r="AE21" s="296" t="s">
        <v>335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6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7" t="s">
        <v>426</v>
      </c>
      <c r="P23" s="273"/>
      <c r="Q23" s="273"/>
      <c r="R23" s="273"/>
      <c r="S23" s="273"/>
      <c r="T23" s="270"/>
      <c r="U23" s="270"/>
      <c r="V23" s="270"/>
      <c r="W23" s="342" t="s">
        <v>346</v>
      </c>
      <c r="X23" s="342"/>
      <c r="Y23" s="342"/>
      <c r="Z23" s="342"/>
      <c r="AA23" s="342"/>
      <c r="AB23" s="342"/>
      <c r="AC23" s="343" t="s">
        <v>347</v>
      </c>
      <c r="AD23" s="343">
        <f>AD24</f>
        <v>4417000</v>
      </c>
      <c r="AE23" s="344" t="s">
        <v>335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494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336</v>
      </c>
      <c r="AC24" s="274"/>
      <c r="AD24" s="121">
        <v>4417000</v>
      </c>
      <c r="AE24" s="296" t="s">
        <v>335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6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7" t="s">
        <v>427</v>
      </c>
      <c r="P26" s="273"/>
      <c r="Q26" s="273"/>
      <c r="R26" s="273"/>
      <c r="S26" s="273"/>
      <c r="T26" s="270"/>
      <c r="U26" s="270"/>
      <c r="V26" s="270"/>
      <c r="W26" s="342" t="s">
        <v>346</v>
      </c>
      <c r="X26" s="342"/>
      <c r="Y26" s="342"/>
      <c r="Z26" s="342"/>
      <c r="AA26" s="342"/>
      <c r="AB26" s="342"/>
      <c r="AC26" s="343" t="s">
        <v>347</v>
      </c>
      <c r="AD26" s="343">
        <f>SUM(AD27:AD28)</f>
        <v>150000</v>
      </c>
      <c r="AE26" s="344" t="s">
        <v>335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506</v>
      </c>
      <c r="P27" s="273"/>
      <c r="Q27" s="273"/>
      <c r="R27" s="273"/>
      <c r="S27" s="289"/>
      <c r="T27" s="289"/>
      <c r="U27" s="290"/>
      <c r="V27" s="289"/>
      <c r="W27" s="289"/>
      <c r="X27" s="290"/>
      <c r="Y27" s="292"/>
      <c r="Z27" s="415"/>
      <c r="AA27" s="415"/>
      <c r="AB27" s="270" t="s">
        <v>366</v>
      </c>
      <c r="AC27" s="274"/>
      <c r="AD27" s="121">
        <v>150000</v>
      </c>
      <c r="AE27" s="296" t="s">
        <v>335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428</v>
      </c>
      <c r="P28" s="273"/>
      <c r="Q28" s="273"/>
      <c r="R28" s="273"/>
      <c r="S28" s="289"/>
      <c r="T28" s="289"/>
      <c r="U28" s="290"/>
      <c r="V28" s="289"/>
      <c r="W28" s="289"/>
      <c r="X28" s="290"/>
      <c r="Y28" s="292"/>
      <c r="Z28" s="415"/>
      <c r="AA28" s="415"/>
      <c r="AB28" s="270" t="s">
        <v>340</v>
      </c>
      <c r="AC28" s="274"/>
      <c r="AD28" s="121">
        <v>0</v>
      </c>
      <c r="AE28" s="296" t="s">
        <v>335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0"/>
      <c r="U29" s="378"/>
      <c r="V29" s="330"/>
      <c r="W29" s="379"/>
      <c r="X29" s="379"/>
      <c r="Y29" s="270"/>
      <c r="Z29" s="270"/>
      <c r="AA29" s="270"/>
      <c r="AB29" s="270"/>
      <c r="AC29" s="270"/>
      <c r="AD29" s="270"/>
      <c r="AE29" s="296"/>
    </row>
    <row r="30" spans="1:31" s="11" customFormat="1" ht="21" customHeight="1">
      <c r="A30" s="37"/>
      <c r="B30" s="38"/>
      <c r="C30" s="28" t="s">
        <v>9</v>
      </c>
      <c r="D30" s="135">
        <v>7289</v>
      </c>
      <c r="E30" s="103">
        <f>ROUND(AD30/1000,0)</f>
        <v>7289</v>
      </c>
      <c r="F30" s="103">
        <f>SUMIF($AB$31:$AB$37,"보조",$AD$31:$AD$37)/1000</f>
        <v>7289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0</v>
      </c>
      <c r="N30" s="109">
        <f>IF(D30=0,0,M30/D30)</f>
        <v>0</v>
      </c>
      <c r="O30" s="85" t="s">
        <v>35</v>
      </c>
      <c r="P30" s="420"/>
      <c r="Q30" s="153"/>
      <c r="R30" s="153"/>
      <c r="S30" s="153"/>
      <c r="T30" s="152"/>
      <c r="U30" s="152"/>
      <c r="V30" s="152"/>
      <c r="W30" s="419" t="s">
        <v>346</v>
      </c>
      <c r="X30" s="419"/>
      <c r="Y30" s="419"/>
      <c r="Z30" s="419"/>
      <c r="AA30" s="419"/>
      <c r="AB30" s="419"/>
      <c r="AC30" s="147" t="s">
        <v>347</v>
      </c>
      <c r="AD30" s="147">
        <f>SUM(AD31,AD34)</f>
        <v>7289000</v>
      </c>
      <c r="AE30" s="146" t="s">
        <v>335</v>
      </c>
    </row>
    <row r="31" spans="1:31" s="11" customFormat="1" ht="21" customHeight="1">
      <c r="A31" s="37"/>
      <c r="B31" s="38"/>
      <c r="C31" s="38"/>
      <c r="D31" s="433"/>
      <c r="E31" s="434"/>
      <c r="F31" s="434"/>
      <c r="G31" s="434"/>
      <c r="H31" s="434"/>
      <c r="I31" s="434"/>
      <c r="J31" s="434"/>
      <c r="K31" s="434"/>
      <c r="L31" s="434"/>
      <c r="M31" s="104"/>
      <c r="N31" s="60"/>
      <c r="O31" s="377" t="s">
        <v>429</v>
      </c>
      <c r="P31" s="273"/>
      <c r="Q31" s="273"/>
      <c r="R31" s="273"/>
      <c r="S31" s="273"/>
      <c r="T31" s="270"/>
      <c r="U31" s="270"/>
      <c r="V31" s="270"/>
      <c r="W31" s="342" t="s">
        <v>346</v>
      </c>
      <c r="X31" s="342"/>
      <c r="Y31" s="342"/>
      <c r="Z31" s="342"/>
      <c r="AA31" s="342"/>
      <c r="AB31" s="342"/>
      <c r="AC31" s="343"/>
      <c r="AD31" s="343">
        <f>SUM(AD32:AD33)</f>
        <v>7289000</v>
      </c>
      <c r="AE31" s="344" t="s">
        <v>335</v>
      </c>
    </row>
    <row r="32" spans="1:31" s="11" customFormat="1" ht="21" customHeight="1">
      <c r="A32" s="37"/>
      <c r="B32" s="38"/>
      <c r="C32" s="38"/>
      <c r="D32" s="435"/>
      <c r="E32" s="436"/>
      <c r="F32" s="436"/>
      <c r="G32" s="436"/>
      <c r="H32" s="436"/>
      <c r="I32" s="436"/>
      <c r="J32" s="436"/>
      <c r="K32" s="436"/>
      <c r="L32" s="436"/>
      <c r="M32" s="104"/>
      <c r="N32" s="60"/>
      <c r="O32" s="273" t="s">
        <v>495</v>
      </c>
      <c r="P32" s="273"/>
      <c r="Q32" s="273"/>
      <c r="R32" s="273"/>
      <c r="S32" s="270">
        <f>SUM(AD8,AD15,AD18,AD21,AD23)</f>
        <v>87465000</v>
      </c>
      <c r="T32" s="327" t="s">
        <v>335</v>
      </c>
      <c r="U32" s="327" t="s">
        <v>350</v>
      </c>
      <c r="V32" s="380">
        <v>12</v>
      </c>
      <c r="W32" s="326" t="s">
        <v>338</v>
      </c>
      <c r="X32" s="270"/>
      <c r="Y32" s="270"/>
      <c r="Z32" s="270"/>
      <c r="AA32" s="270" t="s">
        <v>339</v>
      </c>
      <c r="AB32" s="270" t="s">
        <v>336</v>
      </c>
      <c r="AC32" s="274"/>
      <c r="AD32" s="121">
        <f>ROUNDUP(S32/V32,-3)</f>
        <v>7289000</v>
      </c>
      <c r="AE32" s="296" t="s">
        <v>335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7"/>
      <c r="U33" s="327"/>
      <c r="V33" s="380"/>
      <c r="W33" s="326"/>
      <c r="X33" s="270"/>
      <c r="Y33" s="270"/>
      <c r="Z33" s="270"/>
      <c r="AA33" s="270"/>
      <c r="AB33" s="270"/>
      <c r="AC33" s="274"/>
      <c r="AD33" s="121"/>
      <c r="AE33" s="296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7" t="s">
        <v>430</v>
      </c>
      <c r="P34" s="273"/>
      <c r="Q34" s="273"/>
      <c r="R34" s="273"/>
      <c r="S34" s="273"/>
      <c r="T34" s="270"/>
      <c r="U34" s="270"/>
      <c r="V34" s="270"/>
      <c r="W34" s="342" t="s">
        <v>351</v>
      </c>
      <c r="X34" s="342"/>
      <c r="Y34" s="342"/>
      <c r="Z34" s="342"/>
      <c r="AA34" s="342"/>
      <c r="AB34" s="342"/>
      <c r="AC34" s="343" t="s">
        <v>352</v>
      </c>
      <c r="AD34" s="343">
        <f>SUM(AD35:AD36)</f>
        <v>0</v>
      </c>
      <c r="AE34" s="344" t="s">
        <v>353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3" t="s">
        <v>431</v>
      </c>
      <c r="P35" s="423"/>
      <c r="Q35" s="423"/>
      <c r="R35" s="423"/>
      <c r="S35" s="422">
        <v>0</v>
      </c>
      <c r="T35" s="286" t="s">
        <v>335</v>
      </c>
      <c r="U35" s="286" t="s">
        <v>350</v>
      </c>
      <c r="V35" s="437">
        <v>12</v>
      </c>
      <c r="W35" s="387" t="s">
        <v>338</v>
      </c>
      <c r="X35" s="422"/>
      <c r="Y35" s="422"/>
      <c r="Z35" s="422"/>
      <c r="AA35" s="422" t="s">
        <v>339</v>
      </c>
      <c r="AB35" s="422" t="s">
        <v>340</v>
      </c>
      <c r="AC35" s="121"/>
      <c r="AD35" s="121">
        <f>ROUNDUP(S35/V35,-3)</f>
        <v>0</v>
      </c>
      <c r="AE35" s="122" t="s">
        <v>335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3" t="s">
        <v>354</v>
      </c>
      <c r="P36" s="423"/>
      <c r="Q36" s="423"/>
      <c r="R36" s="423"/>
      <c r="S36" s="422">
        <f>($K$7+$K$13)*1000</f>
        <v>0</v>
      </c>
      <c r="T36" s="286" t="s">
        <v>335</v>
      </c>
      <c r="U36" s="286" t="s">
        <v>350</v>
      </c>
      <c r="V36" s="437">
        <v>12</v>
      </c>
      <c r="W36" s="387" t="s">
        <v>338</v>
      </c>
      <c r="X36" s="422"/>
      <c r="Y36" s="422"/>
      <c r="Z36" s="422"/>
      <c r="AA36" s="422" t="s">
        <v>339</v>
      </c>
      <c r="AB36" s="422" t="s">
        <v>340</v>
      </c>
      <c r="AC36" s="121"/>
      <c r="AD36" s="121">
        <f>ROUND(S36/V36,-3)</f>
        <v>0</v>
      </c>
      <c r="AE36" s="122" t="s">
        <v>335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0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2"/>
      <c r="AC37" s="42"/>
      <c r="AD37" s="58"/>
      <c r="AE37" s="26"/>
    </row>
    <row r="38" spans="1:31" s="11" customFormat="1" ht="21" customHeight="1">
      <c r="A38" s="37"/>
      <c r="B38" s="38"/>
      <c r="C38" s="111" t="s">
        <v>355</v>
      </c>
      <c r="D38" s="135">
        <v>9106</v>
      </c>
      <c r="E38" s="103">
        <f>ROUND(AD38/1000,0)</f>
        <v>9106</v>
      </c>
      <c r="F38" s="103">
        <f>SUMIF($AB$39:$AB$56,"보조",$AD$39:$AD$56)/1000</f>
        <v>9106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0</v>
      </c>
      <c r="N38" s="109">
        <f>IF(D38=0,0,M38/D38)</f>
        <v>0</v>
      </c>
      <c r="O38" s="85" t="s">
        <v>36</v>
      </c>
      <c r="P38" s="420"/>
      <c r="Q38" s="153"/>
      <c r="R38" s="153"/>
      <c r="S38" s="153"/>
      <c r="T38" s="152"/>
      <c r="U38" s="152"/>
      <c r="V38" s="152"/>
      <c r="W38" s="419" t="s">
        <v>356</v>
      </c>
      <c r="X38" s="419"/>
      <c r="Y38" s="419"/>
      <c r="Z38" s="419"/>
      <c r="AA38" s="419"/>
      <c r="AB38" s="419"/>
      <c r="AC38" s="147"/>
      <c r="AD38" s="147">
        <f>SUM(AD40,AD43,AD46,AD49,AD52,AD55)</f>
        <v>9106000</v>
      </c>
      <c r="AE38" s="146" t="s">
        <v>25</v>
      </c>
    </row>
    <row r="39" spans="1:31" s="11" customFormat="1" ht="21" customHeight="1">
      <c r="A39" s="37"/>
      <c r="B39" s="38"/>
      <c r="C39" s="38" t="s">
        <v>357</v>
      </c>
      <c r="D39" s="433"/>
      <c r="E39" s="434"/>
      <c r="F39" s="434"/>
      <c r="G39" s="434"/>
      <c r="H39" s="434"/>
      <c r="I39" s="434"/>
      <c r="J39" s="434"/>
      <c r="K39" s="434"/>
      <c r="L39" s="434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35"/>
      <c r="E40" s="436"/>
      <c r="F40" s="436"/>
      <c r="G40" s="436"/>
      <c r="H40" s="436"/>
      <c r="I40" s="436"/>
      <c r="J40" s="436"/>
      <c r="K40" s="436"/>
      <c r="L40" s="436"/>
      <c r="M40" s="104"/>
      <c r="N40" s="60"/>
      <c r="O40" s="377" t="s">
        <v>358</v>
      </c>
      <c r="P40" s="273"/>
      <c r="Q40" s="273"/>
      <c r="R40" s="273"/>
      <c r="S40" s="273"/>
      <c r="T40" s="270"/>
      <c r="U40" s="270"/>
      <c r="V40" s="270"/>
      <c r="W40" s="342" t="s">
        <v>346</v>
      </c>
      <c r="X40" s="342"/>
      <c r="Y40" s="342"/>
      <c r="Z40" s="342"/>
      <c r="AA40" s="342"/>
      <c r="AB40" s="342"/>
      <c r="AC40" s="343"/>
      <c r="AD40" s="343">
        <f>ROUND(SUM(AD41:AD42),-3)</f>
        <v>3936000</v>
      </c>
      <c r="AE40" s="344" t="s">
        <v>335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494</v>
      </c>
      <c r="P41" s="273"/>
      <c r="Q41" s="273"/>
      <c r="R41" s="273"/>
      <c r="S41" s="270">
        <f>S32</f>
        <v>87465000</v>
      </c>
      <c r="T41" s="327" t="s">
        <v>335</v>
      </c>
      <c r="U41" s="326" t="s">
        <v>337</v>
      </c>
      <c r="V41" s="381">
        <v>0.09</v>
      </c>
      <c r="W41" s="327" t="s">
        <v>350</v>
      </c>
      <c r="X41" s="382">
        <v>2</v>
      </c>
      <c r="Y41" s="329"/>
      <c r="Z41" s="329"/>
      <c r="AA41" s="327" t="s">
        <v>339</v>
      </c>
      <c r="AB41" s="270" t="s">
        <v>336</v>
      </c>
      <c r="AC41" s="274"/>
      <c r="AD41" s="121">
        <f>ROUNDUP(S41*V41/X41,-3)</f>
        <v>3936000</v>
      </c>
      <c r="AE41" s="296" t="s">
        <v>335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7"/>
      <c r="U42" s="326"/>
      <c r="V42" s="381"/>
      <c r="W42" s="327"/>
      <c r="X42" s="382"/>
      <c r="Y42" s="329"/>
      <c r="Z42" s="329"/>
      <c r="AA42" s="327"/>
      <c r="AB42" s="270"/>
      <c r="AC42" s="274"/>
      <c r="AD42" s="121"/>
      <c r="AE42" s="296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7" t="s">
        <v>359</v>
      </c>
      <c r="P43" s="273"/>
      <c r="Q43" s="273"/>
      <c r="R43" s="273"/>
      <c r="S43" s="273"/>
      <c r="T43" s="270"/>
      <c r="U43" s="270"/>
      <c r="V43" s="270"/>
      <c r="W43" s="342" t="s">
        <v>346</v>
      </c>
      <c r="X43" s="342"/>
      <c r="Y43" s="342"/>
      <c r="Z43" s="342"/>
      <c r="AA43" s="342"/>
      <c r="AB43" s="342"/>
      <c r="AC43" s="343" t="s">
        <v>347</v>
      </c>
      <c r="AD43" s="343">
        <f>ROUND(SUM(AD44:AD45),-3)</f>
        <v>3101000</v>
      </c>
      <c r="AE43" s="344" t="s">
        <v>335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494</v>
      </c>
      <c r="P44" s="273"/>
      <c r="Q44" s="273"/>
      <c r="R44" s="273"/>
      <c r="S44" s="270">
        <f>S41</f>
        <v>87465000</v>
      </c>
      <c r="T44" s="327" t="s">
        <v>335</v>
      </c>
      <c r="U44" s="326" t="s">
        <v>337</v>
      </c>
      <c r="V44" s="383">
        <v>7.0900000000000005E-2</v>
      </c>
      <c r="W44" s="327" t="s">
        <v>350</v>
      </c>
      <c r="X44" s="384">
        <v>2</v>
      </c>
      <c r="Y44" s="329"/>
      <c r="Z44" s="329"/>
      <c r="AA44" s="327" t="s">
        <v>339</v>
      </c>
      <c r="AB44" s="270" t="s">
        <v>336</v>
      </c>
      <c r="AC44" s="274"/>
      <c r="AD44" s="121">
        <f>ROUNDUP(S44*V44/X44,-3)</f>
        <v>3101000</v>
      </c>
      <c r="AE44" s="296" t="s">
        <v>335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7"/>
      <c r="V45" s="383"/>
      <c r="W45" s="270"/>
      <c r="X45" s="327"/>
      <c r="Y45" s="270"/>
      <c r="Z45" s="270"/>
      <c r="AA45" s="270"/>
      <c r="AB45" s="270"/>
      <c r="AC45" s="274"/>
      <c r="AD45" s="121"/>
      <c r="AE45" s="296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7" t="s">
        <v>360</v>
      </c>
      <c r="P46" s="273"/>
      <c r="Q46" s="273"/>
      <c r="R46" s="273"/>
      <c r="S46" s="273"/>
      <c r="T46" s="270"/>
      <c r="U46" s="270"/>
      <c r="V46" s="270"/>
      <c r="W46" s="342" t="s">
        <v>346</v>
      </c>
      <c r="X46" s="342"/>
      <c r="Y46" s="342"/>
      <c r="Z46" s="342"/>
      <c r="AA46" s="342"/>
      <c r="AB46" s="342"/>
      <c r="AC46" s="343" t="s">
        <v>347</v>
      </c>
      <c r="AD46" s="343">
        <f>ROUND(SUM(AD47:AD48),-3)</f>
        <v>398000</v>
      </c>
      <c r="AE46" s="344" t="s">
        <v>335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494</v>
      </c>
      <c r="P47" s="273"/>
      <c r="Q47" s="273"/>
      <c r="R47" s="273"/>
      <c r="S47" s="385">
        <f>AD44</f>
        <v>3101000</v>
      </c>
      <c r="T47" s="327" t="s">
        <v>335</v>
      </c>
      <c r="U47" s="326" t="s">
        <v>337</v>
      </c>
      <c r="V47" s="383">
        <v>0.12809999999999999</v>
      </c>
      <c r="W47" s="326"/>
      <c r="X47" s="328"/>
      <c r="Y47" s="329"/>
      <c r="Z47" s="329"/>
      <c r="AA47" s="327" t="s">
        <v>339</v>
      </c>
      <c r="AB47" s="270" t="s">
        <v>336</v>
      </c>
      <c r="AC47" s="274"/>
      <c r="AD47" s="121">
        <f>ROUNDUP(S47*V47,-3)</f>
        <v>398000</v>
      </c>
      <c r="AE47" s="296" t="s">
        <v>335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5"/>
      <c r="T48" s="327"/>
      <c r="U48" s="326"/>
      <c r="V48" s="383"/>
      <c r="W48" s="326"/>
      <c r="X48" s="328"/>
      <c r="Y48" s="329"/>
      <c r="Z48" s="329"/>
      <c r="AA48" s="327"/>
      <c r="AB48" s="270"/>
      <c r="AC48" s="274"/>
      <c r="AD48" s="121"/>
      <c r="AE48" s="296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7" t="s">
        <v>361</v>
      </c>
      <c r="P49" s="273"/>
      <c r="Q49" s="273"/>
      <c r="R49" s="273"/>
      <c r="S49" s="273"/>
      <c r="T49" s="270"/>
      <c r="U49" s="270"/>
      <c r="V49" s="270"/>
      <c r="W49" s="342" t="s">
        <v>346</v>
      </c>
      <c r="X49" s="342"/>
      <c r="Y49" s="342"/>
      <c r="Z49" s="342"/>
      <c r="AA49" s="342"/>
      <c r="AB49" s="342"/>
      <c r="AC49" s="343" t="s">
        <v>347</v>
      </c>
      <c r="AD49" s="343">
        <f>ROUND(SUM(AD50:AD51),-3)</f>
        <v>1006000</v>
      </c>
      <c r="AE49" s="344" t="s">
        <v>335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494</v>
      </c>
      <c r="P50" s="273"/>
      <c r="Q50" s="273"/>
      <c r="R50" s="273"/>
      <c r="S50" s="270">
        <f>S44</f>
        <v>87465000</v>
      </c>
      <c r="T50" s="327" t="s">
        <v>335</v>
      </c>
      <c r="U50" s="326" t="s">
        <v>337</v>
      </c>
      <c r="V50" s="383">
        <v>1.15E-2</v>
      </c>
      <c r="W50" s="326"/>
      <c r="X50" s="328"/>
      <c r="Y50" s="329"/>
      <c r="Z50" s="329"/>
      <c r="AA50" s="327" t="s">
        <v>339</v>
      </c>
      <c r="AB50" s="270" t="s">
        <v>336</v>
      </c>
      <c r="AC50" s="274"/>
      <c r="AD50" s="121">
        <f>ROUNDUP(S50*V50,-3)</f>
        <v>1006000</v>
      </c>
      <c r="AE50" s="296" t="s">
        <v>335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7"/>
      <c r="U51" s="326"/>
      <c r="V51" s="383"/>
      <c r="W51" s="326"/>
      <c r="X51" s="328"/>
      <c r="Y51" s="329"/>
      <c r="Z51" s="329"/>
      <c r="AA51" s="327"/>
      <c r="AB51" s="270"/>
      <c r="AC51" s="274"/>
      <c r="AD51" s="121"/>
      <c r="AE51" s="296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7" t="s">
        <v>362</v>
      </c>
      <c r="P52" s="273"/>
      <c r="Q52" s="273"/>
      <c r="R52" s="273"/>
      <c r="S52" s="273"/>
      <c r="T52" s="270"/>
      <c r="U52" s="270"/>
      <c r="V52" s="270"/>
      <c r="W52" s="342" t="s">
        <v>346</v>
      </c>
      <c r="X52" s="342"/>
      <c r="Y52" s="342"/>
      <c r="Z52" s="342"/>
      <c r="AA52" s="342"/>
      <c r="AB52" s="342"/>
      <c r="AC52" s="343" t="s">
        <v>347</v>
      </c>
      <c r="AD52" s="343">
        <f>ROUND(SUM(AD53:AD54),-3)</f>
        <v>665000</v>
      </c>
      <c r="AE52" s="344" t="s">
        <v>335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494</v>
      </c>
      <c r="P53" s="273"/>
      <c r="Q53" s="273"/>
      <c r="R53" s="273"/>
      <c r="S53" s="270">
        <f>S50</f>
        <v>87465000</v>
      </c>
      <c r="T53" s="327" t="s">
        <v>335</v>
      </c>
      <c r="U53" s="326" t="s">
        <v>337</v>
      </c>
      <c r="V53" s="386">
        <v>7.6E-3</v>
      </c>
      <c r="W53" s="326"/>
      <c r="X53" s="328"/>
      <c r="Y53" s="329"/>
      <c r="Z53" s="329"/>
      <c r="AA53" s="327" t="s">
        <v>339</v>
      </c>
      <c r="AB53" s="270" t="s">
        <v>336</v>
      </c>
      <c r="AC53" s="274"/>
      <c r="AD53" s="121">
        <f>ROUNDUP(S53*V53,-3)</f>
        <v>665000</v>
      </c>
      <c r="AE53" s="296" t="s">
        <v>335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7"/>
      <c r="U54" s="326"/>
      <c r="V54" s="386"/>
      <c r="W54" s="326"/>
      <c r="X54" s="328"/>
      <c r="Y54" s="329"/>
      <c r="Z54" s="329"/>
      <c r="AA54" s="327"/>
      <c r="AB54" s="270"/>
      <c r="AC54" s="274"/>
      <c r="AD54" s="121"/>
      <c r="AE54" s="296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1" t="s">
        <v>432</v>
      </c>
      <c r="P55" s="273"/>
      <c r="Q55" s="273"/>
      <c r="R55" s="273"/>
      <c r="S55" s="270"/>
      <c r="T55" s="327"/>
      <c r="U55" s="326"/>
      <c r="V55" s="386"/>
      <c r="W55" s="454"/>
      <c r="X55" s="455"/>
      <c r="Y55" s="456"/>
      <c r="Z55" s="456"/>
      <c r="AA55" s="375"/>
      <c r="AB55" s="342" t="s">
        <v>340</v>
      </c>
      <c r="AC55" s="343"/>
      <c r="AD55" s="399">
        <v>0</v>
      </c>
      <c r="AE55" s="344" t="s">
        <v>335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6"/>
    </row>
    <row r="57" spans="1:31" s="11" customFormat="1" ht="21" customHeight="1">
      <c r="A57" s="37"/>
      <c r="B57" s="38"/>
      <c r="C57" s="28" t="s">
        <v>363</v>
      </c>
      <c r="D57" s="135">
        <v>500</v>
      </c>
      <c r="E57" s="103">
        <f>ROUND(AD57/1000,0)</f>
        <v>500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0</v>
      </c>
      <c r="N57" s="109">
        <f>IF(D57=0,0,M57/D57)</f>
        <v>0</v>
      </c>
      <c r="O57" s="85" t="s">
        <v>364</v>
      </c>
      <c r="P57" s="420"/>
      <c r="Q57" s="153"/>
      <c r="R57" s="153"/>
      <c r="S57" s="153"/>
      <c r="T57" s="152"/>
      <c r="U57" s="152"/>
      <c r="V57" s="152"/>
      <c r="W57" s="419" t="s">
        <v>356</v>
      </c>
      <c r="X57" s="419"/>
      <c r="Y57" s="419"/>
      <c r="Z57" s="419"/>
      <c r="AA57" s="419"/>
      <c r="AB57" s="419"/>
      <c r="AC57" s="147"/>
      <c r="AD57" s="147">
        <f>SUM(AD58:AD61)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33"/>
      <c r="E58" s="434"/>
      <c r="F58" s="434"/>
      <c r="G58" s="434"/>
      <c r="H58" s="434"/>
      <c r="I58" s="434"/>
      <c r="J58" s="434"/>
      <c r="K58" s="434"/>
      <c r="L58" s="434"/>
      <c r="M58" s="97"/>
      <c r="N58" s="60"/>
      <c r="O58" s="464" t="s">
        <v>365</v>
      </c>
      <c r="P58" s="464"/>
      <c r="Q58" s="464"/>
      <c r="R58" s="464"/>
      <c r="S58" s="463"/>
      <c r="T58" s="463"/>
      <c r="U58" s="387"/>
      <c r="V58" s="463"/>
      <c r="W58" s="463"/>
      <c r="X58" s="387"/>
      <c r="Y58" s="463"/>
      <c r="Z58" s="463"/>
      <c r="AA58" s="463"/>
      <c r="AB58" s="463" t="s">
        <v>309</v>
      </c>
      <c r="AC58" s="388"/>
      <c r="AD58" s="463">
        <v>300000</v>
      </c>
      <c r="AE58" s="389" t="s">
        <v>25</v>
      </c>
    </row>
    <row r="59" spans="1:31" s="11" customFormat="1" ht="21" customHeight="1">
      <c r="A59" s="37"/>
      <c r="B59" s="38"/>
      <c r="C59" s="38"/>
      <c r="D59" s="435"/>
      <c r="E59" s="436"/>
      <c r="F59" s="436"/>
      <c r="G59" s="436"/>
      <c r="H59" s="436"/>
      <c r="I59" s="436"/>
      <c r="J59" s="436"/>
      <c r="K59" s="436"/>
      <c r="L59" s="436"/>
      <c r="M59" s="97"/>
      <c r="N59" s="60"/>
      <c r="O59" s="464" t="s">
        <v>504</v>
      </c>
      <c r="P59" s="394"/>
      <c r="Q59" s="464"/>
      <c r="R59" s="464"/>
      <c r="S59" s="289">
        <v>55000</v>
      </c>
      <c r="T59" s="44" t="s">
        <v>56</v>
      </c>
      <c r="U59" s="235">
        <v>2</v>
      </c>
      <c r="V59" s="289" t="s">
        <v>55</v>
      </c>
      <c r="W59" s="64"/>
      <c r="X59" s="64"/>
      <c r="Y59" s="67"/>
      <c r="Z59" s="65"/>
      <c r="AA59" s="509" t="s">
        <v>53</v>
      </c>
      <c r="AB59" s="289" t="s">
        <v>366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64" t="s">
        <v>505</v>
      </c>
      <c r="P60" s="463"/>
      <c r="Q60" s="464"/>
      <c r="R60" s="464"/>
      <c r="S60" s="289">
        <v>55000</v>
      </c>
      <c r="T60" s="44" t="s">
        <v>56</v>
      </c>
      <c r="U60" s="235">
        <v>2</v>
      </c>
      <c r="V60" s="289" t="s">
        <v>55</v>
      </c>
      <c r="W60" s="64"/>
      <c r="X60" s="64"/>
      <c r="Y60" s="67"/>
      <c r="Z60" s="65"/>
      <c r="AA60" s="509" t="s">
        <v>53</v>
      </c>
      <c r="AB60" s="289" t="s">
        <v>366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3"/>
      <c r="P61" s="422"/>
      <c r="Q61" s="423"/>
      <c r="R61" s="423"/>
      <c r="S61" s="289"/>
      <c r="T61" s="44"/>
      <c r="U61" s="235"/>
      <c r="V61" s="289"/>
      <c r="W61" s="64"/>
      <c r="X61" s="64"/>
      <c r="Y61" s="67"/>
      <c r="Z61" s="65"/>
      <c r="AA61" s="415"/>
      <c r="AB61" s="289"/>
      <c r="AC61" s="58"/>
      <c r="AD61" s="58"/>
      <c r="AE61" s="122"/>
    </row>
    <row r="62" spans="1:31" s="11" customFormat="1" ht="21" customHeight="1">
      <c r="A62" s="37"/>
      <c r="B62" s="28" t="s">
        <v>367</v>
      </c>
      <c r="C62" s="28" t="s">
        <v>5</v>
      </c>
      <c r="D62" s="102">
        <f t="shared" ref="D62:L62" si="3">SUM(D63,D65,D67)</f>
        <v>70</v>
      </c>
      <c r="E62" s="102">
        <f t="shared" si="3"/>
        <v>70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70</v>
      </c>
      <c r="K62" s="102">
        <f t="shared" si="3"/>
        <v>0</v>
      </c>
      <c r="L62" s="102">
        <f t="shared" si="3"/>
        <v>0</v>
      </c>
      <c r="M62" s="102">
        <f>E62-D62</f>
        <v>0</v>
      </c>
      <c r="N62" s="109">
        <f>IF(D62=0,0,M62/D62)</f>
        <v>0</v>
      </c>
      <c r="O62" s="153" t="s">
        <v>368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70000</v>
      </c>
      <c r="AE62" s="83" t="s">
        <v>25</v>
      </c>
    </row>
    <row r="63" spans="1:31" s="11" customFormat="1" ht="21" customHeight="1">
      <c r="A63" s="37"/>
      <c r="B63" s="38" t="s">
        <v>369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19" t="s">
        <v>370</v>
      </c>
      <c r="Z63" s="419"/>
      <c r="AA63" s="419"/>
      <c r="AB63" s="419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3" t="s">
        <v>371</v>
      </c>
      <c r="P64" s="423"/>
      <c r="Q64" s="423"/>
      <c r="R64" s="423"/>
      <c r="S64" s="422"/>
      <c r="T64" s="291"/>
      <c r="U64" s="291"/>
      <c r="V64" s="422"/>
      <c r="W64" s="423"/>
      <c r="X64" s="422"/>
      <c r="Y64" s="422"/>
      <c r="Z64" s="422"/>
      <c r="AA64" s="422"/>
      <c r="AB64" s="422" t="s">
        <v>340</v>
      </c>
      <c r="AC64" s="422"/>
      <c r="AD64" s="422">
        <v>0</v>
      </c>
      <c r="AE64" s="122" t="s">
        <v>335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372</v>
      </c>
      <c r="P65" s="420"/>
      <c r="Q65" s="153"/>
      <c r="R65" s="153"/>
      <c r="S65" s="153"/>
      <c r="T65" s="152"/>
      <c r="U65" s="152"/>
      <c r="V65" s="152"/>
      <c r="W65" s="152"/>
      <c r="X65" s="152"/>
      <c r="Y65" s="419" t="s">
        <v>370</v>
      </c>
      <c r="Z65" s="419"/>
      <c r="AA65" s="419"/>
      <c r="AB65" s="419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49"/>
      <c r="P66" s="349"/>
      <c r="Q66" s="349"/>
      <c r="R66" s="349"/>
      <c r="S66" s="348"/>
      <c r="T66" s="76"/>
      <c r="U66" s="76"/>
      <c r="V66" s="348"/>
      <c r="W66" s="349"/>
      <c r="X66" s="348"/>
      <c r="Y66" s="348"/>
      <c r="Z66" s="348"/>
      <c r="AA66" s="348"/>
      <c r="AB66" s="348"/>
      <c r="AC66" s="348"/>
      <c r="AD66" s="348"/>
      <c r="AE66" s="63"/>
    </row>
    <row r="67" spans="1:31" s="11" customFormat="1" ht="21" customHeight="1">
      <c r="A67" s="37"/>
      <c r="B67" s="38"/>
      <c r="C67" s="38" t="s">
        <v>373</v>
      </c>
      <c r="D67" s="133">
        <v>70</v>
      </c>
      <c r="E67" s="97">
        <f>AD67/1000</f>
        <v>70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70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0</v>
      </c>
      <c r="N67" s="60">
        <f>IF(D67=0,0,M67/D67)</f>
        <v>0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19" t="s">
        <v>370</v>
      </c>
      <c r="Z67" s="419"/>
      <c r="AA67" s="419"/>
      <c r="AB67" s="419"/>
      <c r="AC67" s="147"/>
      <c r="AD67" s="147">
        <f>SUM(AD68:AD70)</f>
        <v>70000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58" t="s">
        <v>434</v>
      </c>
      <c r="P68" s="423"/>
      <c r="Q68" s="423"/>
      <c r="R68" s="423"/>
      <c r="S68" s="457">
        <v>50000</v>
      </c>
      <c r="T68" s="457" t="s">
        <v>25</v>
      </c>
      <c r="U68" s="458" t="s">
        <v>26</v>
      </c>
      <c r="V68" s="459">
        <v>1</v>
      </c>
      <c r="W68" s="458" t="s">
        <v>26</v>
      </c>
      <c r="X68" s="460">
        <v>1</v>
      </c>
      <c r="Y68" s="461"/>
      <c r="Z68" s="462"/>
      <c r="AA68" s="462" t="s">
        <v>27</v>
      </c>
      <c r="AB68" s="462" t="s">
        <v>433</v>
      </c>
      <c r="AC68" s="422"/>
      <c r="AD68" s="463">
        <v>50000</v>
      </c>
      <c r="AE68" s="122" t="s">
        <v>335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58" t="s">
        <v>435</v>
      </c>
      <c r="P69" s="423"/>
      <c r="Q69" s="423"/>
      <c r="R69" s="423"/>
      <c r="S69" s="457">
        <v>20000</v>
      </c>
      <c r="T69" s="457" t="s">
        <v>25</v>
      </c>
      <c r="U69" s="458" t="s">
        <v>26</v>
      </c>
      <c r="V69" s="459">
        <v>1</v>
      </c>
      <c r="W69" s="457"/>
      <c r="X69" s="458"/>
      <c r="Y69" s="461"/>
      <c r="Z69" s="462"/>
      <c r="AA69" s="462" t="s">
        <v>27</v>
      </c>
      <c r="AB69" s="462" t="s">
        <v>433</v>
      </c>
      <c r="AC69" s="423"/>
      <c r="AD69" s="463">
        <v>20000</v>
      </c>
      <c r="AE69" s="122" t="s">
        <v>335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3"/>
      <c r="P70" s="423"/>
      <c r="Q70" s="423"/>
      <c r="R70" s="423"/>
      <c r="S70" s="422"/>
      <c r="T70" s="291"/>
      <c r="U70" s="291"/>
      <c r="V70" s="422"/>
      <c r="W70" s="423"/>
      <c r="X70" s="422"/>
      <c r="Y70" s="422"/>
      <c r="Z70" s="422"/>
      <c r="AA70" s="422"/>
      <c r="AB70" s="422"/>
      <c r="AC70" s="422"/>
      <c r="AD70" s="422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11992</v>
      </c>
      <c r="E71" s="144">
        <f t="shared" si="4"/>
        <v>11802</v>
      </c>
      <c r="F71" s="144">
        <f t="shared" si="4"/>
        <v>4197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4902</v>
      </c>
      <c r="K71" s="144">
        <f t="shared" si="4"/>
        <v>2</v>
      </c>
      <c r="L71" s="144">
        <f t="shared" si="4"/>
        <v>2701</v>
      </c>
      <c r="M71" s="438">
        <f>E71-D71</f>
        <v>-190</v>
      </c>
      <c r="N71" s="145">
        <f>IF(D71=0,0,M71/D71)</f>
        <v>-1.5843895930620414E-2</v>
      </c>
      <c r="O71" s="420" t="s">
        <v>375</v>
      </c>
      <c r="P71" s="420"/>
      <c r="Q71" s="420"/>
      <c r="R71" s="420"/>
      <c r="S71" s="419"/>
      <c r="T71" s="154"/>
      <c r="U71" s="419"/>
      <c r="V71" s="603"/>
      <c r="W71" s="604"/>
      <c r="X71" s="419"/>
      <c r="Y71" s="419"/>
      <c r="Z71" s="419"/>
      <c r="AA71" s="419"/>
      <c r="AB71" s="419"/>
      <c r="AC71" s="419"/>
      <c r="AD71" s="419">
        <f>SUM(AD72,AD75,AD85,AD93,AD99,AD103)</f>
        <v>11802000</v>
      </c>
      <c r="AE71" s="146" t="s">
        <v>25</v>
      </c>
    </row>
    <row r="72" spans="1:31" s="11" customFormat="1" ht="21" customHeight="1">
      <c r="A72" s="37"/>
      <c r="B72" s="38"/>
      <c r="C72" s="38" t="s">
        <v>376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19" t="s">
        <v>370</v>
      </c>
      <c r="Z72" s="419"/>
      <c r="AA72" s="419"/>
      <c r="AB72" s="419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3" t="s">
        <v>377</v>
      </c>
      <c r="P73" s="423"/>
      <c r="Q73" s="423"/>
      <c r="R73" s="423"/>
      <c r="S73" s="457">
        <v>30000</v>
      </c>
      <c r="T73" s="468" t="s">
        <v>25</v>
      </c>
      <c r="U73" s="468" t="s">
        <v>26</v>
      </c>
      <c r="V73" s="467">
        <v>2</v>
      </c>
      <c r="W73" s="469" t="s">
        <v>497</v>
      </c>
      <c r="X73" s="467" t="s">
        <v>27</v>
      </c>
      <c r="Y73" s="457"/>
      <c r="Z73" s="457"/>
      <c r="AA73" s="457"/>
      <c r="AB73" s="457" t="s">
        <v>498</v>
      </c>
      <c r="AC73" s="457"/>
      <c r="AD73" s="457">
        <f>S73*V73</f>
        <v>60000</v>
      </c>
      <c r="AE73" s="466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3" t="s">
        <v>378</v>
      </c>
      <c r="P74" s="423"/>
      <c r="Q74" s="423"/>
      <c r="R74" s="423"/>
      <c r="S74" s="422"/>
      <c r="T74" s="291"/>
      <c r="U74" s="291"/>
      <c r="V74" s="422"/>
      <c r="W74" s="291"/>
      <c r="X74" s="422"/>
      <c r="Y74" s="422"/>
      <c r="Z74" s="422"/>
      <c r="AA74" s="422"/>
      <c r="AB74" s="422" t="s">
        <v>340</v>
      </c>
      <c r="AC74" s="422"/>
      <c r="AD74" s="422">
        <v>0</v>
      </c>
      <c r="AE74" s="122" t="s">
        <v>335</v>
      </c>
    </row>
    <row r="75" spans="1:31" s="11" customFormat="1" ht="21" customHeight="1">
      <c r="A75" s="37"/>
      <c r="B75" s="38"/>
      <c r="C75" s="28" t="s">
        <v>41</v>
      </c>
      <c r="D75" s="135">
        <v>2431</v>
      </c>
      <c r="E75" s="102">
        <f>ROUND(AD75/1000,0)</f>
        <v>2241</v>
      </c>
      <c r="F75" s="103">
        <f>SUMIF($AB$76:$AB$83,"보조",$AD$76:$AD$83)/1000</f>
        <v>492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1749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-190</v>
      </c>
      <c r="N75" s="109">
        <f>IF(D75=0,0,M75/D75)</f>
        <v>-7.8157136980666397E-2</v>
      </c>
      <c r="O75" s="297" t="s">
        <v>42</v>
      </c>
      <c r="P75" s="298"/>
      <c r="Q75" s="298"/>
      <c r="R75" s="298"/>
      <c r="S75" s="298"/>
      <c r="T75" s="299"/>
      <c r="U75" s="299"/>
      <c r="V75" s="299"/>
      <c r="W75" s="299"/>
      <c r="X75" s="299"/>
      <c r="Y75" s="300" t="s">
        <v>28</v>
      </c>
      <c r="Z75" s="300"/>
      <c r="AA75" s="300"/>
      <c r="AB75" s="300"/>
      <c r="AC75" s="301"/>
      <c r="AD75" s="301">
        <f>SUM(AD76:AD84)</f>
        <v>2241000</v>
      </c>
      <c r="AE75" s="146" t="s">
        <v>25</v>
      </c>
    </row>
    <row r="76" spans="1:31" s="11" customFormat="1" ht="21" customHeight="1">
      <c r="A76" s="37"/>
      <c r="B76" s="38"/>
      <c r="C76" s="38" t="s">
        <v>379</v>
      </c>
      <c r="D76" s="433"/>
      <c r="E76" s="434"/>
      <c r="F76" s="434"/>
      <c r="G76" s="434"/>
      <c r="H76" s="434"/>
      <c r="I76" s="434"/>
      <c r="J76" s="434"/>
      <c r="K76" s="434"/>
      <c r="L76" s="434"/>
      <c r="M76" s="97"/>
      <c r="N76" s="60"/>
      <c r="O76" s="302" t="s">
        <v>443</v>
      </c>
      <c r="P76" s="423"/>
      <c r="Q76" s="423"/>
      <c r="R76" s="423"/>
      <c r="S76" s="422"/>
      <c r="T76" s="291"/>
      <c r="U76" s="422"/>
      <c r="V76" s="303"/>
      <c r="W76" s="304"/>
      <c r="X76" s="304"/>
      <c r="Y76" s="303"/>
      <c r="Z76" s="305"/>
      <c r="AA76" s="303"/>
      <c r="AB76" s="287" t="s">
        <v>336</v>
      </c>
      <c r="AC76" s="287"/>
      <c r="AD76" s="463">
        <v>151000</v>
      </c>
      <c r="AE76" s="390" t="s">
        <v>25</v>
      </c>
    </row>
    <row r="77" spans="1:31" s="11" customFormat="1" ht="21" customHeight="1">
      <c r="A77" s="37"/>
      <c r="B77" s="38"/>
      <c r="C77" s="38"/>
      <c r="D77" s="435"/>
      <c r="E77" s="436"/>
      <c r="F77" s="436"/>
      <c r="G77" s="436"/>
      <c r="H77" s="436"/>
      <c r="I77" s="436"/>
      <c r="J77" s="436"/>
      <c r="K77" s="436"/>
      <c r="L77" s="436"/>
      <c r="M77" s="97"/>
      <c r="N77" s="60"/>
      <c r="O77" s="458" t="s">
        <v>441</v>
      </c>
      <c r="P77" s="458"/>
      <c r="Q77" s="458"/>
      <c r="R77" s="458"/>
      <c r="S77" s="457"/>
      <c r="T77" s="465"/>
      <c r="U77" s="465"/>
      <c r="V77" s="457">
        <v>31000</v>
      </c>
      <c r="W77" s="457" t="s">
        <v>25</v>
      </c>
      <c r="X77" s="457" t="s">
        <v>26</v>
      </c>
      <c r="Y77" s="457">
        <v>11</v>
      </c>
      <c r="Z77" s="457" t="s">
        <v>29</v>
      </c>
      <c r="AA77" s="457" t="s">
        <v>27</v>
      </c>
      <c r="AB77" s="457" t="s">
        <v>442</v>
      </c>
      <c r="AC77" s="457"/>
      <c r="AD77" s="457">
        <f>V77*Y77</f>
        <v>341000</v>
      </c>
      <c r="AE77" s="466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58"/>
      <c r="P78" s="458"/>
      <c r="Q78" s="458"/>
      <c r="R78" s="458"/>
      <c r="S78" s="457"/>
      <c r="T78" s="465"/>
      <c r="U78" s="465"/>
      <c r="V78" s="457">
        <v>31000</v>
      </c>
      <c r="W78" s="457" t="s">
        <v>25</v>
      </c>
      <c r="X78" s="457" t="s">
        <v>26</v>
      </c>
      <c r="Y78" s="457">
        <v>1</v>
      </c>
      <c r="Z78" s="457" t="s">
        <v>29</v>
      </c>
      <c r="AA78" s="457" t="s">
        <v>27</v>
      </c>
      <c r="AB78" s="457" t="s">
        <v>380</v>
      </c>
      <c r="AC78" s="457"/>
      <c r="AD78" s="457">
        <f>V78*Y78</f>
        <v>31000</v>
      </c>
      <c r="AE78" s="466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58" t="s">
        <v>510</v>
      </c>
      <c r="P79" s="458"/>
      <c r="Q79" s="458"/>
      <c r="R79" s="458"/>
      <c r="S79" s="457"/>
      <c r="T79" s="465"/>
      <c r="U79" s="465"/>
      <c r="V79" s="457">
        <v>20000</v>
      </c>
      <c r="W79" s="457" t="s">
        <v>25</v>
      </c>
      <c r="X79" s="457" t="s">
        <v>26</v>
      </c>
      <c r="Y79" s="457">
        <v>12</v>
      </c>
      <c r="Z79" s="457" t="s">
        <v>29</v>
      </c>
      <c r="AA79" s="457" t="s">
        <v>27</v>
      </c>
      <c r="AB79" s="457" t="s">
        <v>380</v>
      </c>
      <c r="AC79" s="457"/>
      <c r="AD79" s="457">
        <f>V79*Y79</f>
        <v>240000</v>
      </c>
      <c r="AE79" s="466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3" t="s">
        <v>444</v>
      </c>
      <c r="P80" s="423"/>
      <c r="Q80" s="423"/>
      <c r="R80" s="423"/>
      <c r="S80" s="422"/>
      <c r="T80" s="291"/>
      <c r="U80" s="291"/>
      <c r="V80" s="303">
        <v>55000</v>
      </c>
      <c r="W80" s="304" t="s">
        <v>335</v>
      </c>
      <c r="X80" s="304" t="s">
        <v>26</v>
      </c>
      <c r="Y80" s="303">
        <v>4</v>
      </c>
      <c r="Z80" s="305" t="s">
        <v>374</v>
      </c>
      <c r="AA80" s="303" t="s">
        <v>27</v>
      </c>
      <c r="AB80" s="457" t="s">
        <v>380</v>
      </c>
      <c r="AC80" s="422"/>
      <c r="AD80" s="422">
        <f>V80*Y80</f>
        <v>220000</v>
      </c>
      <c r="AE80" s="122" t="s">
        <v>335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58" t="s">
        <v>445</v>
      </c>
      <c r="P81" s="458"/>
      <c r="Q81" s="458"/>
      <c r="R81" s="458"/>
      <c r="S81" s="457"/>
      <c r="T81" s="465"/>
      <c r="U81" s="465"/>
      <c r="V81" s="457"/>
      <c r="W81" s="457"/>
      <c r="X81" s="457"/>
      <c r="Y81" s="457"/>
      <c r="Z81" s="457"/>
      <c r="AA81" s="457"/>
      <c r="AB81" s="457" t="s">
        <v>433</v>
      </c>
      <c r="AC81" s="457"/>
      <c r="AD81" s="457">
        <v>400000</v>
      </c>
      <c r="AE81" s="466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58" t="s">
        <v>446</v>
      </c>
      <c r="P82" s="458"/>
      <c r="Q82" s="458"/>
      <c r="R82" s="458"/>
      <c r="S82" s="457"/>
      <c r="T82" s="465"/>
      <c r="U82" s="465"/>
      <c r="V82" s="457"/>
      <c r="W82" s="457"/>
      <c r="X82" s="457"/>
      <c r="Y82" s="457"/>
      <c r="Z82" s="457"/>
      <c r="AA82" s="457"/>
      <c r="AB82" s="457" t="s">
        <v>433</v>
      </c>
      <c r="AC82" s="457"/>
      <c r="AD82" s="457">
        <v>300000</v>
      </c>
      <c r="AE82" s="466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58" t="s">
        <v>447</v>
      </c>
      <c r="P83" s="458"/>
      <c r="Q83" s="458"/>
      <c r="R83" s="458"/>
      <c r="S83" s="457"/>
      <c r="T83" s="465"/>
      <c r="U83" s="465"/>
      <c r="V83" s="467"/>
      <c r="W83" s="468"/>
      <c r="X83" s="468"/>
      <c r="Y83" s="467"/>
      <c r="Z83" s="469"/>
      <c r="AA83" s="467"/>
      <c r="AB83" s="457" t="s">
        <v>433</v>
      </c>
      <c r="AC83" s="457"/>
      <c r="AD83" s="535">
        <v>558000</v>
      </c>
      <c r="AE83" s="466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39"/>
      <c r="P84" s="439"/>
      <c r="Q84" s="439"/>
      <c r="R84" s="439"/>
      <c r="S84" s="439"/>
      <c r="T84" s="439"/>
      <c r="U84" s="439"/>
      <c r="V84" s="439"/>
      <c r="W84" s="439"/>
      <c r="X84" s="439"/>
      <c r="Y84" s="439"/>
      <c r="Z84" s="439"/>
      <c r="AA84" s="439"/>
      <c r="AB84" s="439"/>
      <c r="AC84" s="439"/>
      <c r="AD84" s="440"/>
      <c r="AE84" s="441"/>
    </row>
    <row r="85" spans="1:31" s="11" customFormat="1" ht="21" customHeight="1">
      <c r="A85" s="37"/>
      <c r="B85" s="38"/>
      <c r="C85" s="38" t="s">
        <v>39</v>
      </c>
      <c r="D85" s="133">
        <v>5961</v>
      </c>
      <c r="E85" s="97">
        <f>ROUND(AD85/1000,0)</f>
        <v>5961</v>
      </c>
      <c r="F85" s="103">
        <f>SUMIF($AB$86:$AB$92,"보조",$AD$86:$AD$92)/1000</f>
        <v>3705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1233</v>
      </c>
      <c r="K85" s="103">
        <f>SUMIF($AB$86:$AB$92,"법인",$AD$86:$AD$92)/1000</f>
        <v>2</v>
      </c>
      <c r="L85" s="103">
        <f>SUMIF($AB$86:$AB$92,"잡수",$AD$86:$AD$92)/1000</f>
        <v>1021</v>
      </c>
      <c r="M85" s="411">
        <f>E85-D85</f>
        <v>0</v>
      </c>
      <c r="N85" s="60">
        <f>IF(D85=0,0,M85/D85)</f>
        <v>0</v>
      </c>
      <c r="O85" s="331" t="s">
        <v>43</v>
      </c>
      <c r="P85" s="332"/>
      <c r="Q85" s="332"/>
      <c r="R85" s="332"/>
      <c r="S85" s="332"/>
      <c r="T85" s="333"/>
      <c r="U85" s="333"/>
      <c r="V85" s="333"/>
      <c r="W85" s="333"/>
      <c r="X85" s="333"/>
      <c r="Y85" s="334" t="s">
        <v>370</v>
      </c>
      <c r="Z85" s="334"/>
      <c r="AA85" s="334"/>
      <c r="AB85" s="334"/>
      <c r="AC85" s="335"/>
      <c r="AD85" s="335">
        <f>ROUND(SUM(AD86:AD92),-3)</f>
        <v>5961000</v>
      </c>
      <c r="AE85" s="336" t="s">
        <v>25</v>
      </c>
    </row>
    <row r="86" spans="1:31" s="11" customFormat="1" ht="21" customHeight="1">
      <c r="A86" s="37"/>
      <c r="B86" s="38"/>
      <c r="C86" s="38"/>
      <c r="D86" s="433"/>
      <c r="E86" s="434"/>
      <c r="F86" s="434"/>
      <c r="G86" s="434"/>
      <c r="H86" s="434"/>
      <c r="I86" s="434"/>
      <c r="J86" s="434"/>
      <c r="K86" s="434"/>
      <c r="L86" s="434"/>
      <c r="M86" s="97"/>
      <c r="N86" s="60"/>
      <c r="O86" s="470" t="s">
        <v>448</v>
      </c>
      <c r="P86" s="458"/>
      <c r="Q86" s="458"/>
      <c r="R86" s="458"/>
      <c r="S86" s="457">
        <v>53800</v>
      </c>
      <c r="T86" s="468" t="s">
        <v>25</v>
      </c>
      <c r="U86" s="468" t="s">
        <v>26</v>
      </c>
      <c r="V86" s="467">
        <v>10</v>
      </c>
      <c r="W86" s="469" t="s">
        <v>29</v>
      </c>
      <c r="X86" s="467" t="s">
        <v>27</v>
      </c>
      <c r="Y86" s="457"/>
      <c r="Z86" s="457"/>
      <c r="AA86" s="457"/>
      <c r="AB86" s="457" t="s">
        <v>442</v>
      </c>
      <c r="AC86" s="457"/>
      <c r="AD86" s="535">
        <f>S86*V86</f>
        <v>538000</v>
      </c>
      <c r="AE86" s="466" t="s">
        <v>25</v>
      </c>
    </row>
    <row r="87" spans="1:31" s="11" customFormat="1" ht="21" customHeight="1">
      <c r="A87" s="37"/>
      <c r="B87" s="38"/>
      <c r="C87" s="38"/>
      <c r="D87" s="435"/>
      <c r="E87" s="436"/>
      <c r="F87" s="436"/>
      <c r="G87" s="436"/>
      <c r="H87" s="436"/>
      <c r="I87" s="436"/>
      <c r="J87" s="436"/>
      <c r="K87" s="436"/>
      <c r="L87" s="436"/>
      <c r="M87" s="97"/>
      <c r="N87" s="60"/>
      <c r="O87" s="458"/>
      <c r="P87" s="458"/>
      <c r="Q87" s="458"/>
      <c r="R87" s="458"/>
      <c r="S87" s="457">
        <v>35000</v>
      </c>
      <c r="T87" s="468" t="s">
        <v>25</v>
      </c>
      <c r="U87" s="468" t="s">
        <v>26</v>
      </c>
      <c r="V87" s="467">
        <v>2</v>
      </c>
      <c r="W87" s="469" t="s">
        <v>29</v>
      </c>
      <c r="X87" s="467" t="s">
        <v>27</v>
      </c>
      <c r="Y87" s="457"/>
      <c r="Z87" s="457"/>
      <c r="AA87" s="457"/>
      <c r="AB87" s="457" t="s">
        <v>385</v>
      </c>
      <c r="AC87" s="457"/>
      <c r="AD87" s="535">
        <f>S87*V87</f>
        <v>70000</v>
      </c>
      <c r="AE87" s="466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58" t="s">
        <v>449</v>
      </c>
      <c r="P88" s="458"/>
      <c r="Q88" s="458"/>
      <c r="R88" s="458"/>
      <c r="S88" s="457">
        <v>316700</v>
      </c>
      <c r="T88" s="465" t="s">
        <v>25</v>
      </c>
      <c r="U88" s="465" t="s">
        <v>26</v>
      </c>
      <c r="V88" s="457">
        <v>10</v>
      </c>
      <c r="W88" s="458" t="s">
        <v>29</v>
      </c>
      <c r="X88" s="457" t="s">
        <v>27</v>
      </c>
      <c r="Y88" s="457"/>
      <c r="Z88" s="457"/>
      <c r="AA88" s="457"/>
      <c r="AB88" s="457" t="s">
        <v>442</v>
      </c>
      <c r="AC88" s="457"/>
      <c r="AD88" s="535">
        <f>S88*V88</f>
        <v>3167000</v>
      </c>
      <c r="AE88" s="466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58"/>
      <c r="P89" s="458"/>
      <c r="Q89" s="458"/>
      <c r="R89" s="458"/>
      <c r="S89" s="457">
        <v>411000</v>
      </c>
      <c r="T89" s="465" t="s">
        <v>25</v>
      </c>
      <c r="U89" s="465" t="s">
        <v>26</v>
      </c>
      <c r="V89" s="457">
        <v>3</v>
      </c>
      <c r="W89" s="458" t="s">
        <v>29</v>
      </c>
      <c r="X89" s="457" t="s">
        <v>27</v>
      </c>
      <c r="Y89" s="457"/>
      <c r="Z89" s="457"/>
      <c r="AA89" s="457"/>
      <c r="AB89" s="457" t="s">
        <v>509</v>
      </c>
      <c r="AC89" s="457"/>
      <c r="AD89" s="535">
        <f>S89*V89</f>
        <v>1233000</v>
      </c>
      <c r="AE89" s="466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58"/>
      <c r="P90" s="458"/>
      <c r="Q90" s="458"/>
      <c r="R90" s="458"/>
      <c r="S90" s="457">
        <v>658000</v>
      </c>
      <c r="T90" s="465" t="s">
        <v>25</v>
      </c>
      <c r="U90" s="465" t="s">
        <v>26</v>
      </c>
      <c r="V90" s="457">
        <v>1</v>
      </c>
      <c r="W90" s="458" t="s">
        <v>29</v>
      </c>
      <c r="X90" s="457" t="s">
        <v>27</v>
      </c>
      <c r="Y90" s="457"/>
      <c r="Z90" s="457"/>
      <c r="AA90" s="457"/>
      <c r="AB90" s="457" t="s">
        <v>450</v>
      </c>
      <c r="AC90" s="457"/>
      <c r="AD90" s="535">
        <v>658000</v>
      </c>
      <c r="AE90" s="466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58" t="s">
        <v>451</v>
      </c>
      <c r="P91" s="458"/>
      <c r="Q91" s="458"/>
      <c r="R91" s="458"/>
      <c r="S91" s="457"/>
      <c r="T91" s="465"/>
      <c r="V91" s="457"/>
      <c r="W91" s="458"/>
      <c r="X91" s="457"/>
      <c r="Y91" s="457"/>
      <c r="Z91" s="457"/>
      <c r="AA91" s="457"/>
      <c r="AB91" s="457" t="s">
        <v>385</v>
      </c>
      <c r="AC91" s="457"/>
      <c r="AD91" s="535">
        <v>293000</v>
      </c>
      <c r="AE91" s="466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58"/>
      <c r="P92" s="458"/>
      <c r="Q92" s="458"/>
      <c r="R92" s="458"/>
      <c r="S92" s="457"/>
      <c r="T92" s="465"/>
      <c r="V92" s="457"/>
      <c r="W92" s="458"/>
      <c r="X92" s="457"/>
      <c r="Y92" s="457"/>
      <c r="Z92" s="457"/>
      <c r="AA92" s="457"/>
      <c r="AB92" s="457" t="s">
        <v>165</v>
      </c>
      <c r="AC92" s="457"/>
      <c r="AD92" s="535">
        <v>2000</v>
      </c>
      <c r="AE92" s="466" t="s">
        <v>25</v>
      </c>
    </row>
    <row r="93" spans="1:31" ht="21" customHeight="1">
      <c r="A93" s="37"/>
      <c r="B93" s="38"/>
      <c r="C93" s="28" t="s">
        <v>15</v>
      </c>
      <c r="D93" s="135">
        <v>520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0</v>
      </c>
      <c r="N93" s="109">
        <f>IF(D93=0,0,M93/D93)</f>
        <v>0</v>
      </c>
      <c r="O93" s="337" t="s">
        <v>44</v>
      </c>
      <c r="P93" s="338"/>
      <c r="Q93" s="338"/>
      <c r="R93" s="338"/>
      <c r="S93" s="338"/>
      <c r="T93" s="339"/>
      <c r="U93" s="339"/>
      <c r="V93" s="339"/>
      <c r="W93" s="339"/>
      <c r="X93" s="339"/>
      <c r="Y93" s="334" t="s">
        <v>370</v>
      </c>
      <c r="Z93" s="334"/>
      <c r="AA93" s="334"/>
      <c r="AB93" s="334"/>
      <c r="AC93" s="335"/>
      <c r="AD93" s="335">
        <f>SUM(AD94:AD98)</f>
        <v>520000</v>
      </c>
      <c r="AE93" s="336" t="s">
        <v>25</v>
      </c>
    </row>
    <row r="94" spans="1:31" s="11" customFormat="1" ht="21" customHeight="1">
      <c r="A94" s="37"/>
      <c r="B94" s="38"/>
      <c r="C94" s="38"/>
      <c r="D94" s="433"/>
      <c r="E94" s="434"/>
      <c r="F94" s="434"/>
      <c r="G94" s="434"/>
      <c r="H94" s="434"/>
      <c r="I94" s="434"/>
      <c r="J94" s="434"/>
      <c r="K94" s="434"/>
      <c r="L94" s="434"/>
      <c r="M94" s="97"/>
      <c r="N94" s="60"/>
      <c r="O94" s="458" t="s">
        <v>452</v>
      </c>
      <c r="P94" s="471"/>
      <c r="Q94" s="471"/>
      <c r="R94" s="471"/>
      <c r="S94" s="457">
        <v>20000</v>
      </c>
      <c r="T94" s="465" t="s">
        <v>25</v>
      </c>
      <c r="U94" s="465" t="s">
        <v>26</v>
      </c>
      <c r="V94" s="457">
        <v>1</v>
      </c>
      <c r="W94" s="458" t="s">
        <v>500</v>
      </c>
      <c r="X94" s="462"/>
      <c r="Y94" s="473"/>
      <c r="Z94" s="457"/>
      <c r="AA94" s="457" t="s">
        <v>27</v>
      </c>
      <c r="AB94" s="457" t="s">
        <v>433</v>
      </c>
      <c r="AC94" s="457"/>
      <c r="AD94" s="457">
        <f>S94*V94</f>
        <v>20000</v>
      </c>
      <c r="AE94" s="466" t="s">
        <v>25</v>
      </c>
    </row>
    <row r="95" spans="1:31" s="11" customFormat="1" ht="21" customHeight="1">
      <c r="A95" s="37"/>
      <c r="B95" s="38"/>
      <c r="C95" s="38"/>
      <c r="D95" s="435"/>
      <c r="E95" s="436"/>
      <c r="F95" s="436"/>
      <c r="G95" s="436"/>
      <c r="H95" s="436"/>
      <c r="I95" s="436"/>
      <c r="J95" s="436"/>
      <c r="K95" s="436"/>
      <c r="L95" s="436"/>
      <c r="M95" s="97"/>
      <c r="N95" s="60"/>
      <c r="O95" s="458" t="s">
        <v>454</v>
      </c>
      <c r="P95" s="471"/>
      <c r="Q95" s="471"/>
      <c r="R95" s="471"/>
      <c r="S95" s="457">
        <v>600000</v>
      </c>
      <c r="T95" s="465" t="s">
        <v>25</v>
      </c>
      <c r="U95" s="465" t="s">
        <v>26</v>
      </c>
      <c r="V95" s="457">
        <v>1</v>
      </c>
      <c r="W95" s="458" t="s">
        <v>453</v>
      </c>
      <c r="X95" s="462" t="s">
        <v>105</v>
      </c>
      <c r="Y95" s="473">
        <v>3</v>
      </c>
      <c r="Z95" s="457"/>
      <c r="AA95" s="457" t="s">
        <v>27</v>
      </c>
      <c r="AB95" s="457" t="s">
        <v>433</v>
      </c>
      <c r="AC95" s="457"/>
      <c r="AD95" s="457">
        <f>ROUNDDOWN(S95*V95/Y95,-4)</f>
        <v>200000</v>
      </c>
      <c r="AE95" s="466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58" t="s">
        <v>455</v>
      </c>
      <c r="P96" s="471"/>
      <c r="Q96" s="471"/>
      <c r="R96" s="471"/>
      <c r="S96" s="457">
        <v>200000</v>
      </c>
      <c r="T96" s="465" t="s">
        <v>25</v>
      </c>
      <c r="U96" s="465" t="s">
        <v>26</v>
      </c>
      <c r="V96" s="457">
        <v>1</v>
      </c>
      <c r="W96" s="458" t="s">
        <v>453</v>
      </c>
      <c r="X96" s="462"/>
      <c r="Y96" s="473"/>
      <c r="Z96" s="457"/>
      <c r="AA96" s="457" t="s">
        <v>27</v>
      </c>
      <c r="AB96" s="457" t="s">
        <v>433</v>
      </c>
      <c r="AC96" s="457"/>
      <c r="AD96" s="457">
        <f>S96*V96</f>
        <v>200000</v>
      </c>
      <c r="AE96" s="466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58" t="s">
        <v>456</v>
      </c>
      <c r="P97" s="471"/>
      <c r="Q97" s="471"/>
      <c r="R97" s="471"/>
      <c r="S97" s="458"/>
      <c r="T97" s="431"/>
      <c r="U97" s="472"/>
      <c r="V97" s="467"/>
      <c r="W97" s="468"/>
      <c r="X97" s="468"/>
      <c r="Y97" s="467"/>
      <c r="Z97" s="469"/>
      <c r="AA97" s="467" t="s">
        <v>27</v>
      </c>
      <c r="AB97" s="457" t="s">
        <v>380</v>
      </c>
      <c r="AC97" s="457"/>
      <c r="AD97" s="457">
        <v>100000</v>
      </c>
      <c r="AE97" s="466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1"/>
      <c r="Q98" s="421"/>
      <c r="R98" s="421"/>
      <c r="S98" s="421"/>
      <c r="T98" s="274"/>
      <c r="U98" s="340"/>
      <c r="V98" s="273"/>
      <c r="W98" s="330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0</v>
      </c>
      <c r="N99" s="109">
        <f>IF(D99=0,0,M99/D99)</f>
        <v>0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19" t="s">
        <v>370</v>
      </c>
      <c r="Z99" s="419"/>
      <c r="AA99" s="419"/>
      <c r="AB99" s="300"/>
      <c r="AC99" s="301"/>
      <c r="AD99" s="301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33"/>
      <c r="E100" s="434"/>
      <c r="F100" s="434"/>
      <c r="G100" s="434"/>
      <c r="H100" s="434"/>
      <c r="I100" s="434"/>
      <c r="J100" s="434"/>
      <c r="K100" s="434"/>
      <c r="L100" s="434"/>
      <c r="M100" s="97"/>
      <c r="N100" s="60"/>
      <c r="O100" s="458" t="s">
        <v>457</v>
      </c>
      <c r="P100" s="458"/>
      <c r="Q100" s="458"/>
      <c r="R100" s="458"/>
      <c r="S100" s="457">
        <v>40000</v>
      </c>
      <c r="T100" s="465" t="s">
        <v>25</v>
      </c>
      <c r="U100" s="465" t="s">
        <v>26</v>
      </c>
      <c r="V100" s="457">
        <v>12</v>
      </c>
      <c r="W100" s="458" t="s">
        <v>29</v>
      </c>
      <c r="X100" s="457" t="s">
        <v>27</v>
      </c>
      <c r="Y100" s="457"/>
      <c r="Z100" s="457"/>
      <c r="AA100" s="457"/>
      <c r="AB100" s="457" t="s">
        <v>433</v>
      </c>
      <c r="AC100" s="457"/>
      <c r="AD100" s="457">
        <f>S100*V100</f>
        <v>480000</v>
      </c>
      <c r="AE100" s="466" t="s">
        <v>25</v>
      </c>
    </row>
    <row r="101" spans="1:31" s="11" customFormat="1" ht="21" customHeight="1">
      <c r="A101" s="37"/>
      <c r="B101" s="38"/>
      <c r="C101" s="38"/>
      <c r="D101" s="435"/>
      <c r="E101" s="436"/>
      <c r="F101" s="436"/>
      <c r="G101" s="436"/>
      <c r="H101" s="436"/>
      <c r="I101" s="436"/>
      <c r="J101" s="436"/>
      <c r="K101" s="436"/>
      <c r="L101" s="436"/>
      <c r="M101" s="97"/>
      <c r="N101" s="60"/>
      <c r="O101" s="458" t="s">
        <v>458</v>
      </c>
      <c r="P101" s="458"/>
      <c r="Q101" s="458"/>
      <c r="R101" s="458"/>
      <c r="S101" s="457"/>
      <c r="T101" s="465"/>
      <c r="U101" s="465"/>
      <c r="V101" s="457"/>
      <c r="W101" s="458"/>
      <c r="X101" s="457"/>
      <c r="Y101" s="457"/>
      <c r="Z101" s="457"/>
      <c r="AA101" s="457"/>
      <c r="AB101" s="457" t="s">
        <v>433</v>
      </c>
      <c r="AC101" s="457"/>
      <c r="AD101" s="457">
        <v>200000</v>
      </c>
      <c r="AE101" s="466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18"/>
      <c r="P102" s="418"/>
      <c r="Q102" s="418"/>
      <c r="R102" s="418"/>
      <c r="S102" s="417"/>
      <c r="T102" s="392"/>
      <c r="U102" s="417"/>
      <c r="V102" s="588"/>
      <c r="W102" s="589"/>
      <c r="X102" s="417"/>
      <c r="Y102" s="417"/>
      <c r="Z102" s="417"/>
      <c r="AA102" s="417"/>
      <c r="AB102" s="417"/>
      <c r="AC102" s="417"/>
      <c r="AD102" s="417"/>
      <c r="AE102" s="393"/>
    </row>
    <row r="103" spans="1:31" s="11" customFormat="1" ht="21" customHeight="1">
      <c r="A103" s="37"/>
      <c r="B103" s="38"/>
      <c r="C103" s="28" t="s">
        <v>381</v>
      </c>
      <c r="D103" s="115">
        <v>2340</v>
      </c>
      <c r="E103" s="102">
        <f>ROUND(AD103/1000,0)</f>
        <v>2340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660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0</v>
      </c>
      <c r="N103" s="109">
        <f>IF(D103=0,0,M103/D103)</f>
        <v>0</v>
      </c>
      <c r="O103" s="105" t="s">
        <v>382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19" t="s">
        <v>383</v>
      </c>
      <c r="Z103" s="419"/>
      <c r="AA103" s="419"/>
      <c r="AB103" s="419"/>
      <c r="AC103" s="147"/>
      <c r="AD103" s="147">
        <f>SUM(AD104,AD106)</f>
        <v>2340000</v>
      </c>
      <c r="AE103" s="146" t="s">
        <v>25</v>
      </c>
    </row>
    <row r="104" spans="1:31" s="11" customFormat="1" ht="21" customHeight="1">
      <c r="A104" s="37"/>
      <c r="B104" s="38"/>
      <c r="C104" s="38"/>
      <c r="D104" s="433"/>
      <c r="E104" s="434"/>
      <c r="F104" s="434"/>
      <c r="G104" s="434"/>
      <c r="H104" s="434"/>
      <c r="I104" s="434"/>
      <c r="J104" s="434"/>
      <c r="K104" s="434"/>
      <c r="L104" s="434"/>
      <c r="M104" s="97"/>
      <c r="N104" s="60"/>
      <c r="O104" s="458" t="s">
        <v>459</v>
      </c>
      <c r="P104" s="474"/>
      <c r="Q104" s="474"/>
      <c r="R104" s="474"/>
      <c r="S104" s="474"/>
      <c r="T104" s="475"/>
      <c r="U104" s="475"/>
      <c r="V104" s="475"/>
      <c r="W104" s="475"/>
      <c r="X104" s="475"/>
      <c r="Y104" s="476" t="s">
        <v>370</v>
      </c>
      <c r="Z104" s="476"/>
      <c r="AA104" s="476"/>
      <c r="AB104" s="476"/>
      <c r="AC104" s="477"/>
      <c r="AD104" s="477">
        <f>AD105</f>
        <v>200000</v>
      </c>
      <c r="AE104" s="478" t="s">
        <v>56</v>
      </c>
    </row>
    <row r="105" spans="1:31" s="11" customFormat="1" ht="20.25" customHeight="1">
      <c r="A105" s="37"/>
      <c r="B105" s="38"/>
      <c r="C105" s="38"/>
      <c r="D105" s="433"/>
      <c r="E105" s="434"/>
      <c r="F105" s="434"/>
      <c r="G105" s="436"/>
      <c r="H105" s="434"/>
      <c r="I105" s="434"/>
      <c r="J105" s="436"/>
      <c r="K105" s="434"/>
      <c r="L105" s="434"/>
      <c r="M105" s="97"/>
      <c r="N105" s="60"/>
      <c r="O105" s="458" t="s">
        <v>503</v>
      </c>
      <c r="P105" s="458"/>
      <c r="Q105" s="458"/>
      <c r="R105" s="458"/>
      <c r="S105" s="457">
        <v>50000</v>
      </c>
      <c r="T105" s="457" t="s">
        <v>25</v>
      </c>
      <c r="U105" s="479" t="s">
        <v>26</v>
      </c>
      <c r="V105" s="457">
        <v>4</v>
      </c>
      <c r="W105" s="457" t="s">
        <v>453</v>
      </c>
      <c r="X105" s="479"/>
      <c r="Y105" s="457"/>
      <c r="Z105" s="457"/>
      <c r="AA105" s="457" t="s">
        <v>27</v>
      </c>
      <c r="AB105" s="457" t="s">
        <v>433</v>
      </c>
      <c r="AC105" s="431"/>
      <c r="AD105" s="538">
        <f>S105*V105</f>
        <v>200000</v>
      </c>
      <c r="AE105" s="466" t="s">
        <v>25</v>
      </c>
    </row>
    <row r="106" spans="1:31" s="11" customFormat="1" ht="20.25" customHeight="1">
      <c r="A106" s="37"/>
      <c r="B106" s="38"/>
      <c r="C106" s="38"/>
      <c r="D106" s="435"/>
      <c r="E106" s="436"/>
      <c r="F106" s="436"/>
      <c r="G106" s="436"/>
      <c r="H106" s="436"/>
      <c r="I106" s="436"/>
      <c r="J106" s="436"/>
      <c r="K106" s="436"/>
      <c r="L106" s="436"/>
      <c r="M106" s="97"/>
      <c r="N106" s="60"/>
      <c r="O106" s="483" t="s">
        <v>460</v>
      </c>
      <c r="P106" s="458"/>
      <c r="Q106" s="458"/>
      <c r="R106" s="458"/>
      <c r="S106" s="457"/>
      <c r="T106" s="457"/>
      <c r="U106" s="479"/>
      <c r="V106" s="457"/>
      <c r="W106" s="457"/>
      <c r="X106" s="479"/>
      <c r="Y106" s="480" t="s">
        <v>370</v>
      </c>
      <c r="Z106" s="480"/>
      <c r="AA106" s="480"/>
      <c r="AB106" s="480"/>
      <c r="AC106" s="481"/>
      <c r="AD106" s="540">
        <f>SUM(AD107:AD108)</f>
        <v>2140000</v>
      </c>
      <c r="AE106" s="482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58" t="s">
        <v>461</v>
      </c>
      <c r="P107" s="458"/>
      <c r="Q107" s="458"/>
      <c r="R107" s="458"/>
      <c r="S107" s="457">
        <v>140000</v>
      </c>
      <c r="T107" s="457" t="s">
        <v>25</v>
      </c>
      <c r="U107" s="479" t="s">
        <v>26</v>
      </c>
      <c r="V107" s="457">
        <v>12</v>
      </c>
      <c r="W107" s="457" t="s">
        <v>453</v>
      </c>
      <c r="X107" s="479"/>
      <c r="Y107" s="457"/>
      <c r="Z107" s="457"/>
      <c r="AA107" s="457" t="s">
        <v>27</v>
      </c>
      <c r="AB107" s="457" t="s">
        <v>385</v>
      </c>
      <c r="AC107" s="431"/>
      <c r="AD107" s="538">
        <f>S107*V107</f>
        <v>1680000</v>
      </c>
      <c r="AE107" s="466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64" t="s">
        <v>502</v>
      </c>
      <c r="P108" s="463"/>
      <c r="Q108" s="464"/>
      <c r="R108" s="464"/>
      <c r="S108" s="289"/>
      <c r="T108" s="44"/>
      <c r="U108" s="235"/>
      <c r="V108" s="289"/>
      <c r="W108" s="64"/>
      <c r="X108" s="64"/>
      <c r="Y108" s="67"/>
      <c r="Z108" s="65"/>
      <c r="AA108" s="516"/>
      <c r="AB108" s="289" t="s">
        <v>380</v>
      </c>
      <c r="AC108" s="58"/>
      <c r="AD108" s="121">
        <v>460000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49"/>
      <c r="P109" s="349"/>
      <c r="Q109" s="349"/>
      <c r="R109" s="349"/>
      <c r="S109" s="348"/>
      <c r="T109" s="349"/>
      <c r="U109" s="348"/>
      <c r="V109" s="117"/>
      <c r="W109" s="117"/>
      <c r="X109" s="348"/>
      <c r="Y109" s="348"/>
      <c r="Z109" s="348"/>
      <c r="AA109" s="348"/>
      <c r="AB109" s="348"/>
      <c r="AC109" s="348"/>
      <c r="AD109" s="348"/>
      <c r="AE109" s="63"/>
    </row>
    <row r="110" spans="1:31" s="11" customFormat="1" ht="21" customHeight="1">
      <c r="A110" s="101" t="s">
        <v>47</v>
      </c>
      <c r="B110" s="607" t="s">
        <v>20</v>
      </c>
      <c r="C110" s="607"/>
      <c r="D110" s="158">
        <f>D111</f>
        <v>4167</v>
      </c>
      <c r="E110" s="158">
        <f>E111</f>
        <v>4167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0</v>
      </c>
      <c r="I110" s="158">
        <f t="shared" si="5"/>
        <v>610</v>
      </c>
      <c r="J110" s="158">
        <f t="shared" si="5"/>
        <v>3557</v>
      </c>
      <c r="K110" s="158">
        <f t="shared" si="5"/>
        <v>0</v>
      </c>
      <c r="L110" s="158">
        <f t="shared" si="5"/>
        <v>0</v>
      </c>
      <c r="M110" s="442">
        <f>E110-D110</f>
        <v>0</v>
      </c>
      <c r="N110" s="141">
        <f>IF(D110=0,0,M110/D110)</f>
        <v>0</v>
      </c>
      <c r="O110" s="151" t="s">
        <v>386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4167000</v>
      </c>
      <c r="AE110" s="26" t="s">
        <v>25</v>
      </c>
    </row>
    <row r="111" spans="1:31" s="11" customFormat="1" ht="21" customHeight="1">
      <c r="A111" s="157" t="s">
        <v>387</v>
      </c>
      <c r="B111" s="38" t="s">
        <v>17</v>
      </c>
      <c r="C111" s="38" t="s">
        <v>388</v>
      </c>
      <c r="D111" s="97">
        <f t="shared" ref="D111:L111" si="6">SUM(D112,D114,D126)</f>
        <v>4167</v>
      </c>
      <c r="E111" s="97">
        <f t="shared" si="6"/>
        <v>4167</v>
      </c>
      <c r="F111" s="97">
        <f t="shared" si="6"/>
        <v>0</v>
      </c>
      <c r="G111" s="97">
        <f t="shared" si="6"/>
        <v>0</v>
      </c>
      <c r="H111" s="97">
        <f t="shared" si="6"/>
        <v>0</v>
      </c>
      <c r="I111" s="97">
        <f t="shared" si="6"/>
        <v>610</v>
      </c>
      <c r="J111" s="97">
        <f t="shared" si="6"/>
        <v>3557</v>
      </c>
      <c r="K111" s="97">
        <f t="shared" si="6"/>
        <v>0</v>
      </c>
      <c r="L111" s="97">
        <f t="shared" si="6"/>
        <v>0</v>
      </c>
      <c r="M111" s="97">
        <f>E111-D111</f>
        <v>0</v>
      </c>
      <c r="N111" s="60">
        <f>IF(D111=0,0,M111/D111)</f>
        <v>0</v>
      </c>
      <c r="O111" s="153" t="s">
        <v>389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4167000</v>
      </c>
      <c r="AE111" s="83" t="s">
        <v>25</v>
      </c>
    </row>
    <row r="112" spans="1:31" s="11" customFormat="1" ht="21" customHeight="1">
      <c r="A112" s="37"/>
      <c r="B112" s="38"/>
      <c r="C112" s="28" t="s">
        <v>389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19" t="s">
        <v>388</v>
      </c>
      <c r="Z112" s="419"/>
      <c r="AA112" s="419"/>
      <c r="AB112" s="419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340</v>
      </c>
      <c r="AC113" s="106"/>
      <c r="AD113" s="396">
        <v>0</v>
      </c>
      <c r="AE113" s="400" t="s">
        <v>335</v>
      </c>
    </row>
    <row r="114" spans="1:31" s="11" customFormat="1" ht="21" customHeight="1">
      <c r="A114" s="37"/>
      <c r="B114" s="38"/>
      <c r="C114" s="28" t="s">
        <v>18</v>
      </c>
      <c r="D114" s="135">
        <v>3755</v>
      </c>
      <c r="E114" s="102">
        <f>ROUND(AD114/1000,0)</f>
        <v>3755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0</v>
      </c>
      <c r="I114" s="103">
        <f>SUMIF($AB$115:$AB$125,"후원",$AD$115:$AD$125)/1000</f>
        <v>610</v>
      </c>
      <c r="J114" s="103">
        <f>SUMIF($AB$115:$AB$125,"입소",$AD$115:$AD$125)/1000</f>
        <v>3145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0</v>
      </c>
      <c r="N114" s="109">
        <f>IF(D114=0,0,M114/D114)</f>
        <v>0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19" t="s">
        <v>370</v>
      </c>
      <c r="Z114" s="419"/>
      <c r="AA114" s="419"/>
      <c r="AB114" s="419"/>
      <c r="AC114" s="147"/>
      <c r="AD114" s="301">
        <f>SUM(AD115:AD125)</f>
        <v>3755000</v>
      </c>
      <c r="AE114" s="146" t="s">
        <v>25</v>
      </c>
    </row>
    <row r="115" spans="1:31" s="11" customFormat="1" ht="21" customHeight="1">
      <c r="A115" s="37"/>
      <c r="B115" s="38"/>
      <c r="C115" s="38"/>
      <c r="D115" s="433"/>
      <c r="E115" s="434"/>
      <c r="F115" s="434"/>
      <c r="G115" s="434"/>
      <c r="H115" s="434"/>
      <c r="I115" s="434"/>
      <c r="J115" s="434"/>
      <c r="K115" s="434"/>
      <c r="L115" s="434"/>
      <c r="M115" s="97"/>
      <c r="N115" s="60"/>
      <c r="O115" s="612" t="s">
        <v>491</v>
      </c>
      <c r="P115" s="613"/>
      <c r="Q115" s="613"/>
      <c r="R115" s="613"/>
      <c r="S115" s="457"/>
      <c r="T115" s="465"/>
      <c r="U115" s="465"/>
      <c r="V115" s="457"/>
      <c r="W115" s="458"/>
      <c r="X115" s="457"/>
      <c r="Y115" s="457"/>
      <c r="Z115" s="457"/>
      <c r="AA115" s="457"/>
      <c r="AB115" s="457" t="s">
        <v>464</v>
      </c>
      <c r="AC115" s="457"/>
      <c r="AD115" s="535">
        <v>0</v>
      </c>
      <c r="AE115" s="466" t="s">
        <v>25</v>
      </c>
    </row>
    <row r="116" spans="1:31" s="11" customFormat="1" ht="21" customHeight="1">
      <c r="A116" s="37"/>
      <c r="B116" s="38"/>
      <c r="C116" s="38"/>
      <c r="D116" s="435"/>
      <c r="E116" s="436"/>
      <c r="F116" s="436"/>
      <c r="G116" s="436"/>
      <c r="H116" s="436"/>
      <c r="I116" s="436"/>
      <c r="J116" s="436"/>
      <c r="K116" s="436"/>
      <c r="L116" s="436"/>
      <c r="M116" s="97"/>
      <c r="N116" s="60"/>
      <c r="O116" s="458" t="s">
        <v>532</v>
      </c>
      <c r="P116" s="458"/>
      <c r="Q116" s="458"/>
      <c r="R116" s="474"/>
      <c r="S116" s="474"/>
      <c r="T116" s="475"/>
      <c r="U116" s="475"/>
      <c r="V116" s="475"/>
      <c r="W116" s="475"/>
      <c r="X116" s="475"/>
      <c r="Y116" s="475"/>
      <c r="Z116" s="475"/>
      <c r="AA116" s="475"/>
      <c r="AB116" s="457" t="s">
        <v>433</v>
      </c>
      <c r="AC116" s="484"/>
      <c r="AD116" s="538">
        <v>3145000</v>
      </c>
      <c r="AE116" s="466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3" t="s">
        <v>533</v>
      </c>
      <c r="P117" s="423"/>
      <c r="Q117" s="423"/>
      <c r="R117" s="423"/>
      <c r="S117" s="422"/>
      <c r="T117" s="395"/>
      <c r="U117" s="291"/>
      <c r="V117" s="121"/>
      <c r="W117" s="121"/>
      <c r="X117" s="422"/>
      <c r="Y117" s="422"/>
      <c r="Z117" s="422"/>
      <c r="AA117" s="422"/>
      <c r="AB117" s="422" t="s">
        <v>534</v>
      </c>
      <c r="AC117" s="422"/>
      <c r="AD117" s="463">
        <v>610000</v>
      </c>
      <c r="AE117" s="122" t="s">
        <v>535</v>
      </c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3"/>
      <c r="P118" s="423"/>
      <c r="Q118" s="423"/>
      <c r="R118" s="423"/>
      <c r="S118" s="422"/>
      <c r="T118" s="291"/>
      <c r="U118" s="291"/>
      <c r="V118" s="422"/>
      <c r="W118" s="423"/>
      <c r="X118" s="422"/>
      <c r="Y118" s="422"/>
      <c r="Z118" s="422"/>
      <c r="AA118" s="422"/>
      <c r="AB118" s="422" t="s">
        <v>366</v>
      </c>
      <c r="AC118" s="422"/>
      <c r="AD118" s="422"/>
      <c r="AE118" s="122" t="s">
        <v>335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3"/>
      <c r="P119" s="423"/>
      <c r="Q119" s="423"/>
      <c r="R119" s="423"/>
      <c r="S119" s="422"/>
      <c r="T119" s="395"/>
      <c r="U119" s="291"/>
      <c r="V119" s="121"/>
      <c r="W119" s="121"/>
      <c r="X119" s="422"/>
      <c r="Y119" s="422"/>
      <c r="Z119" s="422"/>
      <c r="AA119" s="422"/>
      <c r="AB119" s="422" t="s">
        <v>366</v>
      </c>
      <c r="AC119" s="422"/>
      <c r="AD119" s="422"/>
      <c r="AE119" s="122" t="s">
        <v>335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3"/>
      <c r="P120" s="423"/>
      <c r="Q120" s="423"/>
      <c r="R120" s="423"/>
      <c r="S120" s="422"/>
      <c r="T120" s="395"/>
      <c r="U120" s="291"/>
      <c r="V120" s="121"/>
      <c r="W120" s="121"/>
      <c r="X120" s="422"/>
      <c r="Y120" s="422"/>
      <c r="Z120" s="422"/>
      <c r="AA120" s="422"/>
      <c r="AB120" s="422" t="s">
        <v>366</v>
      </c>
      <c r="AC120" s="422"/>
      <c r="AD120" s="422"/>
      <c r="AE120" s="122" t="s">
        <v>335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3"/>
      <c r="P121" s="423"/>
      <c r="Q121" s="423"/>
      <c r="R121" s="423"/>
      <c r="S121" s="422"/>
      <c r="T121" s="395"/>
      <c r="U121" s="291"/>
      <c r="V121" s="121"/>
      <c r="W121" s="121"/>
      <c r="X121" s="422"/>
      <c r="Y121" s="422"/>
      <c r="Z121" s="422"/>
      <c r="AA121" s="422"/>
      <c r="AB121" s="422" t="s">
        <v>366</v>
      </c>
      <c r="AC121" s="422"/>
      <c r="AD121" s="422"/>
      <c r="AE121" s="122" t="s">
        <v>335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3"/>
      <c r="P122" s="423"/>
      <c r="Q122" s="423"/>
      <c r="R122" s="423"/>
      <c r="S122" s="422"/>
      <c r="T122" s="395"/>
      <c r="U122" s="291"/>
      <c r="V122" s="121"/>
      <c r="W122" s="121"/>
      <c r="X122" s="422"/>
      <c r="Y122" s="422"/>
      <c r="Z122" s="422"/>
      <c r="AA122" s="422"/>
      <c r="AB122" s="422" t="s">
        <v>366</v>
      </c>
      <c r="AC122" s="422"/>
      <c r="AD122" s="422"/>
      <c r="AE122" s="122" t="s">
        <v>335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3"/>
      <c r="P123" s="423"/>
      <c r="Q123" s="423"/>
      <c r="R123" s="423"/>
      <c r="S123" s="422"/>
      <c r="T123" s="395"/>
      <c r="U123" s="291"/>
      <c r="V123" s="121"/>
      <c r="W123" s="121"/>
      <c r="X123" s="422"/>
      <c r="Y123" s="422"/>
      <c r="Z123" s="422"/>
      <c r="AA123" s="422"/>
      <c r="AB123" s="422" t="s">
        <v>366</v>
      </c>
      <c r="AC123" s="422"/>
      <c r="AD123" s="422"/>
      <c r="AE123" s="122" t="s">
        <v>335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3"/>
      <c r="P124" s="423"/>
      <c r="Q124" s="423"/>
      <c r="R124" s="423"/>
      <c r="S124" s="422"/>
      <c r="T124" s="395"/>
      <c r="U124" s="291"/>
      <c r="V124" s="121"/>
      <c r="W124" s="121"/>
      <c r="X124" s="422"/>
      <c r="Y124" s="422"/>
      <c r="Z124" s="422"/>
      <c r="AA124" s="422"/>
      <c r="AB124" s="422" t="s">
        <v>366</v>
      </c>
      <c r="AC124" s="422"/>
      <c r="AD124" s="422"/>
      <c r="AE124" s="122" t="s">
        <v>335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3"/>
      <c r="P125" s="423"/>
      <c r="Q125" s="423"/>
      <c r="R125" s="423"/>
      <c r="S125" s="422"/>
      <c r="T125" s="395"/>
      <c r="U125" s="291"/>
      <c r="V125" s="121"/>
      <c r="W125" s="121"/>
      <c r="X125" s="422"/>
      <c r="Y125" s="422"/>
      <c r="Z125" s="422"/>
      <c r="AA125" s="422"/>
      <c r="AB125" s="422" t="s">
        <v>366</v>
      </c>
      <c r="AC125" s="422"/>
      <c r="AD125" s="422"/>
      <c r="AE125" s="122" t="s">
        <v>335</v>
      </c>
    </row>
    <row r="126" spans="1:31" s="11" customFormat="1" ht="21" customHeight="1">
      <c r="A126" s="37"/>
      <c r="B126" s="38"/>
      <c r="C126" s="28" t="s">
        <v>50</v>
      </c>
      <c r="D126" s="135">
        <v>412</v>
      </c>
      <c r="E126" s="102">
        <f>ROUND(AD126/1000,0)</f>
        <v>412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412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0</v>
      </c>
      <c r="N126" s="109">
        <f>IF(D126=0,0,M126/D126)</f>
        <v>0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19" t="s">
        <v>370</v>
      </c>
      <c r="Z126" s="419"/>
      <c r="AA126" s="419"/>
      <c r="AB126" s="419"/>
      <c r="AC126" s="147"/>
      <c r="AD126" s="147">
        <f>SUM(AD127:AD131)</f>
        <v>412000</v>
      </c>
      <c r="AE126" s="146" t="s">
        <v>25</v>
      </c>
    </row>
    <row r="127" spans="1:31" s="1" customFormat="1" ht="21" customHeight="1">
      <c r="A127" s="37"/>
      <c r="B127" s="38"/>
      <c r="C127" s="38" t="s">
        <v>390</v>
      </c>
      <c r="D127" s="433"/>
      <c r="E127" s="434"/>
      <c r="F127" s="434"/>
      <c r="G127" s="434"/>
      <c r="H127" s="434"/>
      <c r="I127" s="434"/>
      <c r="J127" s="434"/>
      <c r="K127" s="434"/>
      <c r="L127" s="434"/>
      <c r="M127" s="97"/>
      <c r="N127" s="60"/>
      <c r="O127" s="458" t="s">
        <v>491</v>
      </c>
      <c r="P127" s="458"/>
      <c r="Q127" s="458"/>
      <c r="R127" s="458"/>
      <c r="S127" s="457"/>
      <c r="T127" s="465"/>
      <c r="U127" s="465"/>
      <c r="V127" s="457"/>
      <c r="W127" s="458"/>
      <c r="X127" s="457"/>
      <c r="Y127" s="457"/>
      <c r="Z127" s="457"/>
      <c r="AA127" s="457"/>
      <c r="AB127" s="457" t="s">
        <v>464</v>
      </c>
      <c r="AC127" s="457"/>
      <c r="AD127" s="457"/>
      <c r="AE127" s="466" t="s">
        <v>25</v>
      </c>
    </row>
    <row r="128" spans="1:31" s="1" customFormat="1" ht="21" customHeight="1">
      <c r="A128" s="37"/>
      <c r="B128" s="38"/>
      <c r="C128" s="38"/>
      <c r="D128" s="435"/>
      <c r="E128" s="436"/>
      <c r="F128" s="436"/>
      <c r="G128" s="436"/>
      <c r="H128" s="436"/>
      <c r="I128" s="436"/>
      <c r="J128" s="436"/>
      <c r="K128" s="436"/>
      <c r="L128" s="436"/>
      <c r="M128" s="97"/>
      <c r="N128" s="60"/>
      <c r="O128" s="458" t="s">
        <v>517</v>
      </c>
      <c r="P128" s="458"/>
      <c r="Q128" s="458"/>
      <c r="R128" s="458"/>
      <c r="S128" s="457"/>
      <c r="T128" s="465"/>
      <c r="U128" s="465"/>
      <c r="V128" s="457"/>
      <c r="W128" s="458"/>
      <c r="X128" s="457"/>
      <c r="Y128" s="457"/>
      <c r="Z128" s="457"/>
      <c r="AA128" s="457"/>
      <c r="AB128" s="457" t="s">
        <v>433</v>
      </c>
      <c r="AC128" s="457"/>
      <c r="AD128" s="457">
        <v>0</v>
      </c>
      <c r="AE128" s="466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58" t="s">
        <v>462</v>
      </c>
      <c r="P129" s="458"/>
      <c r="Q129" s="458"/>
      <c r="R129" s="458"/>
      <c r="S129" s="457"/>
      <c r="T129" s="465"/>
      <c r="U129" s="465"/>
      <c r="V129" s="457">
        <v>60000</v>
      </c>
      <c r="W129" s="458" t="s">
        <v>25</v>
      </c>
      <c r="X129" s="457" t="s">
        <v>26</v>
      </c>
      <c r="Y129" s="457">
        <v>1</v>
      </c>
      <c r="Z129" s="457" t="s">
        <v>453</v>
      </c>
      <c r="AA129" s="457" t="s">
        <v>27</v>
      </c>
      <c r="AB129" s="457" t="s">
        <v>433</v>
      </c>
      <c r="AC129" s="457"/>
      <c r="AD129" s="457">
        <f>V129*Y129</f>
        <v>60000</v>
      </c>
      <c r="AE129" s="466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58" t="s">
        <v>463</v>
      </c>
      <c r="P130" s="458"/>
      <c r="Q130" s="458"/>
      <c r="R130" s="458"/>
      <c r="S130" s="457"/>
      <c r="T130" s="465"/>
      <c r="U130" s="465"/>
      <c r="V130" s="457">
        <v>0</v>
      </c>
      <c r="W130" s="458" t="s">
        <v>25</v>
      </c>
      <c r="X130" s="457" t="s">
        <v>26</v>
      </c>
      <c r="Y130" s="457">
        <v>1</v>
      </c>
      <c r="Z130" s="457" t="s">
        <v>453</v>
      </c>
      <c r="AA130" s="457" t="s">
        <v>27</v>
      </c>
      <c r="AB130" s="457" t="s">
        <v>433</v>
      </c>
      <c r="AC130" s="457"/>
      <c r="AD130" s="535">
        <f>V130*Y130</f>
        <v>0</v>
      </c>
      <c r="AE130" s="466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3" t="s">
        <v>527</v>
      </c>
      <c r="P131" s="423"/>
      <c r="Q131" s="423"/>
      <c r="R131" s="423"/>
      <c r="S131" s="422"/>
      <c r="T131" s="291"/>
      <c r="U131" s="291"/>
      <c r="V131" s="422">
        <v>352000</v>
      </c>
      <c r="W131" s="423" t="s">
        <v>528</v>
      </c>
      <c r="X131" s="457" t="s">
        <v>26</v>
      </c>
      <c r="Y131" s="422">
        <v>1</v>
      </c>
      <c r="Z131" s="422" t="s">
        <v>530</v>
      </c>
      <c r="AA131" s="457" t="s">
        <v>27</v>
      </c>
      <c r="AB131" s="422" t="s">
        <v>529</v>
      </c>
      <c r="AC131" s="422"/>
      <c r="AD131" s="535">
        <f>V131*Y131</f>
        <v>352000</v>
      </c>
      <c r="AE131" s="122" t="s">
        <v>536</v>
      </c>
    </row>
    <row r="132" spans="1:31" s="11" customFormat="1" ht="21" customHeight="1">
      <c r="A132" s="159" t="s">
        <v>19</v>
      </c>
      <c r="B132" s="608" t="s">
        <v>20</v>
      </c>
      <c r="C132" s="609"/>
      <c r="D132" s="160">
        <f t="shared" ref="D132:M132" si="7">SUM(D133,D158)</f>
        <v>17724</v>
      </c>
      <c r="E132" s="160">
        <f t="shared" si="7"/>
        <v>14991</v>
      </c>
      <c r="F132" s="160">
        <f t="shared" ca="1" si="7"/>
        <v>3726</v>
      </c>
      <c r="G132" s="160">
        <f t="shared" si="7"/>
        <v>1233</v>
      </c>
      <c r="H132" s="160">
        <f t="shared" si="7"/>
        <v>0</v>
      </c>
      <c r="I132" s="160">
        <f t="shared" si="7"/>
        <v>474</v>
      </c>
      <c r="J132" s="160">
        <f t="shared" si="7"/>
        <v>9168</v>
      </c>
      <c r="K132" s="160">
        <f t="shared" si="7"/>
        <v>0</v>
      </c>
      <c r="L132" s="160">
        <f t="shared" si="7"/>
        <v>390</v>
      </c>
      <c r="M132" s="160">
        <f t="shared" si="7"/>
        <v>-2733</v>
      </c>
      <c r="N132" s="161">
        <f>IF(D132=0,0,M132/D132)</f>
        <v>-0.15419769803656058</v>
      </c>
      <c r="O132" s="153" t="s">
        <v>391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299">
        <f>SUM(AD133,AD158)</f>
        <v>14991000</v>
      </c>
      <c r="AE132" s="83" t="s">
        <v>25</v>
      </c>
    </row>
    <row r="133" spans="1:31" s="11" customFormat="1" ht="21" customHeight="1">
      <c r="A133" s="38"/>
      <c r="B133" s="28" t="s">
        <v>392</v>
      </c>
      <c r="C133" s="28" t="s">
        <v>393</v>
      </c>
      <c r="D133" s="102">
        <f t="shared" ref="D133:L133" si="8">SUM(D134,D143,D147,D150,D155)</f>
        <v>11884</v>
      </c>
      <c r="E133" s="102">
        <f t="shared" si="8"/>
        <v>10621</v>
      </c>
      <c r="F133" s="102">
        <f t="shared" si="8"/>
        <v>3726</v>
      </c>
      <c r="G133" s="102">
        <f t="shared" si="8"/>
        <v>1233</v>
      </c>
      <c r="H133" s="102">
        <f t="shared" si="8"/>
        <v>0</v>
      </c>
      <c r="I133" s="102">
        <f t="shared" si="8"/>
        <v>474</v>
      </c>
      <c r="J133" s="102">
        <f t="shared" si="8"/>
        <v>4798</v>
      </c>
      <c r="K133" s="102">
        <f t="shared" si="8"/>
        <v>0</v>
      </c>
      <c r="L133" s="102">
        <f t="shared" si="8"/>
        <v>390</v>
      </c>
      <c r="M133" s="102">
        <f>E133-D133</f>
        <v>-1263</v>
      </c>
      <c r="N133" s="109">
        <f>IF(D133=0,0,M133/D133)</f>
        <v>-0.10627734769437899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44">
        <f>SUM(AD134,AD143,AD147,AD150,AD155)</f>
        <v>10621000</v>
      </c>
      <c r="AE133" s="83" t="s">
        <v>25</v>
      </c>
    </row>
    <row r="134" spans="1:31" s="11" customFormat="1" ht="21" customHeight="1">
      <c r="A134" s="38"/>
      <c r="B134" s="38"/>
      <c r="C134" s="28" t="s">
        <v>394</v>
      </c>
      <c r="D134" s="135">
        <v>10828</v>
      </c>
      <c r="E134" s="102">
        <f>AD134/1000</f>
        <v>9678</v>
      </c>
      <c r="F134" s="103">
        <f>SUMIF($AB$135:$AB$142,"보조",$AD$135:$AD$142)/1000</f>
        <v>3726</v>
      </c>
      <c r="G134" s="103">
        <f>SUMIF($AB$135:$AB$142,"4종",$AD$135:$AD$142)/1000</f>
        <v>873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4689</v>
      </c>
      <c r="K134" s="103">
        <f>SUMIF($AB$135:$AB$142,"법인",$AD$135:$AD$142)/1000</f>
        <v>0</v>
      </c>
      <c r="L134" s="103">
        <f>SUMIF($AB$135:$AB$142,"잡수",$AD$135:$AD$142)/1000</f>
        <v>390</v>
      </c>
      <c r="M134" s="155">
        <f>E134-D134</f>
        <v>-1150</v>
      </c>
      <c r="N134" s="109">
        <f>IF(D134=0,0,M134/D134)</f>
        <v>-0.10620613224972295</v>
      </c>
      <c r="O134" s="85" t="s">
        <v>395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19" t="s">
        <v>396</v>
      </c>
      <c r="Z134" s="419"/>
      <c r="AA134" s="419"/>
      <c r="AB134" s="419"/>
      <c r="AC134" s="147"/>
      <c r="AD134" s="335">
        <f>ROUND(SUM(AD135:AD141),-3)</f>
        <v>9678000</v>
      </c>
      <c r="AE134" s="146" t="s">
        <v>25</v>
      </c>
    </row>
    <row r="135" spans="1:31" s="11" customFormat="1" ht="21" customHeight="1">
      <c r="A135" s="38"/>
      <c r="B135" s="38"/>
      <c r="C135" s="38"/>
      <c r="D135" s="433"/>
      <c r="E135" s="434"/>
      <c r="F135" s="434"/>
      <c r="G135" s="434"/>
      <c r="H135" s="434"/>
      <c r="I135" s="434"/>
      <c r="J135" s="434"/>
      <c r="K135" s="434"/>
      <c r="L135" s="434"/>
      <c r="M135" s="97"/>
      <c r="N135" s="60"/>
      <c r="O135" s="458" t="s">
        <v>465</v>
      </c>
      <c r="P135" s="458"/>
      <c r="Q135" s="457"/>
      <c r="R135" s="457"/>
      <c r="S135" s="457">
        <v>236500</v>
      </c>
      <c r="T135" s="465" t="s">
        <v>25</v>
      </c>
      <c r="U135" s="465" t="s">
        <v>26</v>
      </c>
      <c r="V135" s="457">
        <v>6</v>
      </c>
      <c r="W135" s="458" t="s">
        <v>29</v>
      </c>
      <c r="X135" s="458" t="s">
        <v>26</v>
      </c>
      <c r="Y135" s="485">
        <v>4</v>
      </c>
      <c r="Z135" s="462" t="s">
        <v>107</v>
      </c>
      <c r="AA135" s="462" t="s">
        <v>27</v>
      </c>
      <c r="AB135" s="457" t="s">
        <v>442</v>
      </c>
      <c r="AC135" s="431"/>
      <c r="AD135" s="431">
        <v>3726000</v>
      </c>
      <c r="AE135" s="466" t="s">
        <v>25</v>
      </c>
    </row>
    <row r="136" spans="1:31" s="11" customFormat="1" ht="21" customHeight="1">
      <c r="A136" s="38"/>
      <c r="B136" s="38"/>
      <c r="C136" s="38"/>
      <c r="D136" s="435"/>
      <c r="E136" s="436"/>
      <c r="F136" s="436"/>
      <c r="G136" s="436"/>
      <c r="H136" s="436"/>
      <c r="I136" s="436"/>
      <c r="J136" s="436"/>
      <c r="K136" s="436"/>
      <c r="L136" s="436"/>
      <c r="M136" s="97"/>
      <c r="N136" s="60"/>
      <c r="O136" s="458" t="s">
        <v>465</v>
      </c>
      <c r="P136" s="458"/>
      <c r="Q136" s="458"/>
      <c r="R136" s="458"/>
      <c r="S136" s="457">
        <v>155000</v>
      </c>
      <c r="T136" s="465" t="s">
        <v>25</v>
      </c>
      <c r="U136" s="465" t="s">
        <v>26</v>
      </c>
      <c r="V136" s="457">
        <v>6</v>
      </c>
      <c r="W136" s="458" t="s">
        <v>29</v>
      </c>
      <c r="X136" s="458" t="s">
        <v>26</v>
      </c>
      <c r="Y136" s="485">
        <v>4</v>
      </c>
      <c r="Z136" s="462" t="s">
        <v>107</v>
      </c>
      <c r="AA136" s="462" t="s">
        <v>27</v>
      </c>
      <c r="AB136" s="457" t="s">
        <v>433</v>
      </c>
      <c r="AC136" s="431"/>
      <c r="AD136" s="538">
        <f>S136*V136*Y136</f>
        <v>3720000</v>
      </c>
      <c r="AE136" s="466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58" t="s">
        <v>466</v>
      </c>
      <c r="P137" s="458"/>
      <c r="Q137" s="457"/>
      <c r="R137" s="457"/>
      <c r="S137" s="457">
        <v>183000</v>
      </c>
      <c r="T137" s="465" t="s">
        <v>25</v>
      </c>
      <c r="U137" s="465" t="s">
        <v>26</v>
      </c>
      <c r="V137" s="457"/>
      <c r="W137" s="458"/>
      <c r="X137" s="458"/>
      <c r="Y137" s="485">
        <v>3</v>
      </c>
      <c r="Z137" s="462" t="s">
        <v>107</v>
      </c>
      <c r="AA137" s="462" t="s">
        <v>27</v>
      </c>
      <c r="AB137" s="457" t="s">
        <v>295</v>
      </c>
      <c r="AC137" s="431"/>
      <c r="AD137" s="431">
        <f>S137*Y137</f>
        <v>549000</v>
      </c>
      <c r="AE137" s="466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86" t="s">
        <v>467</v>
      </c>
      <c r="P138" s="486"/>
      <c r="Q138" s="486"/>
      <c r="R138" s="486"/>
      <c r="S138" s="432">
        <v>242250</v>
      </c>
      <c r="T138" s="487" t="s">
        <v>25</v>
      </c>
      <c r="U138" s="487" t="s">
        <v>26</v>
      </c>
      <c r="V138" s="432">
        <v>1</v>
      </c>
      <c r="W138" s="486"/>
      <c r="X138" s="486" t="s">
        <v>26</v>
      </c>
      <c r="Y138" s="488">
        <v>4</v>
      </c>
      <c r="Z138" s="489" t="s">
        <v>107</v>
      </c>
      <c r="AA138" s="489" t="s">
        <v>27</v>
      </c>
      <c r="AB138" s="432" t="s">
        <v>433</v>
      </c>
      <c r="AC138" s="490"/>
      <c r="AD138" s="538">
        <f>S138*V138*Y138</f>
        <v>969000</v>
      </c>
      <c r="AE138" s="491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58" t="s">
        <v>468</v>
      </c>
      <c r="P139" s="458"/>
      <c r="Q139" s="457"/>
      <c r="R139" s="457"/>
      <c r="S139" s="457">
        <v>60000</v>
      </c>
      <c r="T139" s="465" t="s">
        <v>25</v>
      </c>
      <c r="U139" s="465" t="s">
        <v>26</v>
      </c>
      <c r="V139" s="457"/>
      <c r="W139" s="458"/>
      <c r="X139" s="458"/>
      <c r="Y139" s="485">
        <v>3</v>
      </c>
      <c r="Z139" s="462" t="s">
        <v>107</v>
      </c>
      <c r="AA139" s="462" t="s">
        <v>27</v>
      </c>
      <c r="AB139" s="457" t="s">
        <v>295</v>
      </c>
      <c r="AC139" s="431"/>
      <c r="AD139" s="431">
        <f>S139*Y139</f>
        <v>180000</v>
      </c>
      <c r="AE139" s="466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58" t="s">
        <v>469</v>
      </c>
      <c r="P140" s="458"/>
      <c r="Q140" s="457"/>
      <c r="R140" s="457"/>
      <c r="S140" s="457"/>
      <c r="T140" s="465"/>
      <c r="U140" s="465"/>
      <c r="V140" s="457"/>
      <c r="W140" s="458"/>
      <c r="X140" s="458"/>
      <c r="Y140" s="485"/>
      <c r="Z140" s="462"/>
      <c r="AA140" s="462"/>
      <c r="AB140" s="457" t="s">
        <v>385</v>
      </c>
      <c r="AC140" s="431"/>
      <c r="AD140" s="431">
        <v>390000</v>
      </c>
      <c r="AE140" s="466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58" t="s">
        <v>470</v>
      </c>
      <c r="P141" s="458"/>
      <c r="Q141" s="457"/>
      <c r="R141" s="457"/>
      <c r="S141" s="457">
        <v>48000</v>
      </c>
      <c r="T141" s="465" t="s">
        <v>25</v>
      </c>
      <c r="U141" s="465" t="s">
        <v>26</v>
      </c>
      <c r="V141" s="457"/>
      <c r="W141" s="458"/>
      <c r="X141" s="458"/>
      <c r="Y141" s="485">
        <v>3</v>
      </c>
      <c r="Z141" s="462" t="s">
        <v>107</v>
      </c>
      <c r="AA141" s="462" t="s">
        <v>27</v>
      </c>
      <c r="AB141" s="457" t="s">
        <v>295</v>
      </c>
      <c r="AC141" s="431"/>
      <c r="AD141" s="431">
        <f>S141*Y141</f>
        <v>144000</v>
      </c>
      <c r="AE141" s="466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6"/>
      <c r="AE142" s="113"/>
    </row>
    <row r="143" spans="1:31" s="11" customFormat="1" ht="21" customHeight="1">
      <c r="A143" s="38"/>
      <c r="B143" s="38"/>
      <c r="C143" s="38" t="s">
        <v>397</v>
      </c>
      <c r="D143" s="133">
        <v>467</v>
      </c>
      <c r="E143" s="97">
        <f>ROUND(AD143/1000,0)</f>
        <v>474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474</v>
      </c>
      <c r="J143" s="103">
        <f>SUMIF($AB$144:$AB$146,"입소",$AD$144:$AD$146)/1000</f>
        <v>0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7</v>
      </c>
      <c r="N143" s="60">
        <f>IF(D143=0,0,M143/D143)</f>
        <v>1.4989293361884369E-2</v>
      </c>
      <c r="O143" s="85" t="s">
        <v>398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19" t="s">
        <v>384</v>
      </c>
      <c r="Z143" s="419"/>
      <c r="AA143" s="419"/>
      <c r="AB143" s="419"/>
      <c r="AC143" s="147"/>
      <c r="AD143" s="301">
        <f>SUM(AD144:AD146)</f>
        <v>474000</v>
      </c>
      <c r="AE143" s="146" t="s">
        <v>25</v>
      </c>
    </row>
    <row r="144" spans="1:31" s="11" customFormat="1" ht="21" customHeight="1">
      <c r="A144" s="38"/>
      <c r="B144" s="38"/>
      <c r="C144" s="38" t="s">
        <v>399</v>
      </c>
      <c r="D144" s="433"/>
      <c r="E144" s="434"/>
      <c r="F144" s="434"/>
      <c r="G144" s="434"/>
      <c r="H144" s="434"/>
      <c r="I144" s="434"/>
      <c r="J144" s="434"/>
      <c r="K144" s="434"/>
      <c r="L144" s="434"/>
      <c r="M144" s="97"/>
      <c r="N144" s="60"/>
      <c r="O144" s="458" t="s">
        <v>471</v>
      </c>
      <c r="P144" s="458"/>
      <c r="Q144" s="458"/>
      <c r="R144" s="458"/>
      <c r="S144" s="457"/>
      <c r="T144" s="465"/>
      <c r="U144" s="465"/>
      <c r="V144" s="457"/>
      <c r="W144" s="457"/>
      <c r="X144" s="457"/>
      <c r="Y144" s="457"/>
      <c r="Z144" s="457"/>
      <c r="AA144" s="457"/>
      <c r="AB144" s="457" t="s">
        <v>472</v>
      </c>
      <c r="AC144" s="457"/>
      <c r="AD144" s="535">
        <v>314000</v>
      </c>
      <c r="AE144" s="466" t="s">
        <v>25</v>
      </c>
    </row>
    <row r="145" spans="1:31" s="11" customFormat="1" ht="21" customHeight="1">
      <c r="A145" s="38"/>
      <c r="B145" s="38"/>
      <c r="C145" s="38"/>
      <c r="D145" s="435"/>
      <c r="E145" s="436"/>
      <c r="F145" s="436"/>
      <c r="G145" s="436"/>
      <c r="H145" s="436"/>
      <c r="I145" s="436"/>
      <c r="J145" s="436"/>
      <c r="K145" s="436"/>
      <c r="L145" s="436"/>
      <c r="M145" s="97"/>
      <c r="N145" s="60"/>
      <c r="O145" s="458" t="s">
        <v>473</v>
      </c>
      <c r="P145" s="458"/>
      <c r="Q145" s="458"/>
      <c r="R145" s="458"/>
      <c r="S145" s="457"/>
      <c r="T145" s="465"/>
      <c r="U145" s="465"/>
      <c r="V145" s="457"/>
      <c r="W145" s="457"/>
      <c r="X145" s="457"/>
      <c r="Y145" s="457"/>
      <c r="Z145" s="457"/>
      <c r="AA145" s="457"/>
      <c r="AB145" s="457" t="s">
        <v>366</v>
      </c>
      <c r="AC145" s="457"/>
      <c r="AD145" s="535">
        <v>160000</v>
      </c>
      <c r="AE145" s="466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3"/>
      <c r="T146" s="294"/>
      <c r="U146" s="279"/>
      <c r="V146" s="295"/>
      <c r="W146" s="293"/>
      <c r="X146" s="293"/>
      <c r="Y146" s="293"/>
      <c r="Z146" s="293"/>
      <c r="AA146" s="293"/>
      <c r="AB146" s="342"/>
      <c r="AC146" s="342"/>
      <c r="AD146" s="539"/>
      <c r="AE146" s="344"/>
    </row>
    <row r="147" spans="1:31" s="11" customFormat="1" ht="21" customHeight="1">
      <c r="A147" s="38"/>
      <c r="B147" s="38"/>
      <c r="C147" s="28" t="s">
        <v>400</v>
      </c>
      <c r="D147" s="135">
        <v>240</v>
      </c>
      <c r="E147" s="102">
        <f>ROUND(AD147/1000,0)</f>
        <v>240</v>
      </c>
      <c r="F147" s="103">
        <f>SUMIF($AB$148:$AB$149,"보조",$AD$148:$AD$149)/1000</f>
        <v>0</v>
      </c>
      <c r="G147" s="103">
        <f>SUMIF($AB$148:$AB$149,"4종",$AD$148:$AD$149)/1000</f>
        <v>240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0</v>
      </c>
      <c r="N147" s="109">
        <f>IF(D147=0,0,M147/D147)</f>
        <v>0</v>
      </c>
      <c r="O147" s="85" t="s">
        <v>104</v>
      </c>
      <c r="P147" s="420"/>
      <c r="Q147" s="153"/>
      <c r="R147" s="153"/>
      <c r="S147" s="153"/>
      <c r="T147" s="152"/>
      <c r="U147" s="152"/>
      <c r="V147" s="152"/>
      <c r="W147" s="152"/>
      <c r="X147" s="152"/>
      <c r="Y147" s="419" t="s">
        <v>384</v>
      </c>
      <c r="Z147" s="419"/>
      <c r="AA147" s="419"/>
      <c r="AB147" s="419"/>
      <c r="AC147" s="147"/>
      <c r="AD147" s="301">
        <f>SUM(AD148:AD149)</f>
        <v>240000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58" t="s">
        <v>474</v>
      </c>
      <c r="P148" s="458"/>
      <c r="Q148" s="457"/>
      <c r="R148" s="457"/>
      <c r="S148" s="457">
        <v>0</v>
      </c>
      <c r="T148" s="457" t="s">
        <v>25</v>
      </c>
      <c r="U148" s="458" t="s">
        <v>26</v>
      </c>
      <c r="V148" s="457">
        <v>3</v>
      </c>
      <c r="W148" s="457" t="s">
        <v>107</v>
      </c>
      <c r="X148" s="458"/>
      <c r="Y148" s="457"/>
      <c r="Z148" s="457"/>
      <c r="AA148" s="457" t="s">
        <v>27</v>
      </c>
      <c r="AB148" s="457" t="s">
        <v>433</v>
      </c>
      <c r="AC148" s="431"/>
      <c r="AD148" s="538">
        <f>S148*V148</f>
        <v>0</v>
      </c>
      <c r="AE148" s="466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58"/>
      <c r="P149" s="458"/>
      <c r="Q149" s="457"/>
      <c r="R149" s="457"/>
      <c r="S149" s="457">
        <v>80000</v>
      </c>
      <c r="T149" s="457" t="s">
        <v>25</v>
      </c>
      <c r="U149" s="458" t="s">
        <v>26</v>
      </c>
      <c r="V149" s="457">
        <v>3</v>
      </c>
      <c r="W149" s="457" t="s">
        <v>107</v>
      </c>
      <c r="X149" s="458"/>
      <c r="Y149" s="457"/>
      <c r="Z149" s="457"/>
      <c r="AA149" s="457" t="s">
        <v>27</v>
      </c>
      <c r="AB149" s="457" t="s">
        <v>295</v>
      </c>
      <c r="AC149" s="431"/>
      <c r="AD149" s="538">
        <f>S149*V149</f>
        <v>240000</v>
      </c>
      <c r="AE149" s="466" t="s">
        <v>25</v>
      </c>
    </row>
    <row r="150" spans="1:31" s="11" customFormat="1" ht="21" customHeight="1">
      <c r="A150" s="38"/>
      <c r="B150" s="38"/>
      <c r="C150" s="28" t="s">
        <v>401</v>
      </c>
      <c r="D150" s="135">
        <v>229</v>
      </c>
      <c r="E150" s="102">
        <f>ROUND(AD150/1000,0)</f>
        <v>229</v>
      </c>
      <c r="F150" s="103">
        <f>SUMIF($AB$151:$AB$154,"보조",$AD$151:$AD$154)/1000</f>
        <v>0</v>
      </c>
      <c r="G150" s="103">
        <f>SUMIF($AB$151:$AB$154,"4종",$AD$151:$AD$154)/1000</f>
        <v>120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109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0</v>
      </c>
      <c r="N150" s="109">
        <f>IF(D150=0,0,M150/D150)</f>
        <v>0</v>
      </c>
      <c r="O150" s="85" t="s">
        <v>402</v>
      </c>
      <c r="P150" s="420"/>
      <c r="Q150" s="153"/>
      <c r="R150" s="153"/>
      <c r="S150" s="153"/>
      <c r="T150" s="152"/>
      <c r="U150" s="152"/>
      <c r="V150" s="152"/>
      <c r="W150" s="152"/>
      <c r="X150" s="152"/>
      <c r="Y150" s="419" t="s">
        <v>403</v>
      </c>
      <c r="Z150" s="419"/>
      <c r="AA150" s="419"/>
      <c r="AB150" s="419"/>
      <c r="AC150" s="147"/>
      <c r="AD150" s="301">
        <f>SUM(AD151:AD153)</f>
        <v>229000</v>
      </c>
      <c r="AE150" s="146" t="s">
        <v>25</v>
      </c>
    </row>
    <row r="151" spans="1:31" s="13" customFormat="1" ht="21" customHeight="1">
      <c r="A151" s="38"/>
      <c r="B151" s="38"/>
      <c r="C151" s="38"/>
      <c r="D151" s="433"/>
      <c r="E151" s="434"/>
      <c r="F151" s="434"/>
      <c r="G151" s="434"/>
      <c r="H151" s="434"/>
      <c r="I151" s="434"/>
      <c r="J151" s="434"/>
      <c r="K151" s="434"/>
      <c r="L151" s="434"/>
      <c r="M151" s="97"/>
      <c r="N151" s="60"/>
      <c r="O151" s="458" t="s">
        <v>475</v>
      </c>
      <c r="P151" s="458"/>
      <c r="Q151" s="457"/>
      <c r="R151" s="457"/>
      <c r="S151" s="457">
        <v>0</v>
      </c>
      <c r="T151" s="457" t="s">
        <v>25</v>
      </c>
      <c r="U151" s="458" t="s">
        <v>26</v>
      </c>
      <c r="V151" s="457">
        <v>1</v>
      </c>
      <c r="W151" s="457" t="s">
        <v>453</v>
      </c>
      <c r="X151" s="458" t="s">
        <v>26</v>
      </c>
      <c r="Y151" s="457">
        <v>3</v>
      </c>
      <c r="Z151" s="457" t="s">
        <v>107</v>
      </c>
      <c r="AA151" s="457" t="s">
        <v>27</v>
      </c>
      <c r="AB151" s="457" t="s">
        <v>433</v>
      </c>
      <c r="AC151" s="431"/>
      <c r="AD151" s="538">
        <f>S151*V151*Y151</f>
        <v>0</v>
      </c>
      <c r="AE151" s="466" t="s">
        <v>25</v>
      </c>
    </row>
    <row r="152" spans="1:31" s="13" customFormat="1" ht="21" customHeight="1">
      <c r="A152" s="38"/>
      <c r="B152" s="38"/>
      <c r="C152" s="38"/>
      <c r="D152" s="435"/>
      <c r="E152" s="436"/>
      <c r="F152" s="436"/>
      <c r="G152" s="436"/>
      <c r="H152" s="436"/>
      <c r="I152" s="436"/>
      <c r="J152" s="436"/>
      <c r="K152" s="436"/>
      <c r="L152" s="436"/>
      <c r="M152" s="97"/>
      <c r="N152" s="272"/>
      <c r="O152" s="483"/>
      <c r="P152" s="458"/>
      <c r="Q152" s="458"/>
      <c r="R152" s="458"/>
      <c r="S152" s="457">
        <v>40000</v>
      </c>
      <c r="T152" s="457" t="s">
        <v>25</v>
      </c>
      <c r="U152" s="458" t="s">
        <v>26</v>
      </c>
      <c r="V152" s="457">
        <v>1</v>
      </c>
      <c r="W152" s="457" t="s">
        <v>453</v>
      </c>
      <c r="X152" s="458" t="s">
        <v>26</v>
      </c>
      <c r="Y152" s="457">
        <v>3</v>
      </c>
      <c r="Z152" s="457" t="s">
        <v>107</v>
      </c>
      <c r="AA152" s="457" t="s">
        <v>27</v>
      </c>
      <c r="AB152" s="457" t="s">
        <v>295</v>
      </c>
      <c r="AC152" s="431"/>
      <c r="AD152" s="535">
        <f>S152*Y152</f>
        <v>120000</v>
      </c>
      <c r="AE152" s="466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83" t="s">
        <v>476</v>
      </c>
      <c r="P153" s="458"/>
      <c r="Q153" s="458"/>
      <c r="R153" s="458"/>
      <c r="S153" s="457"/>
      <c r="T153" s="457"/>
      <c r="U153" s="458"/>
      <c r="V153" s="457"/>
      <c r="W153" s="457"/>
      <c r="X153" s="458"/>
      <c r="Y153" s="485"/>
      <c r="Z153" s="462"/>
      <c r="AA153" s="462"/>
      <c r="AB153" s="457" t="s">
        <v>433</v>
      </c>
      <c r="AC153" s="431"/>
      <c r="AD153" s="535">
        <v>109000</v>
      </c>
      <c r="AE153" s="466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7"/>
      <c r="P154" s="397"/>
      <c r="Q154" s="397"/>
      <c r="R154" s="397"/>
      <c r="S154" s="397"/>
      <c r="T154" s="119"/>
      <c r="U154" s="422"/>
      <c r="V154" s="286"/>
      <c r="W154" s="422"/>
      <c r="X154" s="422"/>
      <c r="Y154" s="422"/>
      <c r="Z154" s="422"/>
      <c r="AA154" s="422"/>
      <c r="AB154" s="422"/>
      <c r="AC154" s="422"/>
      <c r="AD154" s="422"/>
      <c r="AE154" s="122"/>
    </row>
    <row r="155" spans="1:31" s="11" customFormat="1" ht="21" customHeight="1">
      <c r="A155" s="38"/>
      <c r="B155" s="38"/>
      <c r="C155" s="38" t="s">
        <v>404</v>
      </c>
      <c r="D155" s="116">
        <v>120</v>
      </c>
      <c r="E155" s="97">
        <f>ROUND(AD155/1000,0)</f>
        <v>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-120</v>
      </c>
      <c r="N155" s="60">
        <f>IF(D155=0,0,M155/D155)</f>
        <v>-1</v>
      </c>
      <c r="O155" s="85" t="s">
        <v>405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19" t="s">
        <v>403</v>
      </c>
      <c r="Z155" s="419"/>
      <c r="AA155" s="419"/>
      <c r="AB155" s="419"/>
      <c r="AC155" s="147"/>
      <c r="AD155" s="147">
        <f>SUM(AD156:AD157)</f>
        <v>0</v>
      </c>
      <c r="AE155" s="146" t="s">
        <v>25</v>
      </c>
    </row>
    <row r="156" spans="1:31" s="11" customFormat="1" ht="21" customHeight="1">
      <c r="A156" s="38"/>
      <c r="B156" s="38"/>
      <c r="C156" s="38"/>
      <c r="D156" s="433"/>
      <c r="E156" s="434"/>
      <c r="F156" s="434"/>
      <c r="G156" s="434"/>
      <c r="H156" s="434"/>
      <c r="I156" s="434"/>
      <c r="J156" s="434"/>
      <c r="K156" s="434"/>
      <c r="L156" s="434"/>
      <c r="M156" s="97"/>
      <c r="N156" s="60"/>
      <c r="O156" s="458" t="s">
        <v>477</v>
      </c>
      <c r="P156" s="458"/>
      <c r="Q156" s="458"/>
      <c r="R156" s="458"/>
      <c r="S156" s="457">
        <v>20000</v>
      </c>
      <c r="T156" s="465" t="s">
        <v>25</v>
      </c>
      <c r="U156" s="465" t="s">
        <v>26</v>
      </c>
      <c r="V156" s="457">
        <v>6</v>
      </c>
      <c r="W156" s="457" t="s">
        <v>29</v>
      </c>
      <c r="X156" s="462"/>
      <c r="Y156" s="492"/>
      <c r="Z156" s="493"/>
      <c r="AA156" s="494" t="s">
        <v>27</v>
      </c>
      <c r="AB156" s="457" t="s">
        <v>433</v>
      </c>
      <c r="AC156" s="457"/>
      <c r="AD156" s="457">
        <v>0</v>
      </c>
      <c r="AE156" s="466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3"/>
      <c r="P157" s="423"/>
      <c r="Q157" s="423"/>
      <c r="R157" s="423"/>
      <c r="S157" s="422"/>
      <c r="T157" s="291"/>
      <c r="U157" s="423"/>
      <c r="V157" s="422"/>
      <c r="W157" s="423"/>
      <c r="X157" s="422"/>
      <c r="Y157" s="422"/>
      <c r="Z157" s="422"/>
      <c r="AA157" s="422"/>
      <c r="AB157" s="422"/>
      <c r="AC157" s="422"/>
      <c r="AD157" s="422"/>
      <c r="AE157" s="122"/>
    </row>
    <row r="158" spans="1:31" s="11" customFormat="1" ht="21" customHeight="1">
      <c r="A158" s="38"/>
      <c r="B158" s="28" t="s">
        <v>406</v>
      </c>
      <c r="C158" s="143" t="s">
        <v>407</v>
      </c>
      <c r="D158" s="144">
        <f>SUM(D159,D164,D165,D167,D170,D173,D178,D181)</f>
        <v>5840</v>
      </c>
      <c r="E158" s="144">
        <f t="shared" ref="E158:L158" si="9">SUM(E159,E164,E167,E170,E173,E178,E181)</f>
        <v>4370</v>
      </c>
      <c r="F158" s="144">
        <f t="shared" ca="1" si="9"/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4370</v>
      </c>
      <c r="K158" s="144">
        <f t="shared" si="9"/>
        <v>0</v>
      </c>
      <c r="L158" s="144">
        <f t="shared" si="9"/>
        <v>0</v>
      </c>
      <c r="M158" s="144">
        <f>SUM(M159,M164,M165,M167,M170,M173,M178,M181)</f>
        <v>-1470</v>
      </c>
      <c r="N158" s="141">
        <f>IF(D158=0,0,M158/D158)</f>
        <v>-0.25171232876712329</v>
      </c>
      <c r="O158" s="420"/>
      <c r="P158" s="420"/>
      <c r="Q158" s="420"/>
      <c r="R158" s="420"/>
      <c r="S158" s="420"/>
      <c r="T158" s="419"/>
      <c r="U158" s="419"/>
      <c r="V158" s="419"/>
      <c r="W158" s="419"/>
      <c r="X158" s="419"/>
      <c r="Y158" s="419" t="s">
        <v>28</v>
      </c>
      <c r="Z158" s="419"/>
      <c r="AA158" s="419"/>
      <c r="AB158" s="419"/>
      <c r="AC158" s="147"/>
      <c r="AD158" s="147">
        <f>SUM(AD159,AD164,AD167,AD170,AD173,AD178,AD181)</f>
        <v>4370000</v>
      </c>
      <c r="AE158" s="146" t="s">
        <v>25</v>
      </c>
    </row>
    <row r="159" spans="1:31" s="11" customFormat="1" ht="21" customHeight="1">
      <c r="A159" s="38"/>
      <c r="B159" s="38" t="s">
        <v>408</v>
      </c>
      <c r="C159" s="28" t="s">
        <v>481</v>
      </c>
      <c r="D159" s="135">
        <v>910</v>
      </c>
      <c r="E159" s="97">
        <f>ROUND(AD159/1000,0)</f>
        <v>910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910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0</v>
      </c>
      <c r="N159" s="60">
        <f>IF(D159=0,0,M159/D159)</f>
        <v>0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19" t="s">
        <v>403</v>
      </c>
      <c r="Z159" s="419"/>
      <c r="AA159" s="419"/>
      <c r="AB159" s="419"/>
      <c r="AC159" s="147"/>
      <c r="AD159" s="147">
        <f>SUM(AD160:AD163)</f>
        <v>910000</v>
      </c>
      <c r="AE159" s="146" t="s">
        <v>25</v>
      </c>
    </row>
    <row r="160" spans="1:31" s="11" customFormat="1" ht="21" customHeight="1">
      <c r="A160" s="38"/>
      <c r="B160" s="38"/>
      <c r="C160" s="38" t="s">
        <v>411</v>
      </c>
      <c r="D160" s="433"/>
      <c r="E160" s="434"/>
      <c r="F160" s="434"/>
      <c r="G160" s="434"/>
      <c r="H160" s="434"/>
      <c r="I160" s="434"/>
      <c r="J160" s="434"/>
      <c r="K160" s="434"/>
      <c r="L160" s="434"/>
      <c r="M160" s="97"/>
      <c r="N160" s="60"/>
      <c r="O160" s="458" t="s">
        <v>478</v>
      </c>
      <c r="P160" s="458"/>
      <c r="Q160" s="458"/>
      <c r="R160" s="458"/>
      <c r="S160" s="457">
        <v>60000</v>
      </c>
      <c r="T160" s="465" t="s">
        <v>25</v>
      </c>
      <c r="U160" s="465" t="s">
        <v>26</v>
      </c>
      <c r="V160" s="457">
        <v>4</v>
      </c>
      <c r="W160" s="457" t="s">
        <v>107</v>
      </c>
      <c r="X160" s="462"/>
      <c r="Y160" s="492"/>
      <c r="Z160" s="493"/>
      <c r="AA160" s="494" t="s">
        <v>27</v>
      </c>
      <c r="AB160" s="457" t="s">
        <v>433</v>
      </c>
      <c r="AC160" s="457"/>
      <c r="AD160" s="457">
        <f>S160*V160</f>
        <v>240000</v>
      </c>
      <c r="AE160" s="466" t="s">
        <v>25</v>
      </c>
    </row>
    <row r="161" spans="1:31" s="11" customFormat="1" ht="21" customHeight="1">
      <c r="A161" s="38"/>
      <c r="B161" s="38"/>
      <c r="C161" s="38"/>
      <c r="D161" s="435"/>
      <c r="E161" s="436"/>
      <c r="F161" s="436"/>
      <c r="G161" s="436"/>
      <c r="H161" s="436"/>
      <c r="I161" s="436"/>
      <c r="J161" s="436"/>
      <c r="K161" s="436"/>
      <c r="L161" s="436"/>
      <c r="M161" s="97"/>
      <c r="N161" s="60"/>
      <c r="O161" s="458" t="s">
        <v>479</v>
      </c>
      <c r="P161" s="458"/>
      <c r="Q161" s="458"/>
      <c r="R161" s="458"/>
      <c r="S161" s="457">
        <v>17000</v>
      </c>
      <c r="T161" s="465" t="s">
        <v>25</v>
      </c>
      <c r="U161" s="465" t="s">
        <v>26</v>
      </c>
      <c r="V161" s="457">
        <v>5</v>
      </c>
      <c r="W161" s="457" t="s">
        <v>55</v>
      </c>
      <c r="X161" s="465" t="s">
        <v>26</v>
      </c>
      <c r="Y161" s="492">
        <v>2</v>
      </c>
      <c r="Z161" s="493" t="s">
        <v>71</v>
      </c>
      <c r="AA161" s="494" t="s">
        <v>27</v>
      </c>
      <c r="AB161" s="457" t="s">
        <v>433</v>
      </c>
      <c r="AC161" s="457"/>
      <c r="AD161" s="535">
        <f>S161*V161*Y161</f>
        <v>170000</v>
      </c>
      <c r="AE161" s="466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58" t="s">
        <v>480</v>
      </c>
      <c r="P162" s="458"/>
      <c r="Q162" s="458"/>
      <c r="R162" s="458"/>
      <c r="S162" s="457">
        <v>50000</v>
      </c>
      <c r="T162" s="465" t="s">
        <v>25</v>
      </c>
      <c r="U162" s="465" t="s">
        <v>26</v>
      </c>
      <c r="V162" s="457">
        <v>10</v>
      </c>
      <c r="W162" s="457" t="s">
        <v>453</v>
      </c>
      <c r="X162" s="462"/>
      <c r="Y162" s="492"/>
      <c r="Z162" s="493"/>
      <c r="AA162" s="494" t="s">
        <v>27</v>
      </c>
      <c r="AB162" s="457" t="s">
        <v>433</v>
      </c>
      <c r="AC162" s="457"/>
      <c r="AD162" s="457">
        <f>S162*V162</f>
        <v>500000</v>
      </c>
      <c r="AE162" s="466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3"/>
      <c r="P163" s="397"/>
      <c r="Q163" s="397"/>
      <c r="R163" s="397"/>
      <c r="S163" s="397"/>
      <c r="T163" s="397"/>
      <c r="U163" s="397"/>
      <c r="V163" s="397"/>
      <c r="W163" s="397"/>
      <c r="X163" s="397"/>
      <c r="Y163" s="397"/>
      <c r="Z163" s="397"/>
      <c r="AA163" s="397"/>
      <c r="AB163" s="397"/>
      <c r="AC163" s="397"/>
      <c r="AD163" s="397"/>
      <c r="AE163" s="398"/>
    </row>
    <row r="164" spans="1:31" s="11" customFormat="1" ht="21" customHeight="1">
      <c r="A164" s="38"/>
      <c r="B164" s="38"/>
      <c r="C164" s="28" t="s">
        <v>410</v>
      </c>
      <c r="D164" s="135">
        <v>0</v>
      </c>
      <c r="E164" s="102">
        <f>ROUND(AD164/1000,0)</f>
        <v>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0</v>
      </c>
      <c r="N164" s="109">
        <f>IF(D164=0,0,M164/D164)</f>
        <v>0</v>
      </c>
      <c r="O164" s="284"/>
      <c r="P164" s="298"/>
      <c r="Q164" s="298"/>
      <c r="R164" s="446"/>
      <c r="S164" s="446"/>
      <c r="T164" s="446"/>
      <c r="U164" s="446"/>
      <c r="V164" s="446"/>
      <c r="W164" s="447" t="s">
        <v>409</v>
      </c>
      <c r="X164" s="447"/>
      <c r="Y164" s="447"/>
      <c r="Z164" s="447"/>
      <c r="AA164" s="447"/>
      <c r="AB164" s="447"/>
      <c r="AC164" s="448"/>
      <c r="AD164" s="449">
        <f>SUM(AD165:AD166)</f>
        <v>0</v>
      </c>
      <c r="AE164" s="450" t="s">
        <v>25</v>
      </c>
    </row>
    <row r="165" spans="1:31" s="11" customFormat="1" ht="21" customHeight="1">
      <c r="A165" s="38"/>
      <c r="B165" s="38"/>
      <c r="C165" s="38" t="s">
        <v>102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58" t="s">
        <v>518</v>
      </c>
      <c r="P165" s="458"/>
      <c r="Q165" s="458"/>
      <c r="R165" s="458"/>
      <c r="S165" s="457"/>
      <c r="T165" s="465"/>
      <c r="U165" s="465"/>
      <c r="V165" s="457"/>
      <c r="W165" s="458"/>
      <c r="X165" s="457"/>
      <c r="Y165" s="495"/>
      <c r="Z165" s="495"/>
      <c r="AA165" s="495"/>
      <c r="AB165" s="495" t="s">
        <v>433</v>
      </c>
      <c r="AC165" s="495"/>
      <c r="AD165" s="541">
        <v>0</v>
      </c>
      <c r="AE165" s="496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3"/>
      <c r="P166" s="397"/>
      <c r="Q166" s="397"/>
      <c r="R166" s="397"/>
      <c r="S166" s="397"/>
      <c r="T166" s="397"/>
      <c r="U166" s="397"/>
      <c r="V166" s="397"/>
      <c r="W166" s="397"/>
      <c r="X166" s="397"/>
      <c r="Y166" s="397"/>
      <c r="Z166" s="397"/>
      <c r="AA166" s="397"/>
      <c r="AB166" s="397"/>
      <c r="AC166" s="397"/>
      <c r="AD166" s="397"/>
      <c r="AE166" s="398"/>
    </row>
    <row r="167" spans="1:31" s="14" customFormat="1" ht="24" customHeight="1">
      <c r="A167" s="38"/>
      <c r="B167" s="38"/>
      <c r="C167" s="28" t="s">
        <v>483</v>
      </c>
      <c r="D167" s="451">
        <v>300</v>
      </c>
      <c r="E167" s="102">
        <f>ROUND(AD167/1000,0)</f>
        <v>300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300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0</v>
      </c>
      <c r="N167" s="109">
        <f>IF(D167=0,0,M167/D167)</f>
        <v>0</v>
      </c>
      <c r="O167" s="452"/>
      <c r="P167" s="139"/>
      <c r="Q167" s="139"/>
      <c r="R167" s="139"/>
      <c r="S167" s="139"/>
      <c r="T167" s="79"/>
      <c r="U167" s="79"/>
      <c r="V167" s="79"/>
      <c r="W167" s="128" t="s">
        <v>409</v>
      </c>
      <c r="X167" s="128"/>
      <c r="Y167" s="128"/>
      <c r="Z167" s="128"/>
      <c r="AA167" s="128"/>
      <c r="AB167" s="128"/>
      <c r="AC167" s="129"/>
      <c r="AD167" s="453">
        <f>SUM(AD168:AD169)</f>
        <v>300000</v>
      </c>
      <c r="AE167" s="130" t="s">
        <v>25</v>
      </c>
    </row>
    <row r="168" spans="1:31" s="14" customFormat="1" ht="24" customHeight="1">
      <c r="A168" s="38"/>
      <c r="B168" s="38"/>
      <c r="C168" s="38" t="s">
        <v>411</v>
      </c>
      <c r="D168" s="433"/>
      <c r="E168" s="434"/>
      <c r="F168" s="434"/>
      <c r="G168" s="434"/>
      <c r="H168" s="434"/>
      <c r="I168" s="434"/>
      <c r="J168" s="434"/>
      <c r="K168" s="434"/>
      <c r="L168" s="434"/>
      <c r="M168" s="97"/>
      <c r="N168" s="60"/>
      <c r="O168" s="458" t="s">
        <v>482</v>
      </c>
      <c r="P168" s="474"/>
      <c r="Q168" s="474"/>
      <c r="R168" s="471"/>
      <c r="S168" s="457">
        <v>10000</v>
      </c>
      <c r="T168" s="457" t="s">
        <v>25</v>
      </c>
      <c r="U168" s="458" t="s">
        <v>26</v>
      </c>
      <c r="V168" s="457">
        <v>5</v>
      </c>
      <c r="W168" s="457" t="s">
        <v>107</v>
      </c>
      <c r="X168" s="458" t="s">
        <v>26</v>
      </c>
      <c r="Y168" s="485">
        <v>6</v>
      </c>
      <c r="Z168" s="462" t="s">
        <v>453</v>
      </c>
      <c r="AA168" s="462" t="s">
        <v>27</v>
      </c>
      <c r="AB168" s="457" t="s">
        <v>433</v>
      </c>
      <c r="AC168" s="431"/>
      <c r="AD168" s="535">
        <f>S168*V168*Y168</f>
        <v>300000</v>
      </c>
      <c r="AE168" s="466" t="s">
        <v>25</v>
      </c>
    </row>
    <row r="169" spans="1:31" s="14" customFormat="1" ht="24" customHeight="1">
      <c r="A169" s="38"/>
      <c r="B169" s="38"/>
      <c r="C169" s="38"/>
      <c r="D169" s="435"/>
      <c r="E169" s="436"/>
      <c r="F169" s="436"/>
      <c r="G169" s="436"/>
      <c r="H169" s="436"/>
      <c r="I169" s="436"/>
      <c r="J169" s="436"/>
      <c r="K169" s="436"/>
      <c r="L169" s="436"/>
      <c r="M169" s="97"/>
      <c r="N169" s="60"/>
      <c r="O169" s="423"/>
      <c r="P169" s="423"/>
      <c r="Q169" s="423"/>
      <c r="R169" s="423"/>
      <c r="S169" s="423"/>
      <c r="T169" s="422"/>
      <c r="U169" s="422"/>
      <c r="V169" s="422"/>
      <c r="W169" s="422"/>
      <c r="X169" s="422"/>
      <c r="Y169" s="422"/>
      <c r="Z169" s="422"/>
      <c r="AA169" s="422"/>
      <c r="AB169" s="422"/>
      <c r="AC169" s="430"/>
      <c r="AD169" s="397"/>
      <c r="AE169" s="122"/>
    </row>
    <row r="170" spans="1:31" s="14" customFormat="1" ht="24" customHeight="1">
      <c r="A170" s="38"/>
      <c r="B170" s="38"/>
      <c r="C170" s="28" t="s">
        <v>486</v>
      </c>
      <c r="D170" s="135">
        <v>100</v>
      </c>
      <c r="E170" s="102">
        <f>ROUND(AD170/1000,0)</f>
        <v>100</v>
      </c>
      <c r="F170" s="103">
        <f>SUMIF($AB$171:$AB$172,"보조",$AD$171:$AD$172)/1000</f>
        <v>0</v>
      </c>
      <c r="G170" s="103">
        <f>SUMIF($AB$171:$AB$172,"4종",$AD$171:$AD$172)/1000</f>
        <v>0</v>
      </c>
      <c r="H170" s="103">
        <f>SUMIF($AB$171:$AB$172,"6종",$AD$171:$AD$172)/1000</f>
        <v>0</v>
      </c>
      <c r="I170" s="103">
        <f>SUMIF($AB$171:$AB$172,"후원",$AD$171:$AD$172)/1000</f>
        <v>0</v>
      </c>
      <c r="J170" s="103">
        <f>SUMIF($AB$171:$AB$172,"입소",$AD$171:$AD$172)/1000</f>
        <v>100</v>
      </c>
      <c r="K170" s="103">
        <f>SUMIF($AB$171:$AB$172,"법인",$AD$171:$AD$172)/1000</f>
        <v>0</v>
      </c>
      <c r="L170" s="103">
        <f>SUMIF($AB$171:$AB$172,"잡수",$AD$171:$AD$172)/1000</f>
        <v>0</v>
      </c>
      <c r="M170" s="102">
        <f>E170-D170</f>
        <v>0</v>
      </c>
      <c r="N170" s="109">
        <f>IF(D170=0,0,M170/D170)</f>
        <v>0</v>
      </c>
      <c r="O170" s="284"/>
      <c r="P170" s="298"/>
      <c r="Q170" s="298"/>
      <c r="R170" s="446"/>
      <c r="S170" s="446"/>
      <c r="T170" s="446"/>
      <c r="U170" s="446"/>
      <c r="V170" s="446"/>
      <c r="W170" s="447" t="s">
        <v>409</v>
      </c>
      <c r="X170" s="447"/>
      <c r="Y170" s="447"/>
      <c r="Z170" s="447"/>
      <c r="AA170" s="447"/>
      <c r="AB170" s="447"/>
      <c r="AC170" s="448"/>
      <c r="AD170" s="515">
        <f>SUM(AD171:AD172)</f>
        <v>100000</v>
      </c>
      <c r="AE170" s="130" t="s">
        <v>25</v>
      </c>
    </row>
    <row r="171" spans="1:31" s="14" customFormat="1" ht="24" customHeight="1">
      <c r="A171" s="38"/>
      <c r="B171" s="38"/>
      <c r="C171" s="38" t="s">
        <v>411</v>
      </c>
      <c r="D171" s="433"/>
      <c r="E171" s="434"/>
      <c r="F171" s="434"/>
      <c r="G171" s="434"/>
      <c r="H171" s="434"/>
      <c r="I171" s="434"/>
      <c r="J171" s="434"/>
      <c r="K171" s="434"/>
      <c r="L171" s="434"/>
      <c r="M171" s="97"/>
      <c r="N171" s="60"/>
      <c r="O171" s="458" t="s">
        <v>485</v>
      </c>
      <c r="P171" s="497"/>
      <c r="Q171" s="497"/>
      <c r="R171" s="497"/>
      <c r="S171" s="457">
        <v>5000</v>
      </c>
      <c r="T171" s="465" t="s">
        <v>25</v>
      </c>
      <c r="U171" s="465" t="s">
        <v>26</v>
      </c>
      <c r="V171" s="457">
        <v>4</v>
      </c>
      <c r="W171" s="458" t="s">
        <v>107</v>
      </c>
      <c r="X171" s="458" t="s">
        <v>26</v>
      </c>
      <c r="Y171" s="485">
        <v>5</v>
      </c>
      <c r="Z171" s="462" t="s">
        <v>453</v>
      </c>
      <c r="AA171" s="495" t="s">
        <v>27</v>
      </c>
      <c r="AB171" s="495" t="s">
        <v>433</v>
      </c>
      <c r="AC171" s="495"/>
      <c r="AD171" s="541">
        <f>S171*V171*Y171</f>
        <v>100000</v>
      </c>
      <c r="AE171" s="496" t="s">
        <v>25</v>
      </c>
    </row>
    <row r="172" spans="1:31" s="14" customFormat="1" ht="24" customHeight="1">
      <c r="A172" s="38"/>
      <c r="B172" s="38"/>
      <c r="C172" s="38"/>
      <c r="D172" s="136"/>
      <c r="E172" s="97"/>
      <c r="F172" s="97"/>
      <c r="G172" s="97"/>
      <c r="H172" s="97"/>
      <c r="I172" s="97"/>
      <c r="J172" s="97"/>
      <c r="K172" s="97"/>
      <c r="L172" s="97"/>
      <c r="M172" s="97"/>
      <c r="N172" s="60"/>
      <c r="O172" s="423"/>
      <c r="P172" s="423"/>
      <c r="Q172" s="423"/>
      <c r="R172" s="423"/>
      <c r="S172" s="423"/>
      <c r="T172" s="422"/>
      <c r="U172" s="422"/>
      <c r="V172" s="422"/>
      <c r="W172" s="422"/>
      <c r="X172" s="422"/>
      <c r="Y172" s="422"/>
      <c r="Z172" s="422"/>
      <c r="AA172" s="422"/>
      <c r="AB172" s="422"/>
      <c r="AC172" s="121"/>
      <c r="AD172" s="463"/>
      <c r="AE172" s="122"/>
    </row>
    <row r="173" spans="1:31" s="14" customFormat="1" ht="24" customHeight="1">
      <c r="A173" s="38"/>
      <c r="B173" s="38"/>
      <c r="C173" s="28" t="s">
        <v>484</v>
      </c>
      <c r="D173" s="451">
        <v>4100</v>
      </c>
      <c r="E173" s="102">
        <f>ROUND(AD173/1000,0)</f>
        <v>2630</v>
      </c>
      <c r="F173" s="103">
        <f>SUMIF($AB$174:$AB$177,"보조",$AD$174:$AD$177)/1000</f>
        <v>0</v>
      </c>
      <c r="G173" s="103">
        <f>SUMIF($AB$174:$AB$177,"4종",$AD$174:$AD$177)/1000</f>
        <v>0</v>
      </c>
      <c r="H173" s="103">
        <f>SUMIF($AB$174:$AB$177,"6종",$AD$174:$AD$177)/1000</f>
        <v>0</v>
      </c>
      <c r="I173" s="103">
        <f>SUMIF($AB$174:$AB$177,"후원",$AD$174:$AD$177)/1000</f>
        <v>0</v>
      </c>
      <c r="J173" s="103">
        <f>SUMIF($AB$174:$AB$177,"입소",$AD$174:$AD$177)/1000</f>
        <v>2630</v>
      </c>
      <c r="K173" s="103">
        <f>SUMIF($AB$174:$AB$177,"법인",$AD$174:$AD$177)/1000</f>
        <v>0</v>
      </c>
      <c r="L173" s="103">
        <f>SUMIF($AB$174:$AB$177,"잡수",$AD$174:$AD$177)/1000</f>
        <v>0</v>
      </c>
      <c r="M173" s="102">
        <f>E173-D173</f>
        <v>-1470</v>
      </c>
      <c r="N173" s="109">
        <f>IF(D173=0,0,M173/D173)</f>
        <v>-0.35853658536585364</v>
      </c>
      <c r="O173" s="284"/>
      <c r="P173" s="298"/>
      <c r="Q173" s="298"/>
      <c r="R173" s="446"/>
      <c r="S173" s="446"/>
      <c r="T173" s="446"/>
      <c r="U173" s="446"/>
      <c r="V173" s="446"/>
      <c r="W173" s="447" t="s">
        <v>409</v>
      </c>
      <c r="X173" s="447"/>
      <c r="Y173" s="447"/>
      <c r="Z173" s="447"/>
      <c r="AA173" s="447"/>
      <c r="AB173" s="447"/>
      <c r="AC173" s="448"/>
      <c r="AD173" s="449">
        <f>SUM(AD174:AD177)</f>
        <v>2630000</v>
      </c>
      <c r="AE173" s="450" t="s">
        <v>25</v>
      </c>
    </row>
    <row r="174" spans="1:31" s="14" customFormat="1" ht="24" customHeight="1">
      <c r="A174" s="38"/>
      <c r="B174" s="38"/>
      <c r="C174" s="38"/>
      <c r="D174" s="433"/>
      <c r="E174" s="434"/>
      <c r="F174" s="434"/>
      <c r="G174" s="434"/>
      <c r="H174" s="434"/>
      <c r="I174" s="434"/>
      <c r="J174" s="434"/>
      <c r="K174" s="434"/>
      <c r="L174" s="434"/>
      <c r="M174" s="97"/>
      <c r="N174" s="60"/>
      <c r="O174" s="497" t="s">
        <v>513</v>
      </c>
      <c r="P174" s="497"/>
      <c r="Q174" s="497"/>
      <c r="R174" s="497"/>
      <c r="S174" s="457">
        <v>50000</v>
      </c>
      <c r="T174" s="465" t="s">
        <v>25</v>
      </c>
      <c r="U174" s="465" t="s">
        <v>26</v>
      </c>
      <c r="V174" s="457">
        <v>6</v>
      </c>
      <c r="W174" s="458" t="s">
        <v>107</v>
      </c>
      <c r="X174" s="457"/>
      <c r="Y174" s="495"/>
      <c r="Z174" s="495"/>
      <c r="AA174" s="495" t="s">
        <v>27</v>
      </c>
      <c r="AB174" s="495" t="s">
        <v>433</v>
      </c>
      <c r="AC174" s="495"/>
      <c r="AD174" s="541">
        <v>200000</v>
      </c>
      <c r="AE174" s="496" t="s">
        <v>25</v>
      </c>
    </row>
    <row r="175" spans="1:31" s="14" customFormat="1" ht="24" customHeight="1">
      <c r="A175" s="38"/>
      <c r="B175" s="38"/>
      <c r="C175" s="38"/>
      <c r="D175" s="433"/>
      <c r="E175" s="434"/>
      <c r="F175" s="434"/>
      <c r="G175" s="434"/>
      <c r="H175" s="434"/>
      <c r="I175" s="434"/>
      <c r="J175" s="434"/>
      <c r="K175" s="434"/>
      <c r="L175" s="434"/>
      <c r="M175" s="97"/>
      <c r="N175" s="60"/>
      <c r="O175" s="497" t="s">
        <v>511</v>
      </c>
      <c r="P175" s="497"/>
      <c r="Q175" s="497"/>
      <c r="R175" s="497"/>
      <c r="S175" s="457"/>
      <c r="T175" s="465"/>
      <c r="U175" s="465"/>
      <c r="V175" s="457"/>
      <c r="W175" s="458"/>
      <c r="X175" s="457"/>
      <c r="Y175" s="495"/>
      <c r="Z175" s="495"/>
      <c r="AA175" s="495"/>
      <c r="AB175" s="495" t="s">
        <v>433</v>
      </c>
      <c r="AC175" s="495"/>
      <c r="AD175" s="541">
        <v>2300000</v>
      </c>
      <c r="AE175" s="496" t="s">
        <v>25</v>
      </c>
    </row>
    <row r="176" spans="1:31" s="14" customFormat="1" ht="24" customHeight="1">
      <c r="A176" s="38"/>
      <c r="B176" s="38"/>
      <c r="C176" s="38"/>
      <c r="D176" s="435"/>
      <c r="E176" s="436"/>
      <c r="F176" s="436"/>
      <c r="G176" s="436"/>
      <c r="H176" s="436"/>
      <c r="I176" s="436"/>
      <c r="J176" s="436"/>
      <c r="K176" s="436"/>
      <c r="L176" s="436"/>
      <c r="M176" s="97"/>
      <c r="N176" s="60"/>
      <c r="O176" s="497" t="s">
        <v>512</v>
      </c>
      <c r="P176" s="497"/>
      <c r="Q176" s="497"/>
      <c r="R176" s="497"/>
      <c r="S176" s="457">
        <v>50000</v>
      </c>
      <c r="T176" s="465" t="s">
        <v>25</v>
      </c>
      <c r="U176" s="465" t="s">
        <v>26</v>
      </c>
      <c r="V176" s="457">
        <v>6</v>
      </c>
      <c r="W176" s="458" t="s">
        <v>107</v>
      </c>
      <c r="X176" s="457"/>
      <c r="Y176" s="495"/>
      <c r="Z176" s="495"/>
      <c r="AA176" s="495" t="s">
        <v>27</v>
      </c>
      <c r="AB176" s="495" t="s">
        <v>433</v>
      </c>
      <c r="AC176" s="495"/>
      <c r="AD176" s="541">
        <v>130000</v>
      </c>
      <c r="AE176" s="496" t="s">
        <v>25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3"/>
      <c r="P177" s="394"/>
      <c r="Q177" s="394"/>
      <c r="R177" s="391"/>
      <c r="S177" s="391"/>
      <c r="T177" s="391"/>
      <c r="U177" s="391"/>
      <c r="V177" s="391"/>
      <c r="W177" s="422"/>
      <c r="X177" s="422"/>
      <c r="Y177" s="422"/>
      <c r="Z177" s="422"/>
      <c r="AA177" s="422"/>
      <c r="AB177" s="422"/>
      <c r="AC177" s="121"/>
      <c r="AD177" s="463"/>
      <c r="AE177" s="122"/>
    </row>
    <row r="178" spans="1:31" s="14" customFormat="1" ht="24" customHeight="1">
      <c r="A178" s="38"/>
      <c r="B178" s="38"/>
      <c r="C178" s="28" t="s">
        <v>487</v>
      </c>
      <c r="D178" s="135">
        <v>100</v>
      </c>
      <c r="E178" s="102">
        <f>ROUND(AD178/1000,0)</f>
        <v>100</v>
      </c>
      <c r="F178" s="103">
        <f>SUMIF($AB$179:$AB$185,"보조",$AD$179:$AD$185)/1000</f>
        <v>0</v>
      </c>
      <c r="G178" s="103">
        <f>SUMIF($AB$179:$AB$185,"4종",$AD$179:$AD$185)/1000</f>
        <v>0</v>
      </c>
      <c r="H178" s="103">
        <f>SUMIF($AB$179:$AB$185,"6종",$AD$179:$AD$185)/1000</f>
        <v>0</v>
      </c>
      <c r="I178" s="103">
        <f>SUMIF($AB$179:$AB$180,"후원",$AD$179:$AD$180)/1000</f>
        <v>0</v>
      </c>
      <c r="J178" s="103">
        <f>SUMIF($AB$179:$AB$179,"입소",$AD$179:$AD$179)/1000</f>
        <v>100</v>
      </c>
      <c r="K178" s="103">
        <f>SUMIF($AB$179:$AB$185,"법인",$AD$179:$AD$185)/1000</f>
        <v>0</v>
      </c>
      <c r="L178" s="103">
        <f>SUMIF($AB$179:$AB$185,"잡수",$AD$179:$AD$185)/1000</f>
        <v>0</v>
      </c>
      <c r="M178" s="102">
        <f>E178-D178</f>
        <v>0</v>
      </c>
      <c r="N178" s="109">
        <f>IF(D178=0,0,M178/D178)</f>
        <v>0</v>
      </c>
      <c r="O178" s="284"/>
      <c r="P178" s="298"/>
      <c r="Q178" s="298"/>
      <c r="R178" s="446"/>
      <c r="S178" s="446"/>
      <c r="T178" s="446"/>
      <c r="U178" s="446"/>
      <c r="V178" s="446"/>
      <c r="W178" s="447" t="s">
        <v>409</v>
      </c>
      <c r="X178" s="447"/>
      <c r="Y178" s="447"/>
      <c r="Z178" s="447"/>
      <c r="AA178" s="447"/>
      <c r="AB178" s="447"/>
      <c r="AC178" s="448"/>
      <c r="AD178" s="449">
        <f>SUM(AD179:AD180)</f>
        <v>100000</v>
      </c>
      <c r="AE178" s="450" t="s">
        <v>25</v>
      </c>
    </row>
    <row r="179" spans="1:31" s="14" customFormat="1" ht="24" customHeight="1">
      <c r="A179" s="38"/>
      <c r="B179" s="38"/>
      <c r="C179" s="38" t="s">
        <v>102</v>
      </c>
      <c r="D179" s="433"/>
      <c r="E179" s="434"/>
      <c r="F179" s="434"/>
      <c r="G179" s="434"/>
      <c r="H179" s="434"/>
      <c r="I179" s="434"/>
      <c r="J179" s="434"/>
      <c r="K179" s="434"/>
      <c r="L179" s="434"/>
      <c r="M179" s="97"/>
      <c r="N179" s="60"/>
      <c r="O179" s="498" t="s">
        <v>514</v>
      </c>
      <c r="P179" s="499"/>
      <c r="Q179" s="499"/>
      <c r="R179" s="499"/>
      <c r="S179" s="500">
        <v>10000</v>
      </c>
      <c r="T179" s="500" t="s">
        <v>25</v>
      </c>
      <c r="U179" s="499" t="s">
        <v>26</v>
      </c>
      <c r="V179" s="500">
        <v>5</v>
      </c>
      <c r="W179" s="500" t="s">
        <v>107</v>
      </c>
      <c r="X179" s="499" t="s">
        <v>26</v>
      </c>
      <c r="Y179" s="501">
        <v>2</v>
      </c>
      <c r="Z179" s="502" t="s">
        <v>453</v>
      </c>
      <c r="AA179" s="502" t="s">
        <v>27</v>
      </c>
      <c r="AB179" s="500" t="s">
        <v>433</v>
      </c>
      <c r="AC179" s="503"/>
      <c r="AD179" s="542">
        <f>S179*V179*Y179</f>
        <v>100000</v>
      </c>
      <c r="AE179" s="504" t="s">
        <v>25</v>
      </c>
    </row>
    <row r="180" spans="1:31" s="14" customFormat="1" ht="24" customHeight="1">
      <c r="A180" s="38"/>
      <c r="B180" s="38"/>
      <c r="C180" s="38"/>
      <c r="D180" s="133"/>
      <c r="E180" s="97"/>
      <c r="F180" s="97"/>
      <c r="G180" s="97"/>
      <c r="H180" s="97"/>
      <c r="I180" s="97"/>
      <c r="J180" s="97"/>
      <c r="K180" s="97"/>
      <c r="L180" s="97"/>
      <c r="M180" s="97"/>
      <c r="N180" s="60"/>
      <c r="O180" s="397"/>
      <c r="P180" s="397"/>
      <c r="Q180" s="397"/>
      <c r="R180" s="397"/>
      <c r="S180" s="422"/>
      <c r="T180" s="291"/>
      <c r="U180" s="291"/>
      <c r="V180" s="422"/>
      <c r="W180" s="423"/>
      <c r="X180" s="422"/>
      <c r="Y180" s="397"/>
      <c r="Z180" s="397"/>
      <c r="AA180" s="397"/>
      <c r="AB180" s="397"/>
      <c r="AC180" s="397"/>
      <c r="AD180" s="445"/>
      <c r="AE180" s="398"/>
    </row>
    <row r="181" spans="1:31" s="14" customFormat="1" ht="24" customHeight="1">
      <c r="A181" s="38"/>
      <c r="B181" s="38"/>
      <c r="C181" s="28" t="s">
        <v>490</v>
      </c>
      <c r="D181" s="135">
        <v>330</v>
      </c>
      <c r="E181" s="102">
        <f>ROUND(AD181/1000,0)</f>
        <v>330</v>
      </c>
      <c r="F181" s="103">
        <f>SUMIF($AB$179:$AB$185,"보조",$AD$179:$AD$185)/1000</f>
        <v>0</v>
      </c>
      <c r="G181" s="103">
        <f>SUMIF($AB$179:$AB$185,"4종",$AD$179:$AD$185)/1000</f>
        <v>0</v>
      </c>
      <c r="H181" s="103">
        <f>SUMIF($AB$179:$AB$185,"6종",$AD$179:$AD$185)/1000</f>
        <v>0</v>
      </c>
      <c r="I181" s="103">
        <f>SUMIF($AB$182:$AB$185,"후원",$AD$182:$AD$185)/1000</f>
        <v>0</v>
      </c>
      <c r="J181" s="103">
        <f>SUMIF($AB$182:$AB$185,"입소",$AD$182:$AD$185)/1000</f>
        <v>330</v>
      </c>
      <c r="K181" s="103">
        <f>SUMIF($AB$179:$AB$185,"법인",$AD$179:$AD$185)/1000</f>
        <v>0</v>
      </c>
      <c r="L181" s="103">
        <v>0</v>
      </c>
      <c r="M181" s="102">
        <f>E181-D181</f>
        <v>0</v>
      </c>
      <c r="N181" s="109">
        <f>IF(D181=0,0,M181/D181)</f>
        <v>0</v>
      </c>
      <c r="O181" s="284"/>
      <c r="P181" s="298"/>
      <c r="Q181" s="298"/>
      <c r="R181" s="446"/>
      <c r="S181" s="446"/>
      <c r="T181" s="446"/>
      <c r="U181" s="446"/>
      <c r="V181" s="446"/>
      <c r="W181" s="447" t="s">
        <v>409</v>
      </c>
      <c r="X181" s="447"/>
      <c r="Y181" s="447"/>
      <c r="Z181" s="447"/>
      <c r="AA181" s="447"/>
      <c r="AB181" s="447"/>
      <c r="AC181" s="448"/>
      <c r="AD181" s="449">
        <f>SUM(AD182:AD184)</f>
        <v>330000</v>
      </c>
      <c r="AE181" s="450" t="s">
        <v>25</v>
      </c>
    </row>
    <row r="182" spans="1:31" s="14" customFormat="1" ht="24" customHeight="1">
      <c r="A182" s="38"/>
      <c r="B182" s="38"/>
      <c r="C182" s="38" t="s">
        <v>406</v>
      </c>
      <c r="D182" s="133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58" t="s">
        <v>488</v>
      </c>
      <c r="P182" s="474"/>
      <c r="Q182" s="474"/>
      <c r="R182" s="471"/>
      <c r="S182" s="457">
        <v>200000</v>
      </c>
      <c r="T182" s="465" t="s">
        <v>25</v>
      </c>
      <c r="U182" s="465" t="s">
        <v>26</v>
      </c>
      <c r="V182" s="457">
        <v>1</v>
      </c>
      <c r="W182" s="458" t="s">
        <v>453</v>
      </c>
      <c r="X182" s="457"/>
      <c r="Y182" s="497"/>
      <c r="Z182" s="497" t="s">
        <v>27</v>
      </c>
      <c r="AA182" s="497"/>
      <c r="AB182" s="497" t="s">
        <v>433</v>
      </c>
      <c r="AC182" s="497"/>
      <c r="AD182" s="536">
        <f>S182*V182</f>
        <v>200000</v>
      </c>
      <c r="AE182" s="496" t="s">
        <v>25</v>
      </c>
    </row>
    <row r="183" spans="1:31" s="14" customFormat="1" ht="24" customHeight="1">
      <c r="A183" s="38"/>
      <c r="B183" s="38"/>
      <c r="C183" s="38"/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58" t="s">
        <v>499</v>
      </c>
      <c r="P183" s="474"/>
      <c r="Q183" s="474"/>
      <c r="R183" s="471"/>
      <c r="S183" s="457">
        <v>100000</v>
      </c>
      <c r="T183" s="465" t="s">
        <v>25</v>
      </c>
      <c r="U183" s="465" t="s">
        <v>26</v>
      </c>
      <c r="V183" s="457">
        <v>1</v>
      </c>
      <c r="W183" s="458" t="s">
        <v>453</v>
      </c>
      <c r="X183" s="457"/>
      <c r="Y183" s="497"/>
      <c r="Z183" s="497" t="s">
        <v>27</v>
      </c>
      <c r="AA183" s="497"/>
      <c r="AB183" s="517" t="s">
        <v>380</v>
      </c>
      <c r="AC183" s="497"/>
      <c r="AD183" s="505">
        <f>S183*V183</f>
        <v>100000</v>
      </c>
      <c r="AE183" s="496" t="s">
        <v>25</v>
      </c>
    </row>
    <row r="184" spans="1:31" s="14" customFormat="1" ht="24" customHeight="1">
      <c r="A184" s="38"/>
      <c r="B184" s="38"/>
      <c r="C184" s="38"/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58" t="s">
        <v>489</v>
      </c>
      <c r="P184" s="474"/>
      <c r="Q184" s="474"/>
      <c r="R184" s="471"/>
      <c r="S184" s="457"/>
      <c r="T184" s="465"/>
      <c r="U184" s="465"/>
      <c r="V184" s="457"/>
      <c r="W184" s="458"/>
      <c r="X184" s="457"/>
      <c r="Y184" s="497"/>
      <c r="Z184" s="497"/>
      <c r="AA184" s="497"/>
      <c r="AB184" s="497" t="s">
        <v>433</v>
      </c>
      <c r="AC184" s="497"/>
      <c r="AD184" s="505">
        <v>30000</v>
      </c>
      <c r="AE184" s="496" t="s">
        <v>25</v>
      </c>
    </row>
    <row r="185" spans="1:31" s="14" customFormat="1" ht="24" customHeight="1">
      <c r="A185" s="38"/>
      <c r="B185" s="38"/>
      <c r="C185" s="38"/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58"/>
      <c r="P185" s="474"/>
      <c r="Q185" s="474"/>
      <c r="R185" s="471"/>
      <c r="S185" s="457"/>
      <c r="T185" s="465"/>
      <c r="U185" s="465"/>
      <c r="V185" s="457"/>
      <c r="W185" s="458"/>
      <c r="X185" s="457"/>
      <c r="Y185" s="497"/>
      <c r="Z185" s="497"/>
      <c r="AA185" s="497"/>
      <c r="AB185" s="497"/>
      <c r="AC185" s="497"/>
      <c r="AD185" s="505"/>
      <c r="AE185" s="496"/>
    </row>
    <row r="186" spans="1:31" s="11" customFormat="1" ht="21" customHeight="1">
      <c r="A186" s="27" t="s">
        <v>418</v>
      </c>
      <c r="B186" s="610" t="s">
        <v>20</v>
      </c>
      <c r="C186" s="611"/>
      <c r="D186" s="144">
        <f>D187</f>
        <v>0</v>
      </c>
      <c r="E186" s="144">
        <f>E187</f>
        <v>0</v>
      </c>
      <c r="F186" s="144">
        <f t="shared" ref="F186:L186" si="10">F187</f>
        <v>0</v>
      </c>
      <c r="G186" s="144">
        <f t="shared" si="10"/>
        <v>0</v>
      </c>
      <c r="H186" s="144">
        <f t="shared" si="10"/>
        <v>0</v>
      </c>
      <c r="I186" s="144">
        <f t="shared" si="10"/>
        <v>0</v>
      </c>
      <c r="J186" s="144">
        <f t="shared" si="10"/>
        <v>0</v>
      </c>
      <c r="K186" s="144">
        <f t="shared" si="10"/>
        <v>0</v>
      </c>
      <c r="L186" s="144">
        <f t="shared" si="10"/>
        <v>0</v>
      </c>
      <c r="M186" s="144">
        <f>E186-D186</f>
        <v>0</v>
      </c>
      <c r="N186" s="145">
        <f>IF(D186=0,0,M186/D186)</f>
        <v>0</v>
      </c>
      <c r="O186" s="420" t="s">
        <v>419</v>
      </c>
      <c r="P186" s="420"/>
      <c r="Q186" s="420"/>
      <c r="R186" s="420"/>
      <c r="S186" s="419"/>
      <c r="T186" s="419"/>
      <c r="U186" s="419"/>
      <c r="V186" s="419"/>
      <c r="W186" s="419"/>
      <c r="X186" s="419"/>
      <c r="Y186" s="419"/>
      <c r="Z186" s="419"/>
      <c r="AA186" s="419"/>
      <c r="AB186" s="419"/>
      <c r="AC186" s="419"/>
      <c r="AD186" s="419">
        <f>SUM(AD187)</f>
        <v>0</v>
      </c>
      <c r="AE186" s="146" t="s">
        <v>25</v>
      </c>
    </row>
    <row r="187" spans="1:31" s="11" customFormat="1" ht="21" customHeight="1">
      <c r="A187" s="37"/>
      <c r="B187" s="38" t="s">
        <v>418</v>
      </c>
      <c r="C187" s="38" t="s">
        <v>418</v>
      </c>
      <c r="D187" s="133">
        <v>0</v>
      </c>
      <c r="E187" s="97">
        <f>AD187/1000</f>
        <v>0</v>
      </c>
      <c r="F187" s="103">
        <f>SUMIF($AB$188:$AB$188,"보조",$AD$188:$AD$188)/1000</f>
        <v>0</v>
      </c>
      <c r="G187" s="103">
        <f>SUMIF($AB$188:$AB$188,"4종",$AD$188:$AD$188)/1000</f>
        <v>0</v>
      </c>
      <c r="H187" s="103">
        <f>SUMIF($AB$188:$AB$188,"6종",$AD$188:$AD$188)/1000</f>
        <v>0</v>
      </c>
      <c r="I187" s="103">
        <f>SUMIF($AB$188:$AB$188,"후원",$AD$188:$AD$188)/1000</f>
        <v>0</v>
      </c>
      <c r="J187" s="103">
        <f>SUMIF($AB$188:$AB$188,"입소",$AD$188:$AD$188)/1000</f>
        <v>0</v>
      </c>
      <c r="K187" s="103">
        <f>SUMIF($AB$188:$AB$188,"법인",$AD$188:$AD$188)/1000</f>
        <v>0</v>
      </c>
      <c r="L187" s="103">
        <f>SUMIF($AB$188:$AB$188,"잡수",$AD$188:$AD$188)/1000</f>
        <v>0</v>
      </c>
      <c r="M187" s="97">
        <f>E187-D187</f>
        <v>0</v>
      </c>
      <c r="N187" s="60">
        <f>IF(D187=0,0,M187/D187)</f>
        <v>0</v>
      </c>
      <c r="O187" s="105" t="s">
        <v>420</v>
      </c>
      <c r="P187" s="151"/>
      <c r="Q187" s="151"/>
      <c r="R187" s="151"/>
      <c r="S187" s="151"/>
      <c r="T187" s="150"/>
      <c r="U187" s="150"/>
      <c r="V187" s="150"/>
      <c r="W187" s="150"/>
      <c r="X187" s="150"/>
      <c r="Y187" s="419" t="s">
        <v>384</v>
      </c>
      <c r="Z187" s="87"/>
      <c r="AA187" s="87"/>
      <c r="AB187" s="87"/>
      <c r="AC187" s="107"/>
      <c r="AD187" s="107">
        <v>0</v>
      </c>
      <c r="AE187" s="108" t="s">
        <v>25</v>
      </c>
    </row>
    <row r="188" spans="1:31" s="1" customFormat="1" ht="21" customHeight="1">
      <c r="A188" s="48"/>
      <c r="B188" s="49"/>
      <c r="C188" s="49"/>
      <c r="D188" s="134"/>
      <c r="E188" s="100"/>
      <c r="F188" s="100"/>
      <c r="G188" s="100"/>
      <c r="H188" s="100"/>
      <c r="I188" s="100"/>
      <c r="J188" s="100"/>
      <c r="K188" s="100"/>
      <c r="L188" s="100"/>
      <c r="M188" s="100"/>
      <c r="N188" s="75"/>
      <c r="O188" s="349"/>
      <c r="P188" s="349"/>
      <c r="Q188" s="349"/>
      <c r="R188" s="349"/>
      <c r="S188" s="349"/>
      <c r="T188" s="349"/>
      <c r="U188" s="349"/>
      <c r="V188" s="349"/>
      <c r="W188" s="349"/>
      <c r="X188" s="349"/>
      <c r="Y188" s="349"/>
      <c r="Z188" s="349"/>
      <c r="AA188" s="349"/>
      <c r="AB188" s="349"/>
      <c r="AC188" s="349"/>
      <c r="AD188" s="349"/>
      <c r="AE188" s="513"/>
    </row>
    <row r="189" spans="1:31" s="11" customFormat="1" ht="21" customHeight="1">
      <c r="A189" s="37" t="s">
        <v>21</v>
      </c>
      <c r="B189" s="605" t="s">
        <v>20</v>
      </c>
      <c r="C189" s="606"/>
      <c r="D189" s="100">
        <f t="shared" ref="D189:L189" si="11">SUM(D190)+D196</f>
        <v>142</v>
      </c>
      <c r="E189" s="100">
        <f t="shared" si="11"/>
        <v>686</v>
      </c>
      <c r="F189" s="100">
        <f t="shared" si="11"/>
        <v>644</v>
      </c>
      <c r="G189" s="100">
        <f t="shared" si="11"/>
        <v>42</v>
      </c>
      <c r="H189" s="100">
        <f t="shared" si="11"/>
        <v>0</v>
      </c>
      <c r="I189" s="100">
        <f t="shared" si="11"/>
        <v>0</v>
      </c>
      <c r="J189" s="100">
        <f t="shared" si="11"/>
        <v>0</v>
      </c>
      <c r="K189" s="100">
        <f t="shared" si="11"/>
        <v>0</v>
      </c>
      <c r="L189" s="100">
        <f t="shared" si="11"/>
        <v>0</v>
      </c>
      <c r="M189" s="100">
        <f>E189-D189</f>
        <v>544</v>
      </c>
      <c r="N189" s="75">
        <f>IF(D189=0,0,M189/D189)</f>
        <v>3.8309859154929575</v>
      </c>
      <c r="O189" s="514" t="s">
        <v>21</v>
      </c>
      <c r="P189" s="105"/>
      <c r="Q189" s="105"/>
      <c r="R189" s="105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>
        <f>AD190+AD196</f>
        <v>686000</v>
      </c>
      <c r="AE189" s="108" t="s">
        <v>25</v>
      </c>
    </row>
    <row r="190" spans="1:31" s="11" customFormat="1" ht="21" customHeight="1">
      <c r="A190" s="37"/>
      <c r="B190" s="38" t="s">
        <v>21</v>
      </c>
      <c r="C190" s="38" t="s">
        <v>21</v>
      </c>
      <c r="D190" s="97">
        <v>0</v>
      </c>
      <c r="E190" s="102">
        <f>AD190/1000</f>
        <v>0</v>
      </c>
      <c r="F190" s="103">
        <f>SUMIF($AB$190:$AB$194,"보조",$AD$190:$AD$194)/1000</f>
        <v>0</v>
      </c>
      <c r="G190" s="103">
        <f>SUMIF($AB$190:$AB$194,"4종",$AD$190:$AD$194)/1000</f>
        <v>0</v>
      </c>
      <c r="H190" s="103">
        <f>SUMIF($AB$190:$AB$194,"6종",$AD$190:$AD$194)/1000</f>
        <v>0</v>
      </c>
      <c r="I190" s="103">
        <f>SUMIF($AB$190:$AB$194,"후원",$AD$190:$AD$194)/1000</f>
        <v>0</v>
      </c>
      <c r="J190" s="103">
        <f>SUMIF($AB$190:$AB$194,"입소",$AD$190:$AD$194)/1000</f>
        <v>0</v>
      </c>
      <c r="K190" s="103">
        <f>SUMIF($AB$190:$AB$194,"법인",$AD$190:$AD$194)/1000</f>
        <v>0</v>
      </c>
      <c r="L190" s="103">
        <f>SUMIF($AB$190:$AB$194,"잡수",$AD$190:$AD$194)/1000</f>
        <v>0</v>
      </c>
      <c r="M190" s="97">
        <f>E190-D190</f>
        <v>0</v>
      </c>
      <c r="N190" s="60">
        <f>IF(D190=0,0,M190/D190)</f>
        <v>0</v>
      </c>
      <c r="O190" s="105" t="s">
        <v>52</v>
      </c>
      <c r="P190" s="151"/>
      <c r="Q190" s="151"/>
      <c r="R190" s="151"/>
      <c r="S190" s="151"/>
      <c r="T190" s="150"/>
      <c r="U190" s="150"/>
      <c r="V190" s="150"/>
      <c r="W190" s="150"/>
      <c r="X190" s="150"/>
      <c r="Y190" s="419" t="s">
        <v>370</v>
      </c>
      <c r="Z190" s="87"/>
      <c r="AA190" s="87"/>
      <c r="AB190" s="87"/>
      <c r="AC190" s="107"/>
      <c r="AD190" s="107">
        <f>SUM(AD191:AD194)</f>
        <v>0</v>
      </c>
      <c r="AE190" s="108" t="s">
        <v>25</v>
      </c>
    </row>
    <row r="191" spans="1:31" s="11" customFormat="1" ht="21" customHeight="1">
      <c r="A191" s="37"/>
      <c r="B191" s="38"/>
      <c r="C191" s="38"/>
      <c r="D191" s="133"/>
      <c r="E191" s="97"/>
      <c r="F191" s="443"/>
      <c r="G191" s="443"/>
      <c r="H191" s="443"/>
      <c r="I191" s="443"/>
      <c r="J191" s="443"/>
      <c r="K191" s="443"/>
      <c r="L191" s="443"/>
      <c r="M191" s="97"/>
      <c r="N191" s="60"/>
      <c r="O191" s="464" t="s">
        <v>421</v>
      </c>
      <c r="P191" s="464"/>
      <c r="Q191" s="464"/>
      <c r="R191" s="464"/>
      <c r="S191" s="464"/>
      <c r="T191" s="463"/>
      <c r="U191" s="463"/>
      <c r="V191" s="463"/>
      <c r="W191" s="463"/>
      <c r="X191" s="463"/>
      <c r="Y191" s="463"/>
      <c r="Z191" s="463"/>
      <c r="AA191" s="463"/>
      <c r="AB191" s="463" t="s">
        <v>380</v>
      </c>
      <c r="AC191" s="121"/>
      <c r="AD191" s="121">
        <v>0</v>
      </c>
      <c r="AE191" s="122" t="s">
        <v>56</v>
      </c>
    </row>
    <row r="192" spans="1:31" s="11" customFormat="1" ht="21" customHeight="1">
      <c r="A192" s="37"/>
      <c r="B192" s="38"/>
      <c r="C192" s="38"/>
      <c r="D192" s="133"/>
      <c r="E192" s="97"/>
      <c r="F192" s="443"/>
      <c r="G192" s="443"/>
      <c r="H192" s="443"/>
      <c r="I192" s="443"/>
      <c r="J192" s="443"/>
      <c r="K192" s="443"/>
      <c r="L192" s="443"/>
      <c r="M192" s="97"/>
      <c r="N192" s="60"/>
      <c r="O192" s="464" t="s">
        <v>422</v>
      </c>
      <c r="P192" s="464"/>
      <c r="Q192" s="464"/>
      <c r="R192" s="464"/>
      <c r="S192" s="464"/>
      <c r="T192" s="463"/>
      <c r="U192" s="463"/>
      <c r="V192" s="463"/>
      <c r="W192" s="463"/>
      <c r="X192" s="463"/>
      <c r="Y192" s="463"/>
      <c r="Z192" s="463"/>
      <c r="AA192" s="463"/>
      <c r="AB192" s="463" t="s">
        <v>366</v>
      </c>
      <c r="AC192" s="121"/>
      <c r="AD192" s="121">
        <v>0</v>
      </c>
      <c r="AE192" s="122" t="s">
        <v>56</v>
      </c>
    </row>
    <row r="193" spans="1:31" s="11" customFormat="1" ht="21" customHeight="1">
      <c r="A193" s="37"/>
      <c r="B193" s="38"/>
      <c r="C193" s="38"/>
      <c r="D193" s="133"/>
      <c r="E193" s="97"/>
      <c r="F193" s="443"/>
      <c r="G193" s="443"/>
      <c r="H193" s="443"/>
      <c r="I193" s="443"/>
      <c r="J193" s="443"/>
      <c r="K193" s="443"/>
      <c r="L193" s="443"/>
      <c r="M193" s="97"/>
      <c r="N193" s="60"/>
      <c r="O193" s="464" t="s">
        <v>423</v>
      </c>
      <c r="P193" s="464"/>
      <c r="Q193" s="464"/>
      <c r="R193" s="464"/>
      <c r="S193" s="464"/>
      <c r="T193" s="463"/>
      <c r="U193" s="463"/>
      <c r="V193" s="463"/>
      <c r="W193" s="463"/>
      <c r="X193" s="463"/>
      <c r="Y193" s="463"/>
      <c r="Z193" s="463"/>
      <c r="AA193" s="463"/>
      <c r="AB193" s="463" t="s">
        <v>165</v>
      </c>
      <c r="AC193" s="121"/>
      <c r="AD193" s="121">
        <v>0</v>
      </c>
      <c r="AE193" s="122" t="s">
        <v>56</v>
      </c>
    </row>
    <row r="194" spans="1:31" s="11" customFormat="1" ht="21" customHeight="1">
      <c r="A194" s="37"/>
      <c r="B194" s="38"/>
      <c r="C194" s="38"/>
      <c r="D194" s="133"/>
      <c r="E194" s="97"/>
      <c r="F194" s="443"/>
      <c r="G194" s="443"/>
      <c r="H194" s="443"/>
      <c r="I194" s="443"/>
      <c r="J194" s="443"/>
      <c r="K194" s="443"/>
      <c r="L194" s="443"/>
      <c r="M194" s="97"/>
      <c r="N194" s="60"/>
      <c r="O194" s="464" t="s">
        <v>424</v>
      </c>
      <c r="P194" s="464"/>
      <c r="Q194" s="464"/>
      <c r="R194" s="464"/>
      <c r="S194" s="464"/>
      <c r="T194" s="463"/>
      <c r="U194" s="463"/>
      <c r="V194" s="463"/>
      <c r="W194" s="463"/>
      <c r="X194" s="463"/>
      <c r="Y194" s="463"/>
      <c r="Z194" s="463"/>
      <c r="AA194" s="463"/>
      <c r="AB194" s="463" t="s">
        <v>385</v>
      </c>
      <c r="AC194" s="121"/>
      <c r="AD194" s="121">
        <v>0</v>
      </c>
      <c r="AE194" s="122" t="s">
        <v>56</v>
      </c>
    </row>
    <row r="195" spans="1:31" s="11" customFormat="1" ht="21" customHeight="1">
      <c r="A195" s="37"/>
      <c r="B195" s="38"/>
      <c r="C195" s="38"/>
      <c r="D195" s="133"/>
      <c r="E195" s="97"/>
      <c r="F195" s="97"/>
      <c r="G195" s="97"/>
      <c r="H195" s="97"/>
      <c r="I195" s="97"/>
      <c r="J195" s="97"/>
      <c r="K195" s="97"/>
      <c r="L195" s="97"/>
      <c r="M195" s="97"/>
      <c r="N195" s="60"/>
      <c r="O195" s="423"/>
      <c r="P195" s="423"/>
      <c r="Q195" s="423"/>
      <c r="R195" s="423"/>
      <c r="S195" s="423"/>
      <c r="T195" s="422"/>
      <c r="U195" s="422"/>
      <c r="V195" s="422"/>
      <c r="W195" s="422"/>
      <c r="X195" s="422"/>
      <c r="Y195" s="422"/>
      <c r="Z195" s="422"/>
      <c r="AA195" s="422"/>
      <c r="AB195" s="422"/>
      <c r="AC195" s="121"/>
      <c r="AD195" s="121"/>
      <c r="AE195" s="122"/>
    </row>
    <row r="196" spans="1:31" s="11" customFormat="1" ht="21" customHeight="1">
      <c r="A196" s="37"/>
      <c r="B196" s="38"/>
      <c r="C196" s="28" t="s">
        <v>131</v>
      </c>
      <c r="D196" s="135">
        <v>142</v>
      </c>
      <c r="E196" s="102">
        <f>AD196/1000</f>
        <v>686</v>
      </c>
      <c r="F196" s="103">
        <f>SUMIF($AB$197:$AB$203,"보조",$AD$197:$AD$203)/1000</f>
        <v>644</v>
      </c>
      <c r="G196" s="103">
        <f>SUMIF($AB$197:$AB$202,"4종",$AD$197:$AD$202)/1000</f>
        <v>42</v>
      </c>
      <c r="H196" s="103">
        <f>SUMIF($AB$197:$AB$202,"6종",$AD$197:$AD$202)/1000</f>
        <v>0</v>
      </c>
      <c r="I196" s="103">
        <f>SUMIF($AB$197:$AB$202,"후원",$AD$197:$AD$202)/1000</f>
        <v>0</v>
      </c>
      <c r="J196" s="103">
        <f>SUMIF($AB$197:$AB$202,"입소",$AD$197:$AD$202)/1000</f>
        <v>0</v>
      </c>
      <c r="K196" s="103">
        <f>SUMIF($AB$197:$AB$202,"법인",$AD$197:$AD$202)/1000</f>
        <v>0</v>
      </c>
      <c r="L196" s="103">
        <f>SUMIF($AB$197:$AB$202,"잡수",$AD$197:$AD$202)/1000</f>
        <v>0</v>
      </c>
      <c r="M196" s="102">
        <f>E196-D196</f>
        <v>544</v>
      </c>
      <c r="N196" s="109">
        <f>IF(D196=0,0,M196/D196)</f>
        <v>3.8309859154929575</v>
      </c>
      <c r="O196" s="297" t="s">
        <v>413</v>
      </c>
      <c r="P196" s="153"/>
      <c r="Q196" s="153"/>
      <c r="R196" s="153"/>
      <c r="S196" s="153"/>
      <c r="T196" s="152"/>
      <c r="U196" s="152"/>
      <c r="V196" s="152"/>
      <c r="W196" s="152"/>
      <c r="X196" s="152"/>
      <c r="Y196" s="510" t="s">
        <v>370</v>
      </c>
      <c r="Z196" s="510"/>
      <c r="AA196" s="510"/>
      <c r="AB196" s="510"/>
      <c r="AC196" s="147"/>
      <c r="AD196" s="301">
        <f>ROUNDUP(SUM(AD197:AD202),-3)</f>
        <v>686000</v>
      </c>
      <c r="AE196" s="146" t="s">
        <v>25</v>
      </c>
    </row>
    <row r="197" spans="1:31" s="11" customFormat="1" ht="21" customHeight="1">
      <c r="A197" s="37"/>
      <c r="B197" s="38"/>
      <c r="C197" s="38" t="s">
        <v>412</v>
      </c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64" t="s">
        <v>414</v>
      </c>
      <c r="P197" s="464"/>
      <c r="Q197" s="464"/>
      <c r="R197" s="464"/>
      <c r="S197" s="463"/>
      <c r="T197" s="463"/>
      <c r="U197" s="463"/>
      <c r="V197" s="463"/>
      <c r="W197" s="463"/>
      <c r="X197" s="463"/>
      <c r="Y197" s="463"/>
      <c r="Z197" s="463"/>
      <c r="AA197" s="463"/>
      <c r="AB197" s="463" t="s">
        <v>336</v>
      </c>
      <c r="AC197" s="463"/>
      <c r="AD197" s="121">
        <v>624000</v>
      </c>
      <c r="AE197" s="122" t="s">
        <v>25</v>
      </c>
    </row>
    <row r="198" spans="1:31" s="11" customFormat="1" ht="21" customHeight="1">
      <c r="A198" s="37"/>
      <c r="B198" s="38"/>
      <c r="C198" s="38"/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464" t="s">
        <v>415</v>
      </c>
      <c r="P198" s="464"/>
      <c r="Q198" s="464"/>
      <c r="R198" s="464"/>
      <c r="S198" s="463"/>
      <c r="T198" s="463"/>
      <c r="U198" s="463"/>
      <c r="V198" s="463"/>
      <c r="W198" s="463"/>
      <c r="X198" s="463"/>
      <c r="Y198" s="463"/>
      <c r="Z198" s="463"/>
      <c r="AA198" s="463"/>
      <c r="AB198" s="463" t="s">
        <v>336</v>
      </c>
      <c r="AC198" s="463"/>
      <c r="AD198" s="274">
        <v>20000</v>
      </c>
      <c r="AE198" s="122" t="s">
        <v>56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64" t="s">
        <v>416</v>
      </c>
      <c r="P199" s="464"/>
      <c r="Q199" s="464"/>
      <c r="R199" s="464"/>
      <c r="S199" s="463"/>
      <c r="T199" s="463"/>
      <c r="U199" s="463"/>
      <c r="V199" s="463"/>
      <c r="W199" s="463"/>
      <c r="X199" s="463"/>
      <c r="Y199" s="463"/>
      <c r="Z199" s="463"/>
      <c r="AA199" s="463"/>
      <c r="AB199" s="463" t="s">
        <v>295</v>
      </c>
      <c r="AC199" s="463"/>
      <c r="AD199" s="121">
        <v>40000</v>
      </c>
      <c r="AE199" s="122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64" t="s">
        <v>417</v>
      </c>
      <c r="P200" s="464"/>
      <c r="Q200" s="464"/>
      <c r="R200" s="464"/>
      <c r="S200" s="463"/>
      <c r="T200" s="463"/>
      <c r="U200" s="463"/>
      <c r="V200" s="463"/>
      <c r="W200" s="463"/>
      <c r="X200" s="463"/>
      <c r="Y200" s="463"/>
      <c r="Z200" s="463"/>
      <c r="AA200" s="463"/>
      <c r="AB200" s="463" t="s">
        <v>295</v>
      </c>
      <c r="AC200" s="463"/>
      <c r="AD200" s="274">
        <v>2000</v>
      </c>
      <c r="AE200" s="122" t="s">
        <v>56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64" t="s">
        <v>437</v>
      </c>
      <c r="P201" s="464"/>
      <c r="Q201" s="464"/>
      <c r="R201" s="464"/>
      <c r="S201" s="463"/>
      <c r="T201" s="463"/>
      <c r="U201" s="463"/>
      <c r="V201" s="463"/>
      <c r="W201" s="463"/>
      <c r="X201" s="463"/>
      <c r="Y201" s="463"/>
      <c r="Z201" s="463"/>
      <c r="AA201" s="463"/>
      <c r="AB201" s="463" t="s">
        <v>309</v>
      </c>
      <c r="AC201" s="463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64" t="s">
        <v>438</v>
      </c>
      <c r="P202" s="464"/>
      <c r="Q202" s="464"/>
      <c r="R202" s="464"/>
      <c r="S202" s="463"/>
      <c r="T202" s="463"/>
      <c r="U202" s="463"/>
      <c r="V202" s="463"/>
      <c r="W202" s="463"/>
      <c r="X202" s="463"/>
      <c r="Y202" s="463"/>
      <c r="Z202" s="463"/>
      <c r="AA202" s="463"/>
      <c r="AB202" s="463" t="s">
        <v>309</v>
      </c>
      <c r="AC202" s="463"/>
      <c r="AD202" s="430"/>
      <c r="AE202" s="122" t="s">
        <v>56</v>
      </c>
    </row>
    <row r="203" spans="1:31" s="1" customFormat="1" ht="21" customHeight="1" thickBot="1">
      <c r="A203" s="123"/>
      <c r="B203" s="90"/>
      <c r="C203" s="90"/>
      <c r="D203" s="138"/>
      <c r="E203" s="124"/>
      <c r="F203" s="124"/>
      <c r="G203" s="124"/>
      <c r="H203" s="124"/>
      <c r="I203" s="124"/>
      <c r="J203" s="124"/>
      <c r="K203" s="124"/>
      <c r="L203" s="124"/>
      <c r="M203" s="124"/>
      <c r="N203" s="125"/>
      <c r="O203" s="401"/>
      <c r="P203" s="401"/>
      <c r="Q203" s="401"/>
      <c r="R203" s="401"/>
      <c r="S203" s="402"/>
      <c r="T203" s="402"/>
      <c r="U203" s="402"/>
      <c r="V203" s="402"/>
      <c r="W203" s="402"/>
      <c r="X203" s="402"/>
      <c r="Y203" s="402"/>
      <c r="Z203" s="402"/>
      <c r="AA203" s="402"/>
      <c r="AB203" s="402"/>
      <c r="AC203" s="402"/>
      <c r="AD203" s="402"/>
      <c r="AE203" s="403"/>
    </row>
    <row r="205" spans="1:31" ht="21" customHeight="1">
      <c r="E205" s="288"/>
      <c r="F205" s="288"/>
    </row>
    <row r="206" spans="1:31" ht="21" customHeight="1">
      <c r="E206" s="288"/>
      <c r="F206" s="288"/>
    </row>
    <row r="207" spans="1:31" ht="21" customHeight="1">
      <c r="F207" s="288"/>
    </row>
    <row r="208" spans="1:31" ht="21" customHeight="1">
      <c r="E208" s="288"/>
      <c r="F208" s="288"/>
    </row>
    <row r="209" spans="5:6" ht="21" customHeight="1">
      <c r="E209" s="288"/>
      <c r="F209" s="288"/>
    </row>
    <row r="210" spans="5:6" ht="21" customHeight="1">
      <c r="E210" s="288"/>
      <c r="F210" s="288"/>
    </row>
  </sheetData>
  <mergeCells count="15">
    <mergeCell ref="B189:C189"/>
    <mergeCell ref="B110:C110"/>
    <mergeCell ref="B132:C132"/>
    <mergeCell ref="B186:C186"/>
    <mergeCell ref="O115:R115"/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</mergeCells>
  <phoneticPr fontId="8" type="noConversion"/>
  <conditionalFormatting sqref="M1:M1048576">
    <cfRule type="cellIs" dxfId="0" priority="1" operator="lessThan">
      <formula>0</formula>
    </cfRule>
  </conditionalFormatting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2024-08-22T01:35:10Z</cp:lastPrinted>
  <dcterms:created xsi:type="dcterms:W3CDTF">2003-12-18T04:11:57Z</dcterms:created>
  <dcterms:modified xsi:type="dcterms:W3CDTF">2024-12-11T07:07:29Z</dcterms:modified>
</cp:coreProperties>
</file>