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70" yWindow="180" windowWidth="9540" windowHeight="11640" tabRatio="487" activeTab="3"/>
  </bookViews>
  <sheets>
    <sheet name="세입세출총괄표" sheetId="16" r:id="rId1"/>
    <sheet name="세출" sheetId="5" r:id="rId2"/>
    <sheet name="세입" sheetId="4" r:id="rId3"/>
    <sheet name="증감사유" sheetId="18" r:id="rId4"/>
  </sheets>
  <definedNames>
    <definedName name="_xlnm.Print_Area" localSheetId="2">세입!$A$1:$AC$38</definedName>
    <definedName name="_xlnm.Print_Titles" localSheetId="2">세입!$2:$3</definedName>
    <definedName name="_xlnm.Print_Titles" localSheetId="1">세출!$2:$3</definedName>
    <definedName name="가계보조비" localSheetId="2">세입!#REF!</definedName>
    <definedName name="가계보조수당" localSheetId="2">세입!#REF!</definedName>
    <definedName name="가계보조수당">세입!#REF!</definedName>
    <definedName name="가족수당" localSheetId="1">세출!#REF!</definedName>
    <definedName name="가족수당1" localSheetId="2">세입!#REF!</definedName>
    <definedName name="급식비" localSheetId="2">세입!#REF!</definedName>
    <definedName name="급식비1">세입!#REF!</definedName>
    <definedName name="급여총액" localSheetId="2">세입!#REF!</definedName>
    <definedName name="급여총액">세입!#REF!</definedName>
    <definedName name="기말수당" localSheetId="2">세입!#REF!</definedName>
    <definedName name="기본급" localSheetId="2">세입!#REF!</definedName>
    <definedName name="기본급" localSheetId="1">세출!#REF!</definedName>
    <definedName name="기본급">세입!#REF!</definedName>
    <definedName name="기본급1" localSheetId="2">세입!#REF!</definedName>
    <definedName name="기본급1" localSheetId="1">세출!#REF!</definedName>
    <definedName name="기본급7종" localSheetId="1">세출!#REF!</definedName>
    <definedName name="기본급법인" localSheetId="1">세출!#REF!</definedName>
    <definedName name="기본급총액" localSheetId="2">세입!#REF!</definedName>
    <definedName name="기본급총액" localSheetId="1">세출!#REF!</definedName>
    <definedName name="명절휴가비" localSheetId="1">세출!$AC$11</definedName>
    <definedName name="명절휴가비1" localSheetId="2">세입!#REF!</definedName>
    <definedName name="사회보험">세입!#REF!</definedName>
    <definedName name="사회보험1" localSheetId="2">세입!#REF!</definedName>
    <definedName name="사회보험부담금" localSheetId="2">세입!#REF!</definedName>
    <definedName name="상여금" localSheetId="2">세입!#REF!</definedName>
    <definedName name="상여금">세입!#REF!</definedName>
    <definedName name="상여금총액" localSheetId="2">세입!#REF!</definedName>
    <definedName name="상여금총액" localSheetId="1">세출!#REF!</definedName>
    <definedName name="수정제수당총액">세입!#REF!</definedName>
    <definedName name="연장근로수당" localSheetId="1">세출!$AC$20</definedName>
    <definedName name="연장근로수당1" localSheetId="2">세입!#REF!</definedName>
    <definedName name="운영비지원금" localSheetId="2">세입!#REF!</definedName>
    <definedName name="운전조리급식비" localSheetId="2">세입!#REF!</definedName>
    <definedName name="인건비지원금" localSheetId="2">세입!#REF!</definedName>
    <definedName name="입소자지원금" localSheetId="2">세입!#REF!</definedName>
    <definedName name="정근수당" localSheetId="2">세입!#REF!</definedName>
    <definedName name="제수당" localSheetId="2">세입!#REF!</definedName>
    <definedName name="제수당">세입!#REF!</definedName>
    <definedName name="제수당1" localSheetId="2">세입!#REF!</definedName>
    <definedName name="제수당1" localSheetId="1">세출!#REF!</definedName>
    <definedName name="제수당총액" localSheetId="2">세입!#REF!</definedName>
    <definedName name="제수당총액" localSheetId="1">세출!#REF!</definedName>
    <definedName name="직원급식비">세입!#REF!</definedName>
    <definedName name="직책보조비" localSheetId="2">세입!#REF!</definedName>
    <definedName name="퇴직금">세입!#REF!</definedName>
    <definedName name="퇴직금적립금" localSheetId="2">세입!#REF!</definedName>
    <definedName name="퇴직적립금1" localSheetId="2">세입!#REF!</definedName>
    <definedName name="특수근무수당" localSheetId="2">세입!#REF!</definedName>
    <definedName name="특수근무수당">세입!#REF!</definedName>
    <definedName name="특수근무수당1" localSheetId="2">세입!#REF!</definedName>
    <definedName name="특수근무수당1">세입!#REF!</definedName>
    <definedName name="특수근무수당2" localSheetId="2">세입!#REF!</definedName>
    <definedName name="특수근무수당2">세입!#REF!</definedName>
    <definedName name="특수근무수당3" localSheetId="2">세입!#REF!</definedName>
    <definedName name="특수근무수당3">세입!#REF!</definedName>
    <definedName name="프로그램지원금" localSheetId="2">세입!#REF!</definedName>
  </definedNames>
  <calcPr calcId="125725"/>
</workbook>
</file>

<file path=xl/calcChain.xml><?xml version="1.0" encoding="utf-8"?>
<calcChain xmlns="http://schemas.openxmlformats.org/spreadsheetml/2006/main">
  <c r="L5" i="4"/>
  <c r="K18" i="18"/>
  <c r="K16"/>
  <c r="K15"/>
  <c r="K14"/>
  <c r="K13"/>
  <c r="K12"/>
  <c r="K11"/>
  <c r="K9"/>
  <c r="K8"/>
  <c r="K7"/>
  <c r="H5" i="4" l="1"/>
  <c r="D4"/>
  <c r="K56" i="5"/>
  <c r="H115"/>
  <c r="F89"/>
  <c r="F88"/>
  <c r="E98"/>
  <c r="H88"/>
  <c r="H89"/>
  <c r="G89"/>
  <c r="G88"/>
  <c r="G98"/>
  <c r="H126"/>
  <c r="F98"/>
  <c r="F94"/>
  <c r="G94"/>
  <c r="H94"/>
  <c r="AC72"/>
  <c r="AC71"/>
  <c r="H68" l="1"/>
  <c r="H125"/>
  <c r="F9" i="4"/>
  <c r="AB13"/>
  <c r="AC148" i="5"/>
  <c r="AC133"/>
  <c r="AC130"/>
  <c r="AC131"/>
  <c r="H98"/>
  <c r="AC80"/>
  <c r="AC38"/>
  <c r="AC33"/>
  <c r="AC34"/>
  <c r="AC35"/>
  <c r="AC36"/>
  <c r="AC37"/>
  <c r="AC39"/>
  <c r="AC40"/>
  <c r="AC41"/>
  <c r="AC32"/>
  <c r="H63"/>
  <c r="F111"/>
  <c r="F63"/>
  <c r="AC42"/>
  <c r="AC43"/>
  <c r="AC44"/>
  <c r="AC45"/>
  <c r="AC17"/>
  <c r="AC16"/>
  <c r="I25" i="4"/>
  <c r="AB25"/>
  <c r="I22"/>
  <c r="E22" s="1"/>
  <c r="K22" s="1"/>
  <c r="L22" s="1"/>
  <c r="K19" i="18"/>
  <c r="K17"/>
  <c r="E15"/>
  <c r="E14"/>
  <c r="E13"/>
  <c r="E12"/>
  <c r="E11"/>
  <c r="K10"/>
  <c r="K6" s="1"/>
  <c r="E10"/>
  <c r="E9"/>
  <c r="E6" s="1"/>
  <c r="E8"/>
  <c r="E7"/>
  <c r="J6"/>
  <c r="I6"/>
  <c r="D6"/>
  <c r="C6"/>
  <c r="G12" i="16"/>
  <c r="G9"/>
  <c r="G10"/>
  <c r="G11"/>
  <c r="G13"/>
  <c r="G14"/>
  <c r="G15"/>
  <c r="G16"/>
  <c r="G8"/>
  <c r="G7" s="1"/>
  <c r="F7"/>
  <c r="E7"/>
  <c r="AB19" i="4"/>
  <c r="AB12"/>
  <c r="G9" s="1"/>
  <c r="AB6"/>
  <c r="AC106" i="5"/>
  <c r="F105" s="1"/>
  <c r="I5"/>
  <c r="I105"/>
  <c r="I104" s="1"/>
  <c r="I103" s="1"/>
  <c r="AB22" i="4"/>
  <c r="E94" i="5"/>
  <c r="F90"/>
  <c r="AC51"/>
  <c r="F51" s="1"/>
  <c r="D8" i="4"/>
  <c r="D7" s="1"/>
  <c r="D31"/>
  <c r="E32"/>
  <c r="E34"/>
  <c r="E36"/>
  <c r="AB9" l="1"/>
  <c r="AC31" i="5"/>
  <c r="I4" i="4"/>
  <c r="E89" i="5"/>
  <c r="E88" s="1"/>
  <c r="E31" i="4"/>
  <c r="K31" s="1"/>
  <c r="L23" i="16"/>
  <c r="L22"/>
  <c r="L21"/>
  <c r="L20"/>
  <c r="L19"/>
  <c r="L18"/>
  <c r="L17"/>
  <c r="L16"/>
  <c r="L15"/>
  <c r="L14"/>
  <c r="L13"/>
  <c r="L12"/>
  <c r="L11"/>
  <c r="L10"/>
  <c r="L9"/>
  <c r="L8"/>
  <c r="K7"/>
  <c r="J7"/>
  <c r="L7" l="1"/>
  <c r="Q21" i="5"/>
  <c r="AC63"/>
  <c r="H118"/>
  <c r="AC70"/>
  <c r="H111"/>
  <c r="AC145"/>
  <c r="I126" s="1"/>
  <c r="AC135"/>
  <c r="AC136"/>
  <c r="E111"/>
  <c r="AC57"/>
  <c r="AC18"/>
  <c r="Q22"/>
  <c r="N22"/>
  <c r="N21"/>
  <c r="N13"/>
  <c r="N12"/>
  <c r="Q13"/>
  <c r="AC13" s="1"/>
  <c r="D59"/>
  <c r="J47"/>
  <c r="H47"/>
  <c r="G47"/>
  <c r="F47"/>
  <c r="D6"/>
  <c r="AC47"/>
  <c r="I125" l="1"/>
  <c r="I4" s="1"/>
  <c r="E126"/>
  <c r="F56"/>
  <c r="E56" s="1"/>
  <c r="AC15"/>
  <c r="E47"/>
  <c r="K111"/>
  <c r="F31" i="4"/>
  <c r="AC154" i="5"/>
  <c r="AC123"/>
  <c r="F122" s="1"/>
  <c r="E122" s="1"/>
  <c r="AC107"/>
  <c r="H105" s="1"/>
  <c r="AC69"/>
  <c r="AC68" s="1"/>
  <c r="D89"/>
  <c r="D88" s="1"/>
  <c r="AC21"/>
  <c r="D125"/>
  <c r="D104"/>
  <c r="D50"/>
  <c r="D5" s="1"/>
  <c r="H25" i="4"/>
  <c r="G104" i="5"/>
  <c r="J104"/>
  <c r="J89"/>
  <c r="J88" s="1"/>
  <c r="G59"/>
  <c r="J59"/>
  <c r="G50"/>
  <c r="H6"/>
  <c r="AC149"/>
  <c r="AC147" s="1"/>
  <c r="AC143"/>
  <c r="AC142"/>
  <c r="AC139"/>
  <c r="AC134"/>
  <c r="AC132"/>
  <c r="AC129"/>
  <c r="AC116"/>
  <c r="AC85"/>
  <c r="AC83"/>
  <c r="AC77"/>
  <c r="F74" s="1"/>
  <c r="H74" s="1"/>
  <c r="AC78"/>
  <c r="AC79"/>
  <c r="AC76"/>
  <c r="AC75"/>
  <c r="AC60"/>
  <c r="AC56"/>
  <c r="E105" l="1"/>
  <c r="H104"/>
  <c r="F68"/>
  <c r="AC128"/>
  <c r="H59"/>
  <c r="H5" s="1"/>
  <c r="F50"/>
  <c r="AC105"/>
  <c r="F59"/>
  <c r="AC141"/>
  <c r="D103"/>
  <c r="AC25"/>
  <c r="AC22"/>
  <c r="AC20" s="1"/>
  <c r="Q29" s="1"/>
  <c r="AC29" s="1"/>
  <c r="J27" s="1"/>
  <c r="AC12"/>
  <c r="AC9"/>
  <c r="AC8"/>
  <c r="AC7" l="1"/>
  <c r="AC24"/>
  <c r="G10" s="1"/>
  <c r="G6" s="1"/>
  <c r="G5" s="1"/>
  <c r="AC11"/>
  <c r="F10" s="1"/>
  <c r="Q28" l="1"/>
  <c r="AC28" s="1"/>
  <c r="F27" s="1"/>
  <c r="F7"/>
  <c r="E7" s="1"/>
  <c r="AC10"/>
  <c r="F25" i="4"/>
  <c r="E25" s="1"/>
  <c r="K25" s="1"/>
  <c r="L25" s="1"/>
  <c r="AB18"/>
  <c r="Q20" s="1"/>
  <c r="AB20" s="1"/>
  <c r="AB17" l="1"/>
  <c r="J17" s="1"/>
  <c r="H8"/>
  <c r="H7" s="1"/>
  <c r="J8"/>
  <c r="J7" s="1"/>
  <c r="AC138" i="5"/>
  <c r="H153"/>
  <c r="J153"/>
  <c r="G153"/>
  <c r="F154"/>
  <c r="F153" s="1"/>
  <c r="D153"/>
  <c r="D4" s="1"/>
  <c r="G125"/>
  <c r="G103" s="1"/>
  <c r="G4" s="1"/>
  <c r="J125"/>
  <c r="J103" s="1"/>
  <c r="AC111"/>
  <c r="AC94"/>
  <c r="L90"/>
  <c r="AC90"/>
  <c r="K90" s="1"/>
  <c r="AC82"/>
  <c r="J50"/>
  <c r="G8" i="4" l="1"/>
  <c r="G7" s="1"/>
  <c r="E9"/>
  <c r="E8" s="1"/>
  <c r="E7" s="1"/>
  <c r="AC122" i="5"/>
  <c r="AC98"/>
  <c r="AC89" s="1"/>
  <c r="E68"/>
  <c r="AB8" i="4" l="1"/>
  <c r="AB7" s="1"/>
  <c r="AC126" i="5"/>
  <c r="AC125" s="1"/>
  <c r="F125" l="1"/>
  <c r="AC115"/>
  <c r="E115" s="1"/>
  <c r="G31" i="4" l="1"/>
  <c r="G4" s="1"/>
  <c r="H31"/>
  <c r="J31"/>
  <c r="K126" i="5" l="1"/>
  <c r="L126" s="1"/>
  <c r="H103"/>
  <c r="H4" s="1"/>
  <c r="K34" i="4"/>
  <c r="L34" s="1"/>
  <c r="K32"/>
  <c r="AB5"/>
  <c r="E125" i="5" l="1"/>
  <c r="E5" i="4"/>
  <c r="K7" i="5"/>
  <c r="H4" i="4" l="1"/>
  <c r="K5"/>
  <c r="J10" i="5"/>
  <c r="E10" s="1"/>
  <c r="J6" l="1"/>
  <c r="J5" s="1"/>
  <c r="J4" s="1"/>
  <c r="AC27" l="1"/>
  <c r="E27"/>
  <c r="AC153"/>
  <c r="AC119"/>
  <c r="AC118" l="1"/>
  <c r="F118"/>
  <c r="E118" s="1"/>
  <c r="AC74"/>
  <c r="E74" s="1"/>
  <c r="K74" s="1"/>
  <c r="L74" s="1"/>
  <c r="AC50"/>
  <c r="AB36" i="4"/>
  <c r="AB31" s="1"/>
  <c r="AB4" s="1"/>
  <c r="L7" i="5"/>
  <c r="E51"/>
  <c r="E60"/>
  <c r="L111"/>
  <c r="E154"/>
  <c r="L56"/>
  <c r="K118" l="1"/>
  <c r="L118" s="1"/>
  <c r="F31"/>
  <c r="K27"/>
  <c r="L27" s="1"/>
  <c r="AC59"/>
  <c r="K60"/>
  <c r="L60" s="1"/>
  <c r="K115"/>
  <c r="L115" s="1"/>
  <c r="K98"/>
  <c r="L98" s="1"/>
  <c r="AC88"/>
  <c r="E85"/>
  <c r="K85" s="1"/>
  <c r="L85" s="1"/>
  <c r="E82"/>
  <c r="K82" s="1"/>
  <c r="L82" s="1"/>
  <c r="K51"/>
  <c r="L51" s="1"/>
  <c r="K122"/>
  <c r="L122" s="1"/>
  <c r="K154"/>
  <c r="L154" s="1"/>
  <c r="E153"/>
  <c r="K153" s="1"/>
  <c r="L153" s="1"/>
  <c r="K125"/>
  <c r="L125" s="1"/>
  <c r="E54"/>
  <c r="K54" s="1"/>
  <c r="L54" s="1"/>
  <c r="E50" l="1"/>
  <c r="K50" s="1"/>
  <c r="L50" s="1"/>
  <c r="AC6"/>
  <c r="K68"/>
  <c r="L68" s="1"/>
  <c r="E17" i="4"/>
  <c r="K17" s="1"/>
  <c r="L17" s="1"/>
  <c r="K88" i="5"/>
  <c r="L88" s="1"/>
  <c r="K36" i="4"/>
  <c r="L36" s="1"/>
  <c r="K10" i="5"/>
  <c r="L10" s="1"/>
  <c r="E63"/>
  <c r="E59" s="1"/>
  <c r="AC5" l="1"/>
  <c r="E31"/>
  <c r="E6" s="1"/>
  <c r="E5" s="1"/>
  <c r="F6"/>
  <c r="F5" s="1"/>
  <c r="J4" i="4"/>
  <c r="K63" i="5"/>
  <c r="L63" s="1"/>
  <c r="K59"/>
  <c r="L59" s="1"/>
  <c r="L31" i="4"/>
  <c r="K31" i="5" l="1"/>
  <c r="L31" s="1"/>
  <c r="F8" i="4"/>
  <c r="F7" s="1"/>
  <c r="F4" s="1"/>
  <c r="E4" s="1"/>
  <c r="K4" s="1"/>
  <c r="L4" s="1"/>
  <c r="K5" i="5" l="1"/>
  <c r="L5" s="1"/>
  <c r="K6"/>
  <c r="L6" s="1"/>
  <c r="K9" i="4" l="1"/>
  <c r="L9" s="1"/>
  <c r="K8"/>
  <c r="L8" s="1"/>
  <c r="K7" l="1"/>
  <c r="L7" s="1"/>
  <c r="L94" i="5"/>
  <c r="K89"/>
  <c r="L89" s="1"/>
  <c r="K94"/>
  <c r="AC104"/>
  <c r="AC103" l="1"/>
  <c r="AC4" s="1"/>
  <c r="K105"/>
  <c r="L105" s="1"/>
  <c r="E104"/>
  <c r="E103" s="1"/>
  <c r="F104"/>
  <c r="F103" s="1"/>
  <c r="F4" s="1"/>
  <c r="E4" s="1"/>
  <c r="K4" s="1"/>
  <c r="L4" s="1"/>
  <c r="K104" l="1"/>
  <c r="L104" l="1"/>
  <c r="K103"/>
  <c r="L103" s="1"/>
</calcChain>
</file>

<file path=xl/sharedStrings.xml><?xml version="1.0" encoding="utf-8"?>
<sst xmlns="http://schemas.openxmlformats.org/spreadsheetml/2006/main" count="880" uniqueCount="405">
  <si>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</si>
  <si>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</si>
  <si>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</si>
  <si>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</si>
  <si>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</si>
  <si>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</si>
  <si>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</si>
  <si>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</si>
  <si>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</si>
  <si>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</si>
  <si>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</si>
  <si>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</si>
  <si>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</si>
  <si>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</si>
  <si>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</si>
  <si>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</si>
  <si>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</si>
  <si>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</si>
  <si>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</si>
  <si>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</si>
  <si>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</si>
  <si>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</si>
  <si>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</si>
  <si>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</si>
  <si>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</si>
  <si>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</si>
  <si>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</si>
  <si>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</si>
  <si>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</si>
  <si>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</si>
  <si>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</si>
  <si>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</si>
  <si>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</si>
  <si>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</si>
  <si>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</si>
  <si>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</si>
  <si>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</si>
  <si>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</si>
  <si>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</si>
  <si>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</si>
  <si>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</si>
  <si>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</si>
  <si>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</si>
  <si>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</si>
  <si>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</si>
  <si>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</si>
  <si>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</si>
  <si>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</si>
  <si>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</si>
  <si>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</si>
  <si>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</si>
  <si>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</si>
  <si>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</si>
  <si>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</si>
  <si>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</si>
  <si>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</si>
  <si>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</si>
  <si>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</si>
  <si>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</si>
  <si>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</si>
  <si>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</si>
  <si>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</si>
  <si>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</si>
  <si>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</si>
  <si>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※ 입소비용수입</t>
    <phoneticPr fontId="5" type="noConversion"/>
  </si>
  <si>
    <t>합  계 :</t>
    <phoneticPr fontId="5" type="noConversion"/>
  </si>
  <si>
    <t>* 입소비용수입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</si>
  <si>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</si>
  <si>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</si>
  <si>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&lt;보조금수입 합계&gt;</t>
    <phoneticPr fontId="5" type="noConversion"/>
  </si>
  <si>
    <t>원</t>
    <phoneticPr fontId="5" type="noConversion"/>
  </si>
  <si>
    <t>경  상</t>
    <phoneticPr fontId="5" type="noConversion"/>
  </si>
  <si>
    <t>계</t>
    <phoneticPr fontId="5" type="noConversion"/>
  </si>
  <si>
    <t>&lt;경상보조금수입 합계&gt;</t>
    <phoneticPr fontId="5" type="noConversion"/>
  </si>
  <si>
    <t>총  계 :</t>
    <phoneticPr fontId="5" type="noConversion"/>
  </si>
  <si>
    <t>보조금</t>
    <phoneticPr fontId="5" type="noConversion"/>
  </si>
  <si>
    <t>총  계 :</t>
    <phoneticPr fontId="5" type="noConversion"/>
  </si>
  <si>
    <t>합    계 :</t>
    <phoneticPr fontId="5" type="noConversion"/>
  </si>
  <si>
    <t>÷</t>
    <phoneticPr fontId="5" type="noConversion"/>
  </si>
  <si>
    <t>=</t>
    <phoneticPr fontId="5" type="noConversion"/>
  </si>
  <si>
    <t>회</t>
    <phoneticPr fontId="5" type="noConversion"/>
  </si>
  <si>
    <t>전입금</t>
    <phoneticPr fontId="5" type="noConversion"/>
  </si>
  <si>
    <t>전년도</t>
    <phoneticPr fontId="5" type="noConversion"/>
  </si>
  <si>
    <t>잡수입</t>
    <phoneticPr fontId="5" type="noConversion"/>
  </si>
  <si>
    <t>소계</t>
    <phoneticPr fontId="5" type="noConversion"/>
  </si>
  <si>
    <t>&lt;잡수입 합계&gt;</t>
    <phoneticPr fontId="5" type="noConversion"/>
  </si>
  <si>
    <t>원</t>
    <phoneticPr fontId="5" type="noConversion"/>
  </si>
  <si>
    <t>※ 불용품매각대</t>
    <phoneticPr fontId="5" type="noConversion"/>
  </si>
  <si>
    <t>매각대</t>
    <phoneticPr fontId="5" type="noConversion"/>
  </si>
  <si>
    <t>※ 예금이자수입</t>
    <phoneticPr fontId="5" type="noConversion"/>
  </si>
  <si>
    <t>원</t>
    <phoneticPr fontId="5" type="noConversion"/>
  </si>
  <si>
    <t>※기본급</t>
    <phoneticPr fontId="5" type="noConversion"/>
  </si>
  <si>
    <t>원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</si>
  <si>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</si>
  <si>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</si>
  <si>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</si>
  <si>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</si>
  <si>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</si>
  <si>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</si>
  <si>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</si>
  <si>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</si>
  <si>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</si>
  <si>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월</t>
    <phoneticPr fontId="5" type="noConversion"/>
  </si>
  <si>
    <t>회  의  비</t>
    <phoneticPr fontId="5" type="noConversion"/>
  </si>
  <si>
    <t>여    비</t>
    <phoneticPr fontId="5" type="noConversion"/>
  </si>
  <si>
    <t>보조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</si>
  <si>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</si>
  <si>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</si>
  <si>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</si>
  <si>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</si>
  <si>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</si>
  <si>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</si>
  <si>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</si>
  <si>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</si>
  <si>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</si>
  <si>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</si>
  <si>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※ 연료비</t>
    <phoneticPr fontId="5" type="noConversion"/>
  </si>
  <si>
    <t>프로그램</t>
    <phoneticPr fontId="5" type="noConversion"/>
  </si>
  <si>
    <t>입소</t>
    <phoneticPr fontId="5" type="noConversion"/>
  </si>
  <si>
    <t>2.주부식비(보충액)</t>
    <phoneticPr fontId="5" type="noConversion"/>
  </si>
  <si>
    <t>원</t>
    <phoneticPr fontId="5" type="noConversion"/>
  </si>
  <si>
    <t>원</t>
    <phoneticPr fontId="5" type="noConversion"/>
  </si>
  <si>
    <t>입소자
부담금</t>
    <phoneticPr fontId="5" type="noConversion"/>
  </si>
  <si>
    <t>비  용</t>
  </si>
  <si>
    <t>법인
전입금</t>
    <phoneticPr fontId="5" type="noConversion"/>
  </si>
  <si>
    <t xml:space="preserve">총  계 : </t>
    <phoneticPr fontId="5" type="noConversion"/>
  </si>
  <si>
    <t>합계:</t>
    <phoneticPr fontId="5" type="noConversion"/>
  </si>
  <si>
    <t>법인</t>
    <phoneticPr fontId="5" type="noConversion"/>
  </si>
  <si>
    <t>전입금</t>
    <phoneticPr fontId="5" type="noConversion"/>
  </si>
  <si>
    <t>기타</t>
    <phoneticPr fontId="5" type="noConversion"/>
  </si>
  <si>
    <t>예금</t>
    <phoneticPr fontId="5" type="noConversion"/>
  </si>
  <si>
    <t>이자</t>
    <phoneticPr fontId="5" type="noConversion"/>
  </si>
  <si>
    <t>불용품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</si>
  <si>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</si>
  <si>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</si>
  <si>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</si>
  <si>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</si>
  <si>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업   무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</si>
  <si>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</si>
  <si>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</si>
  <si>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</si>
  <si>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소  계 :</t>
    <phoneticPr fontId="5" type="noConversion"/>
  </si>
  <si>
    <t>※ 피복비</t>
  </si>
  <si>
    <t>※ 의료비</t>
    <phoneticPr fontId="5" type="noConversion"/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</si>
  <si>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</si>
  <si>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</si>
  <si>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</si>
  <si>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</si>
  <si>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</si>
  <si>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</si>
  <si>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</si>
  <si>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</si>
  <si>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</si>
  <si>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</si>
  <si>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</si>
  <si>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</si>
  <si>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</si>
  <si>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</si>
  <si>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</si>
  <si>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</si>
  <si>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</si>
  <si>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경비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</si>
  <si>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</si>
  <si>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</si>
  <si>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</si>
  <si>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</si>
  <si>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</si>
  <si>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</si>
  <si>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유지비</t>
    <phoneticPr fontId="5" type="noConversion"/>
  </si>
  <si>
    <t>보조금</t>
    <phoneticPr fontId="5" type="noConversion"/>
  </si>
  <si>
    <t>원</t>
    <phoneticPr fontId="5" type="noConversion"/>
  </si>
  <si>
    <t>원</t>
    <phoneticPr fontId="5" type="noConversion"/>
  </si>
  <si>
    <t>* 연장근로수당</t>
    <phoneticPr fontId="5" type="noConversion"/>
  </si>
  <si>
    <t>×</t>
    <phoneticPr fontId="5" type="noConversion"/>
  </si>
  <si>
    <t>÷</t>
    <phoneticPr fontId="5" type="noConversion"/>
  </si>
  <si>
    <t>=</t>
    <phoneticPr fontId="5" type="noConversion"/>
  </si>
  <si>
    <t>원</t>
    <phoneticPr fontId="5" type="noConversion"/>
  </si>
  <si>
    <t>2. 입소비용</t>
    <phoneticPr fontId="5" type="noConversion"/>
  </si>
  <si>
    <t>3. 법인전입금</t>
    <phoneticPr fontId="5" type="noConversion"/>
  </si>
  <si>
    <t>1. 보조금 이월금(예금이자)</t>
    <phoneticPr fontId="5" type="noConversion"/>
  </si>
  <si>
    <t>보조금
(7종)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</si>
  <si>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</si>
  <si>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</si>
  <si>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</si>
  <si>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</si>
  <si>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>*사회재활교사</t>
    <phoneticPr fontId="5" type="noConversion"/>
  </si>
  <si>
    <t>월</t>
    <phoneticPr fontId="5" type="noConversion"/>
  </si>
  <si>
    <t>1.명절휴가비(보조금)</t>
    <phoneticPr fontId="5" type="noConversion"/>
  </si>
  <si>
    <t>* 건강보험부담금</t>
    <phoneticPr fontId="5" type="noConversion"/>
  </si>
  <si>
    <t>* 고용보험부담금</t>
    <phoneticPr fontId="5" type="noConversion"/>
  </si>
  <si>
    <t>* 산재보험부담금</t>
    <phoneticPr fontId="5" type="noConversion"/>
  </si>
  <si>
    <t>* 국민연금부담금</t>
    <phoneticPr fontId="5" type="noConversion"/>
  </si>
  <si>
    <t>* 회의관련 다과비등</t>
    <phoneticPr fontId="5" type="noConversion"/>
  </si>
  <si>
    <t>회</t>
    <phoneticPr fontId="5" type="noConversion"/>
  </si>
  <si>
    <t>소계:</t>
    <phoneticPr fontId="5" type="noConversion"/>
  </si>
  <si>
    <t>1. 사무용품비(문구류 )</t>
    <phoneticPr fontId="5" type="noConversion"/>
  </si>
  <si>
    <t>월</t>
    <phoneticPr fontId="5" type="noConversion"/>
  </si>
  <si>
    <t>원</t>
    <phoneticPr fontId="5" type="noConversion"/>
  </si>
  <si>
    <t>1. 화재보험료</t>
    <phoneticPr fontId="5" type="noConversion"/>
  </si>
  <si>
    <t>2. 상해보험료</t>
    <phoneticPr fontId="5" type="noConversion"/>
  </si>
  <si>
    <t>3. 소방안전점검</t>
    <phoneticPr fontId="5" type="noConversion"/>
  </si>
  <si>
    <t>4. 전기안전점검</t>
    <phoneticPr fontId="5" type="noConversion"/>
  </si>
  <si>
    <t>5. 가스안전점검</t>
    <phoneticPr fontId="5" type="noConversion"/>
  </si>
  <si>
    <t>* 차량유류대</t>
    <phoneticPr fontId="5" type="noConversion"/>
  </si>
  <si>
    <t>* 직원 외부교육비</t>
    <phoneticPr fontId="5" type="noConversion"/>
  </si>
  <si>
    <t>1.주부식비</t>
    <phoneticPr fontId="5" type="noConversion"/>
  </si>
  <si>
    <t>* 일상생활용품</t>
    <phoneticPr fontId="5" type="noConversion"/>
  </si>
  <si>
    <t>* 피복비</t>
    <phoneticPr fontId="5" type="noConversion"/>
  </si>
  <si>
    <t>명</t>
    <phoneticPr fontId="5" type="noConversion"/>
  </si>
  <si>
    <t>=</t>
    <phoneticPr fontId="5" type="noConversion"/>
  </si>
  <si>
    <t>* 입소자 건강진단비</t>
    <phoneticPr fontId="5" type="noConversion"/>
  </si>
  <si>
    <t>* 외래진료 및 의약품비 등</t>
    <phoneticPr fontId="5" type="noConversion"/>
  </si>
  <si>
    <t>* 취사용 연료비</t>
    <phoneticPr fontId="5" type="noConversion"/>
  </si>
  <si>
    <t>1. 찜질방 이용</t>
    <phoneticPr fontId="5" type="noConversion"/>
  </si>
  <si>
    <t>B. 정서안정지원 프로그램</t>
    <phoneticPr fontId="5" type="noConversion"/>
  </si>
  <si>
    <t>1. 생일축하 파티(선물 및 케익 등)</t>
    <phoneticPr fontId="5" type="noConversion"/>
  </si>
  <si>
    <t>E. 계절별 프로그램</t>
    <phoneticPr fontId="5" type="noConversion"/>
  </si>
  <si>
    <t>1. 여름캠프</t>
    <phoneticPr fontId="5" type="noConversion"/>
  </si>
  <si>
    <t>2. 등산</t>
    <phoneticPr fontId="5" type="noConversion"/>
  </si>
  <si>
    <t>3. 원가정 테마여행</t>
    <phoneticPr fontId="5" type="noConversion"/>
  </si>
  <si>
    <t>회</t>
    <phoneticPr fontId="5" type="noConversion"/>
  </si>
  <si>
    <t>F. 기타 프로그램 지원사업</t>
    <phoneticPr fontId="5" type="noConversion"/>
  </si>
  <si>
    <t>1.보조금 예금이자 이월금</t>
    <phoneticPr fontId="5" type="noConversion"/>
  </si>
  <si>
    <t>3. 김장비용</t>
    <phoneticPr fontId="5" type="noConversion"/>
  </si>
  <si>
    <t>원</t>
    <phoneticPr fontId="5" type="noConversion"/>
  </si>
  <si>
    <t>원</t>
    <phoneticPr fontId="5" type="noConversion"/>
  </si>
  <si>
    <t>세입총계</t>
    <phoneticPr fontId="5" type="noConversion"/>
  </si>
  <si>
    <t>=</t>
    <phoneticPr fontId="5" type="noConversion"/>
  </si>
  <si>
    <t>* 퇴직적립금</t>
    <phoneticPr fontId="5" type="noConversion"/>
  </si>
  <si>
    <t>6호</t>
    <phoneticPr fontId="5" type="noConversion"/>
  </si>
  <si>
    <t>7호</t>
    <phoneticPr fontId="5" type="noConversion"/>
  </si>
  <si>
    <t>&lt;2013년도 세입내역&gt;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</si>
  <si>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</si>
  <si>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</si>
  <si>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</si>
  <si>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※ 기타후생경비</t>
    <phoneticPr fontId="5" type="noConversion"/>
  </si>
  <si>
    <t>* 종사자건강검진비용</t>
    <phoneticPr fontId="5" type="noConversion"/>
  </si>
  <si>
    <t>기타        후생경비</t>
    <phoneticPr fontId="5" type="noConversion"/>
  </si>
  <si>
    <t>&lt;2013년도 세출내역&gt;</t>
    <phoneticPr fontId="5" type="noConversion"/>
  </si>
  <si>
    <t>2. 가족수당(보조금)</t>
    <phoneticPr fontId="5" type="noConversion"/>
  </si>
  <si>
    <t>3.연장근로수당(법인)</t>
    <phoneticPr fontId="5" type="noConversion"/>
  </si>
  <si>
    <t>4.종사자근무수당(7종)</t>
    <phoneticPr fontId="5" type="noConversion"/>
  </si>
  <si>
    <t>* 설 명절 휴가비</t>
    <phoneticPr fontId="5" type="noConversion"/>
  </si>
  <si>
    <t>* 추석 명절휴가비</t>
    <phoneticPr fontId="5" type="noConversion"/>
  </si>
  <si>
    <t>* 가족수당 소급분</t>
    <phoneticPr fontId="5" type="noConversion"/>
  </si>
  <si>
    <t>원</t>
    <phoneticPr fontId="5" type="noConversion"/>
  </si>
  <si>
    <t>월</t>
    <phoneticPr fontId="5" type="noConversion"/>
  </si>
  <si>
    <t>원</t>
    <phoneticPr fontId="5" type="noConversion"/>
  </si>
  <si>
    <t>* 퇴직적립금(보조금)</t>
    <phoneticPr fontId="5" type="noConversion"/>
  </si>
  <si>
    <t>* 퇴직적립금(자부담)</t>
    <phoneticPr fontId="5" type="noConversion"/>
  </si>
  <si>
    <t>* 일상생활용품</t>
    <phoneticPr fontId="5" type="noConversion"/>
  </si>
  <si>
    <t>A. 지역사회이용 프로그램</t>
    <phoneticPr fontId="5" type="noConversion"/>
  </si>
  <si>
    <t>4. 가을여행</t>
    <phoneticPr fontId="5" type="noConversion"/>
  </si>
  <si>
    <t>회</t>
    <phoneticPr fontId="5" type="noConversion"/>
  </si>
  <si>
    <t>=</t>
    <phoneticPr fontId="5" type="noConversion"/>
  </si>
  <si>
    <t>2. 주방용품 구입 및 소규모수선비</t>
    <phoneticPr fontId="5" type="noConversion"/>
  </si>
  <si>
    <t>3.기타 수용비 및 수수료</t>
    <phoneticPr fontId="5" type="noConversion"/>
  </si>
  <si>
    <t>□ 세 입 · 세 출 총  괄  표</t>
    <phoneticPr fontId="26" type="noConversion"/>
  </si>
  <si>
    <t>(단위:원)</t>
    <phoneticPr fontId="26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</si>
  <si>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</si>
  <si>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</si>
  <si>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</si>
  <si>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</si>
  <si>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</si>
  <si>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</si>
  <si>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</si>
  <si>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사무비</t>
    <phoneticPr fontId="5" type="noConversion"/>
  </si>
  <si>
    <t>인      건      비</t>
    <phoneticPr fontId="26" type="noConversion"/>
  </si>
  <si>
    <t>보조금  수입</t>
    <phoneticPr fontId="26" type="noConversion"/>
  </si>
  <si>
    <t>경상보조금수입</t>
    <phoneticPr fontId="26" type="noConversion"/>
  </si>
  <si>
    <t>기타후생경비</t>
    <phoneticPr fontId="5" type="noConversion"/>
  </si>
  <si>
    <t>자본보조금수입</t>
    <phoneticPr fontId="26" type="noConversion"/>
  </si>
  <si>
    <t>업 무   추 진 비</t>
    <phoneticPr fontId="26" type="noConversion"/>
  </si>
  <si>
    <t>기타보조금수입</t>
    <phoneticPr fontId="26" type="noConversion"/>
  </si>
  <si>
    <t>운      영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</si>
  <si>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</si>
  <si>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</si>
  <si>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재산조성비</t>
    <phoneticPr fontId="26" type="noConversion"/>
  </si>
  <si>
    <t>시      설      비</t>
    <phoneticPr fontId="26" type="noConversion"/>
  </si>
  <si>
    <t>비지정   후원금</t>
    <phoneticPr fontId="26" type="noConversion"/>
  </si>
  <si>
    <t>자 산   취 득 비</t>
    <phoneticPr fontId="26" type="noConversion"/>
  </si>
  <si>
    <t>전    입    금</t>
    <phoneticPr fontId="26" type="noConversion"/>
  </si>
  <si>
    <t>법인      전입금</t>
    <phoneticPr fontId="26" type="noConversion"/>
  </si>
  <si>
    <t>시설장비유지비</t>
    <phoneticPr fontId="26" type="noConversion"/>
  </si>
  <si>
    <t>이    월    금</t>
    <phoneticPr fontId="26" type="noConversion"/>
  </si>
  <si>
    <t>전년도   이월금</t>
    <phoneticPr fontId="26" type="noConversion"/>
  </si>
  <si>
    <t>사   업   비</t>
    <phoneticPr fontId="26" type="noConversion"/>
  </si>
  <si>
    <t>생      계      비</t>
    <phoneticPr fontId="26" type="noConversion"/>
  </si>
  <si>
    <t>잡    수    입</t>
    <phoneticPr fontId="26" type="noConversion"/>
  </si>
  <si>
    <t>잡      수      입</t>
    <phoneticPr fontId="26" type="noConversion"/>
  </si>
  <si>
    <t>수용기관   경비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</si>
  <si>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</si>
  <si>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</si>
  <si>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</si>
  <si>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</si>
  <si>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보조금반환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</si>
  <si>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</si>
  <si>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</si>
  <si>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</si>
  <si>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</si>
  <si>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</si>
  <si>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2013년
본 예산</t>
    <phoneticPr fontId="26" type="noConversion"/>
  </si>
  <si>
    <t>* 종사자교육비용</t>
    <phoneticPr fontId="5" type="noConversion"/>
  </si>
  <si>
    <t>원</t>
    <phoneticPr fontId="5" type="noConversion"/>
  </si>
  <si>
    <t>* 건강보험정산보험료</t>
    <phoneticPr fontId="5" type="noConversion"/>
  </si>
  <si>
    <t>* 고용보험정산보험료</t>
    <phoneticPr fontId="5" type="noConversion"/>
  </si>
  <si>
    <t>* 산재보험정산보험료</t>
    <phoneticPr fontId="5" type="noConversion"/>
  </si>
  <si>
    <t>* 장기요양보험정산보험료</t>
    <phoneticPr fontId="5" type="noConversion"/>
  </si>
  <si>
    <t>* 욕실 파티션</t>
    <phoneticPr fontId="5" type="noConversion"/>
  </si>
  <si>
    <t>※ 후원금</t>
    <phoneticPr fontId="5" type="noConversion"/>
  </si>
  <si>
    <t>※ 전년도 이월금</t>
    <phoneticPr fontId="5" type="noConversion"/>
  </si>
  <si>
    <t>* 비지정 후원금</t>
    <phoneticPr fontId="5" type="noConversion"/>
  </si>
  <si>
    <t>후원금</t>
    <phoneticPr fontId="5" type="noConversion"/>
  </si>
  <si>
    <t>비지정</t>
    <phoneticPr fontId="5" type="noConversion"/>
  </si>
  <si>
    <t>4. 간식비용</t>
    <phoneticPr fontId="5" type="noConversion"/>
  </si>
  <si>
    <t>프로그램비 삭감</t>
    <phoneticPr fontId="5" type="noConversion"/>
  </si>
  <si>
    <t>환경개선비 증액</t>
    <phoneticPr fontId="5" type="noConversion"/>
  </si>
  <si>
    <t>재산        조성비</t>
    <phoneticPr fontId="26" type="noConversion"/>
  </si>
  <si>
    <t>사 무 비</t>
    <phoneticPr fontId="26" type="noConversion"/>
  </si>
  <si>
    <t>사 업 비</t>
    <phoneticPr fontId="26" type="noConversion"/>
  </si>
  <si>
    <t>보조금     반환</t>
    <phoneticPr fontId="26" type="noConversion"/>
  </si>
  <si>
    <t>인 건 비</t>
    <phoneticPr fontId="26" type="noConversion"/>
  </si>
  <si>
    <t>업 무              추 진 비</t>
    <phoneticPr fontId="26" type="noConversion"/>
  </si>
  <si>
    <t>운 영 비</t>
    <phoneticPr fontId="26" type="noConversion"/>
  </si>
  <si>
    <t>시 설 비</t>
    <phoneticPr fontId="26" type="noConversion"/>
  </si>
  <si>
    <t>시설장비         유지비</t>
    <phoneticPr fontId="26" type="noConversion"/>
  </si>
  <si>
    <t>자 산              취 득 비</t>
    <phoneticPr fontId="26" type="noConversion"/>
  </si>
  <si>
    <t>생 계 비</t>
    <phoneticPr fontId="26" type="noConversion"/>
  </si>
  <si>
    <t>수용기관         경비</t>
    <phoneticPr fontId="26" type="noConversion"/>
  </si>
  <si>
    <t>피 복 비</t>
    <phoneticPr fontId="26" type="noConversion"/>
  </si>
  <si>
    <t>의 료 비</t>
    <phoneticPr fontId="26" type="noConversion"/>
  </si>
  <si>
    <t>연 료 비</t>
    <phoneticPr fontId="26" type="noConversion"/>
  </si>
  <si>
    <t>프로그램         사업비</t>
    <phoneticPr fontId="26" type="noConversion"/>
  </si>
  <si>
    <t>보조금            반납금</t>
    <phoneticPr fontId="26" type="noConversion"/>
  </si>
  <si>
    <t>입소비용     수입</t>
    <phoneticPr fontId="26" type="noConversion"/>
  </si>
  <si>
    <t>기타보조금  수입</t>
    <phoneticPr fontId="26" type="noConversion"/>
  </si>
  <si>
    <t>지정           후원금</t>
    <phoneticPr fontId="26" type="noConversion"/>
  </si>
  <si>
    <t>비지정        후원금</t>
    <phoneticPr fontId="26" type="noConversion"/>
  </si>
  <si>
    <t>법인           전입금</t>
    <phoneticPr fontId="26" type="noConversion"/>
  </si>
  <si>
    <t>전년도        이월금</t>
    <phoneticPr fontId="26" type="noConversion"/>
  </si>
  <si>
    <t>잡  수  입</t>
    <phoneticPr fontId="26" type="noConversion"/>
  </si>
  <si>
    <t>보조금        수입</t>
    <phoneticPr fontId="26" type="noConversion"/>
  </si>
  <si>
    <t>후원금        수입</t>
    <phoneticPr fontId="26" type="noConversion"/>
  </si>
  <si>
    <t>전 입 금</t>
    <phoneticPr fontId="26" type="noConversion"/>
  </si>
  <si>
    <t>이 월 금</t>
    <phoneticPr fontId="26" type="noConversion"/>
  </si>
  <si>
    <t>잡 수 입</t>
    <phoneticPr fontId="26" type="noConversion"/>
  </si>
  <si>
    <t>2013년
1차추가경정 예산</t>
    <phoneticPr fontId="26" type="noConversion"/>
  </si>
  <si>
    <t>4. 후원금</t>
    <phoneticPr fontId="5" type="noConversion"/>
  </si>
  <si>
    <t>* 가족수당(1월~5월)</t>
    <phoneticPr fontId="5" type="noConversion"/>
  </si>
  <si>
    <t>* 가족수당(6월~12월)</t>
    <phoneticPr fontId="5" type="noConversion"/>
  </si>
  <si>
    <t>월</t>
    <phoneticPr fontId="5" type="noConversion"/>
  </si>
  <si>
    <t>회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</si>
  <si>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</si>
  <si>
    <t>6. 신용보증보험</t>
    <phoneticPr fontId="5" type="noConversion"/>
  </si>
  <si>
    <t>2. 찜질방 이용</t>
  </si>
  <si>
    <t>3. 지역사회 미용실 이용</t>
    <phoneticPr fontId="5" type="noConversion"/>
  </si>
  <si>
    <t>4. 지역사회 미용실 이용</t>
    <phoneticPr fontId="5" type="noConversion"/>
  </si>
  <si>
    <t>5. 지역사회 식당 이용 외식</t>
    <phoneticPr fontId="5" type="noConversion"/>
  </si>
  <si>
    <t>6. 영화관람</t>
    <phoneticPr fontId="5" type="noConversion"/>
  </si>
  <si>
    <t>7. 스포츠관람</t>
    <phoneticPr fontId="5" type="noConversion"/>
  </si>
  <si>
    <t>4. 지역사회 식당 이용 외식</t>
  </si>
  <si>
    <t>1. 헬스</t>
    <phoneticPr fontId="5" type="noConversion"/>
  </si>
  <si>
    <t>2. 헬스</t>
    <phoneticPr fontId="5" type="noConversion"/>
  </si>
  <si>
    <t>3. 바다의별 사회적응 훈련(A)</t>
    <phoneticPr fontId="5" type="noConversion"/>
  </si>
  <si>
    <t>4. 바다의별 사회적응 훈련(B)</t>
    <phoneticPr fontId="5" type="noConversion"/>
  </si>
  <si>
    <t>※ 2013년 공동생활가정 지원금</t>
    <phoneticPr fontId="5" type="noConversion"/>
  </si>
  <si>
    <t>* 2013년 시도보조금</t>
    <phoneticPr fontId="5" type="noConversion"/>
  </si>
  <si>
    <t>* 2013년 시군구보조금</t>
    <phoneticPr fontId="5" type="noConversion"/>
  </si>
  <si>
    <t>* 환경개선사업비(7종)시군구</t>
    <phoneticPr fontId="5" type="noConversion"/>
  </si>
  <si>
    <t>* 환경개선사업비(7종)시도</t>
    <phoneticPr fontId="5" type="noConversion"/>
  </si>
  <si>
    <t>* 종사자근무수당(시군구)</t>
    <phoneticPr fontId="5" type="noConversion"/>
  </si>
  <si>
    <t>* 종사자근무수당(시도)</t>
    <phoneticPr fontId="5" type="noConversion"/>
  </si>
  <si>
    <t>월</t>
    <phoneticPr fontId="5" type="noConversion"/>
  </si>
  <si>
    <t>이월금</t>
    <phoneticPr fontId="5" type="noConversion"/>
  </si>
  <si>
    <t>1. 전화료 인터넷 요금(보조)</t>
    <phoneticPr fontId="5" type="noConversion"/>
  </si>
  <si>
    <t>2. 아파트관리비(보조)</t>
    <phoneticPr fontId="5" type="noConversion"/>
  </si>
  <si>
    <t>3. 전화료 인터넷 요금(입소)</t>
    <phoneticPr fontId="5" type="noConversion"/>
  </si>
  <si>
    <t>4. 아파트관리비(입소)</t>
    <phoneticPr fontId="5" type="noConversion"/>
  </si>
  <si>
    <t xml:space="preserve">* 적산열량계교체비용(보조) </t>
    <phoneticPr fontId="5" type="noConversion"/>
  </si>
  <si>
    <t>* 환경개선 수선비 등(7종)</t>
    <phoneticPr fontId="5" type="noConversion"/>
  </si>
  <si>
    <t>* 환경개선 수선비 등(입소)</t>
    <phoneticPr fontId="5" type="noConversion"/>
  </si>
  <si>
    <t>* 싱글침대(7종)</t>
    <phoneticPr fontId="5" type="noConversion"/>
  </si>
  <si>
    <t>* 커피포트구입비용(보조)</t>
    <phoneticPr fontId="5" type="noConversion"/>
  </si>
  <si>
    <t>2013년
2차추가경정 예산</t>
    <phoneticPr fontId="26" type="noConversion"/>
  </si>
  <si>
    <t>피복비삭감</t>
    <phoneticPr fontId="5" type="noConversion"/>
  </si>
  <si>
    <t>의료비삭감</t>
    <phoneticPr fontId="5" type="noConversion"/>
  </si>
  <si>
    <t>구        분</t>
    <phoneticPr fontId="26" type="noConversion"/>
  </si>
  <si>
    <t>2013년
1차추가경정   예산</t>
    <phoneticPr fontId="26" type="noConversion"/>
  </si>
  <si>
    <t>2013년
2차추가경정   예산</t>
    <phoneticPr fontId="26" type="noConversion"/>
  </si>
  <si>
    <t>증감</t>
    <phoneticPr fontId="5" type="noConversion"/>
  </si>
  <si>
    <t>증감사유</t>
    <phoneticPr fontId="26" type="noConversion"/>
  </si>
  <si>
    <t>증감</t>
    <phoneticPr fontId="26" type="noConversion"/>
  </si>
  <si>
    <t>보조금      6,890
 입소비용         410,466       후원금 100,000</t>
    <phoneticPr fontId="5" type="noConversion"/>
  </si>
  <si>
    <t>환경개선비증액</t>
    <phoneticPr fontId="5" type="noConversion"/>
  </si>
  <si>
    <t>예수금       감소분</t>
    <phoneticPr fontId="5" type="noConversion"/>
  </si>
  <si>
    <t>2013년
2차추가경정     예산</t>
    <phoneticPr fontId="26" type="noConversion"/>
  </si>
  <si>
    <t>공공요금   증액</t>
    <phoneticPr fontId="5" type="noConversion"/>
  </si>
  <si>
    <t>생계비증액</t>
    <phoneticPr fontId="5" type="noConversion"/>
  </si>
  <si>
    <t>□ 2013년도 2차추가경정 세 입 · 세 출 총  괄  표</t>
    <phoneticPr fontId="26" type="noConversion"/>
  </si>
  <si>
    <t>2013년2차추가경정 예산액(단위:천원)</t>
    <phoneticPr fontId="5" type="noConversion"/>
  </si>
  <si>
    <t>2013년
1차추가경정예산
예산액(A)
(단위:천원)</t>
    <phoneticPr fontId="5" type="noConversion"/>
  </si>
  <si>
    <t>2013년 2차추가경정예산액(단위:천원)</t>
    <phoneticPr fontId="5" type="noConversion"/>
  </si>
  <si>
    <t>2013년
1차추가경정
예산액(A)
(단위:천원)</t>
    <phoneticPr fontId="5" type="noConversion"/>
  </si>
  <si>
    <t>시도보조금</t>
    <phoneticPr fontId="26" type="noConversion"/>
  </si>
  <si>
    <t>시군구보조금</t>
    <phoneticPr fontId="26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</si>
</sst>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9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82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41" fontId="6" fillId="0" borderId="0" xfId="2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3" xfId="3" applyNumberFormat="1" applyFont="1" applyFill="1" applyBorder="1" applyAlignment="1">
      <alignment vertical="center"/>
    </xf>
    <xf numFmtId="177" fontId="11" fillId="0" borderId="23" xfId="3" applyNumberFormat="1" applyFont="1" applyFill="1" applyBorder="1" applyAlignment="1">
      <alignment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2" xfId="3" applyNumberFormat="1" applyFont="1" applyFill="1" applyBorder="1" applyAlignment="1">
      <alignment vertical="center"/>
    </xf>
    <xf numFmtId="176" fontId="14" fillId="0" borderId="24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9" fontId="15" fillId="0" borderId="27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1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right" vertical="center"/>
    </xf>
    <xf numFmtId="176" fontId="14" fillId="0" borderId="32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4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4" fillId="0" borderId="35" xfId="3" applyFont="1" applyFill="1" applyBorder="1" applyAlignment="1">
      <alignment vertical="center"/>
    </xf>
    <xf numFmtId="0" fontId="14" fillId="0" borderId="31" xfId="3" applyFont="1" applyFill="1" applyBorder="1" applyAlignment="1">
      <alignment horizontal="center" vertical="center"/>
    </xf>
    <xf numFmtId="0" fontId="14" fillId="0" borderId="31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0" fontId="17" fillId="0" borderId="29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176" fontId="18" fillId="0" borderId="31" xfId="3" applyNumberFormat="1" applyFont="1" applyFill="1" applyBorder="1" applyAlignment="1">
      <alignment vertical="center"/>
    </xf>
    <xf numFmtId="176" fontId="17" fillId="0" borderId="31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9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40" xfId="3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7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8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0" fontId="11" fillId="0" borderId="0" xfId="1" applyNumberFormat="1" applyFont="1" applyFill="1" applyBorder="1" applyAlignment="1">
      <alignment vertical="center"/>
    </xf>
    <xf numFmtId="10" fontId="11" fillId="0" borderId="0" xfId="1" applyNumberFormat="1" applyFont="1" applyFill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center"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176" fontId="20" fillId="0" borderId="31" xfId="3" applyNumberFormat="1" applyFont="1" applyFill="1" applyBorder="1" applyAlignment="1">
      <alignment vertical="center"/>
    </xf>
    <xf numFmtId="176" fontId="19" fillId="0" borderId="31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horizontal="right" vertical="center"/>
    </xf>
    <xf numFmtId="176" fontId="19" fillId="0" borderId="36" xfId="3" applyNumberFormat="1" applyFont="1" applyFill="1" applyBorder="1" applyAlignment="1">
      <alignment vertical="center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1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6" xfId="3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3" fillId="0" borderId="31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right" vertical="center"/>
    </xf>
    <xf numFmtId="176" fontId="13" fillId="0" borderId="32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2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0" fontId="13" fillId="0" borderId="37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3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8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176" fontId="11" fillId="0" borderId="32" xfId="3" applyNumberFormat="1" applyFont="1" applyFill="1" applyBorder="1" applyAlignment="1">
      <alignment vertical="center"/>
    </xf>
    <xf numFmtId="9" fontId="11" fillId="0" borderId="0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8" xfId="0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3" fontId="12" fillId="0" borderId="14" xfId="0" applyNumberFormat="1" applyFont="1" applyFill="1" applyBorder="1" applyAlignment="1">
      <alignment vertical="center"/>
    </xf>
    <xf numFmtId="176" fontId="12" fillId="0" borderId="38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38" fontId="11" fillId="0" borderId="14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38" fontId="11" fillId="0" borderId="31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8" fontId="11" fillId="0" borderId="0" xfId="0" applyNumberFormat="1" applyFont="1" applyFill="1" applyAlignment="1">
      <alignment horizontal="right" vertical="center"/>
    </xf>
    <xf numFmtId="0" fontId="11" fillId="0" borderId="5" xfId="0" applyFont="1" applyFill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3" fillId="0" borderId="0" xfId="5">
      <alignment vertical="center"/>
    </xf>
    <xf numFmtId="0" fontId="25" fillId="0" borderId="0" xfId="5" applyFont="1">
      <alignment vertical="center"/>
    </xf>
    <xf numFmtId="0" fontId="27" fillId="0" borderId="0" xfId="5" applyFont="1" applyAlignment="1">
      <alignment horizontal="right"/>
    </xf>
    <xf numFmtId="41" fontId="0" fillId="0" borderId="11" xfId="6" applyFont="1" applyBorder="1" applyAlignment="1">
      <alignment vertical="center"/>
    </xf>
    <xf numFmtId="181" fontId="0" fillId="0" borderId="37" xfId="6" applyNumberFormat="1" applyFont="1" applyBorder="1" applyAlignment="1">
      <alignment vertical="center"/>
    </xf>
    <xf numFmtId="181" fontId="0" fillId="0" borderId="12" xfId="6" applyNumberFormat="1" applyFont="1" applyBorder="1" applyAlignment="1">
      <alignment vertical="center"/>
    </xf>
    <xf numFmtId="41" fontId="0" fillId="0" borderId="20" xfId="6" applyFont="1" applyBorder="1">
      <alignment vertical="center"/>
    </xf>
    <xf numFmtId="181" fontId="0" fillId="0" borderId="42" xfId="6" applyNumberFormat="1" applyFont="1" applyBorder="1">
      <alignment vertical="center"/>
    </xf>
    <xf numFmtId="181" fontId="0" fillId="0" borderId="18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6" fillId="0" borderId="31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28" xfId="3" applyFont="1" applyFill="1" applyBorder="1" applyAlignment="1">
      <alignment horizontal="center" vertical="center" wrapText="1"/>
    </xf>
    <xf numFmtId="176" fontId="13" fillId="0" borderId="31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vertical="center"/>
    </xf>
    <xf numFmtId="0" fontId="11" fillId="0" borderId="54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14" xfId="3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8" fontId="11" fillId="0" borderId="37" xfId="3" applyNumberFormat="1" applyFont="1" applyFill="1" applyBorder="1" applyAlignment="1">
      <alignment vertical="center"/>
    </xf>
    <xf numFmtId="38" fontId="11" fillId="0" borderId="35" xfId="3" applyNumberFormat="1" applyFont="1" applyFill="1" applyBorder="1" applyAlignment="1">
      <alignment vertical="center"/>
    </xf>
    <xf numFmtId="3" fontId="23" fillId="0" borderId="34" xfId="0" applyNumberFormat="1" applyFont="1" applyFill="1" applyBorder="1" applyAlignment="1">
      <alignment vertical="center"/>
    </xf>
    <xf numFmtId="3" fontId="23" fillId="0" borderId="37" xfId="0" applyNumberFormat="1" applyFont="1" applyFill="1" applyBorder="1" applyAlignment="1">
      <alignment vertical="center"/>
    </xf>
    <xf numFmtId="0" fontId="11" fillId="0" borderId="31" xfId="3" applyFont="1" applyFill="1" applyBorder="1" applyAlignment="1">
      <alignment vertical="center"/>
    </xf>
    <xf numFmtId="41" fontId="13" fillId="0" borderId="27" xfId="0" applyNumberFormat="1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38" fontId="13" fillId="0" borderId="8" xfId="3" applyNumberFormat="1" applyFont="1" applyFill="1" applyBorder="1" applyAlignment="1">
      <alignment vertical="center"/>
    </xf>
    <xf numFmtId="41" fontId="13" fillId="0" borderId="8" xfId="0" applyNumberFormat="1" applyFont="1" applyFill="1" applyBorder="1" applyAlignment="1">
      <alignment vertical="center"/>
    </xf>
    <xf numFmtId="9" fontId="13" fillId="0" borderId="8" xfId="3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0" fontId="13" fillId="0" borderId="45" xfId="3" applyFont="1" applyFill="1" applyBorder="1" applyAlignment="1">
      <alignment vertical="center"/>
    </xf>
    <xf numFmtId="176" fontId="13" fillId="0" borderId="45" xfId="3" applyNumberFormat="1" applyFont="1" applyFill="1" applyBorder="1" applyAlignment="1">
      <alignment vertical="center"/>
    </xf>
    <xf numFmtId="176" fontId="13" fillId="0" borderId="46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176" fontId="11" fillId="0" borderId="20" xfId="0" applyNumberFormat="1" applyFont="1" applyFill="1" applyBorder="1" applyAlignment="1">
      <alignment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42" xfId="3" applyNumberFormat="1" applyFont="1" applyFill="1" applyBorder="1" applyAlignment="1">
      <alignment vertical="center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0" fontId="13" fillId="0" borderId="54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6" fillId="0" borderId="0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54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2" fillId="0" borderId="34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2" fillId="0" borderId="5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182" fontId="11" fillId="0" borderId="0" xfId="3" applyNumberFormat="1" applyFont="1" applyFill="1" applyBorder="1" applyAlignment="1">
      <alignment horizontal="center" vertical="center"/>
    </xf>
    <xf numFmtId="183" fontId="11" fillId="0" borderId="0" xfId="2" applyNumberFormat="1" applyFont="1" applyFill="1" applyBorder="1" applyAlignment="1">
      <alignment horizontal="center" vertical="center"/>
    </xf>
    <xf numFmtId="184" fontId="11" fillId="0" borderId="0" xfId="2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center" vertical="center"/>
    </xf>
    <xf numFmtId="186" fontId="11" fillId="0" borderId="0" xfId="3" applyNumberFormat="1" applyFont="1" applyFill="1" applyBorder="1" applyAlignment="1">
      <alignment horizontal="center" vertical="center"/>
    </xf>
    <xf numFmtId="9" fontId="11" fillId="0" borderId="0" xfId="3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horizontal="left" vertical="center"/>
    </xf>
    <xf numFmtId="0" fontId="11" fillId="0" borderId="35" xfId="3" applyFont="1" applyFill="1" applyBorder="1" applyAlignment="1">
      <alignment vertical="center"/>
    </xf>
    <xf numFmtId="0" fontId="11" fillId="0" borderId="34" xfId="3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center" vertical="center"/>
    </xf>
    <xf numFmtId="42" fontId="11" fillId="0" borderId="31" xfId="3" applyNumberFormat="1" applyFont="1" applyFill="1" applyBorder="1" applyAlignment="1">
      <alignment horizontal="center" vertical="center"/>
    </xf>
    <xf numFmtId="10" fontId="11" fillId="0" borderId="31" xfId="1" applyNumberFormat="1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" fillId="0" borderId="0" xfId="5" applyFont="1">
      <alignment vertical="center"/>
    </xf>
    <xf numFmtId="0" fontId="2" fillId="0" borderId="15" xfId="5" applyFont="1" applyBorder="1" applyAlignment="1">
      <alignment horizontal="center" vertical="center"/>
    </xf>
    <xf numFmtId="0" fontId="2" fillId="0" borderId="20" xfId="5" applyFont="1" applyBorder="1" applyAlignment="1">
      <alignment horizontal="center" vertical="center"/>
    </xf>
    <xf numFmtId="0" fontId="2" fillId="0" borderId="16" xfId="5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41" fontId="2" fillId="0" borderId="20" xfId="2" applyFont="1" applyBorder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35" xfId="3" applyFont="1" applyFill="1" applyBorder="1" applyAlignment="1">
      <alignment vertical="center"/>
    </xf>
    <xf numFmtId="0" fontId="6" fillId="0" borderId="38" xfId="0" applyFont="1" applyFill="1" applyBorder="1" applyAlignment="1">
      <alignment vertical="center"/>
    </xf>
    <xf numFmtId="41" fontId="8" fillId="0" borderId="0" xfId="2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6" fillId="0" borderId="13" xfId="3" applyFont="1" applyFill="1" applyBorder="1" applyAlignment="1">
      <alignment vertical="center"/>
    </xf>
    <xf numFmtId="176" fontId="6" fillId="0" borderId="13" xfId="3" applyNumberFormat="1" applyFont="1" applyFill="1" applyBorder="1" applyAlignment="1">
      <alignment vertical="center"/>
    </xf>
    <xf numFmtId="176" fontId="6" fillId="0" borderId="40" xfId="3" applyNumberFormat="1" applyFont="1" applyFill="1" applyBorder="1" applyAlignment="1">
      <alignment vertical="center"/>
    </xf>
    <xf numFmtId="0" fontId="6" fillId="0" borderId="56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38" fontId="6" fillId="0" borderId="7" xfId="3" applyNumberFormat="1" applyFont="1" applyFill="1" applyBorder="1" applyAlignment="1">
      <alignment vertical="center"/>
    </xf>
    <xf numFmtId="9" fontId="6" fillId="0" borderId="7" xfId="1" applyFont="1" applyFill="1" applyBorder="1" applyAlignment="1">
      <alignment horizontal="center" vertical="center"/>
    </xf>
    <xf numFmtId="0" fontId="6" fillId="0" borderId="39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5" fillId="0" borderId="0" xfId="7" applyFont="1">
      <alignment vertical="center"/>
    </xf>
    <xf numFmtId="0" fontId="1" fillId="0" borderId="0" xfId="7">
      <alignment vertical="center"/>
    </xf>
    <xf numFmtId="0" fontId="27" fillId="0" borderId="0" xfId="7" applyFont="1" applyAlignment="1">
      <alignment horizontal="right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41" fontId="11" fillId="0" borderId="0" xfId="2" applyNumberFormat="1" applyFont="1" applyFill="1" applyBorder="1" applyAlignment="1">
      <alignment horizontal="right" vertical="center"/>
    </xf>
    <xf numFmtId="176" fontId="13" fillId="0" borderId="54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27" xfId="3" applyFont="1" applyFill="1" applyBorder="1" applyAlignment="1">
      <alignment horizontal="center" vertical="center" wrapText="1"/>
    </xf>
    <xf numFmtId="38" fontId="24" fillId="0" borderId="27" xfId="3" applyNumberFormat="1" applyFont="1" applyFill="1" applyBorder="1" applyAlignment="1">
      <alignment vertical="center"/>
    </xf>
    <xf numFmtId="9" fontId="11" fillId="0" borderId="0" xfId="1" applyFont="1" applyFill="1" applyAlignment="1">
      <alignment horizontal="center" vertical="center"/>
    </xf>
    <xf numFmtId="178" fontId="21" fillId="0" borderId="0" xfId="0" applyNumberFormat="1" applyFont="1" applyBorder="1" applyAlignment="1">
      <alignment horizontal="center" vertical="center"/>
    </xf>
    <xf numFmtId="178" fontId="22" fillId="0" borderId="27" xfId="3" applyNumberFormat="1" applyFont="1" applyFill="1" applyBorder="1" applyAlignment="1">
      <alignment vertical="center"/>
    </xf>
    <xf numFmtId="41" fontId="11" fillId="0" borderId="0" xfId="2" applyFont="1" applyFill="1">
      <alignment vertical="center"/>
    </xf>
    <xf numFmtId="41" fontId="29" fillId="0" borderId="0" xfId="2" applyFont="1" applyFill="1" applyAlignment="1">
      <alignment vertical="center"/>
    </xf>
    <xf numFmtId="38" fontId="22" fillId="0" borderId="27" xfId="3" applyNumberFormat="1" applyFont="1" applyFill="1" applyBorder="1" applyAlignment="1">
      <alignment vertical="center"/>
    </xf>
    <xf numFmtId="41" fontId="31" fillId="0" borderId="11" xfId="9" applyFont="1" applyBorder="1" applyAlignment="1">
      <alignment vertical="center"/>
    </xf>
    <xf numFmtId="181" fontId="31" fillId="0" borderId="58" xfId="10" applyNumberFormat="1" applyFont="1" applyBorder="1" applyAlignment="1">
      <alignment vertical="center"/>
    </xf>
    <xf numFmtId="181" fontId="31" fillId="0" borderId="14" xfId="10" applyNumberFormat="1" applyFont="1" applyBorder="1" applyAlignment="1">
      <alignment vertical="center"/>
    </xf>
    <xf numFmtId="181" fontId="31" fillId="0" borderId="38" xfId="10" applyNumberFormat="1" applyFont="1" applyBorder="1" applyAlignment="1">
      <alignment vertical="center"/>
    </xf>
    <xf numFmtId="0" fontId="27" fillId="0" borderId="15" xfId="7" applyFont="1" applyBorder="1" applyAlignment="1">
      <alignment horizontal="center" vertical="center" wrapText="1"/>
    </xf>
    <xf numFmtId="0" fontId="27" fillId="0" borderId="20" xfId="7" applyFont="1" applyBorder="1" applyAlignment="1">
      <alignment horizontal="center" vertical="center" wrapText="1"/>
    </xf>
    <xf numFmtId="41" fontId="31" fillId="0" borderId="20" xfId="9" applyFont="1" applyBorder="1">
      <alignment vertical="center"/>
    </xf>
    <xf numFmtId="181" fontId="31" fillId="0" borderId="42" xfId="10" applyNumberFormat="1" applyFont="1" applyBorder="1">
      <alignment vertical="center"/>
    </xf>
    <xf numFmtId="181" fontId="31" fillId="0" borderId="20" xfId="10" applyNumberFormat="1" applyFont="1" applyBorder="1">
      <alignment vertical="center"/>
    </xf>
    <xf numFmtId="181" fontId="31" fillId="0" borderId="18" xfId="10" applyNumberFormat="1" applyFont="1" applyBorder="1" applyAlignment="1">
      <alignment horizontal="center" vertical="center" wrapText="1"/>
    </xf>
    <xf numFmtId="181" fontId="31" fillId="0" borderId="42" xfId="10" applyNumberFormat="1" applyFont="1" applyBorder="1" applyAlignment="1">
      <alignment vertical="center" wrapText="1"/>
    </xf>
    <xf numFmtId="181" fontId="31" fillId="0" borderId="55" xfId="10" applyNumberFormat="1" applyFont="1" applyBorder="1" applyAlignment="1">
      <alignment vertical="center" wrapText="1"/>
    </xf>
    <xf numFmtId="41" fontId="31" fillId="0" borderId="0" xfId="2" applyFont="1" applyFill="1" applyAlignment="1">
      <alignment vertical="center"/>
    </xf>
    <xf numFmtId="0" fontId="27" fillId="0" borderId="15" xfId="7" applyFont="1" applyBorder="1" applyAlignment="1">
      <alignment horizontal="center" vertical="center"/>
    </xf>
    <xf numFmtId="181" fontId="31" fillId="0" borderId="55" xfId="10" applyNumberFormat="1" applyFont="1" applyBorder="1">
      <alignment vertical="center"/>
    </xf>
    <xf numFmtId="41" fontId="31" fillId="0" borderId="3" xfId="9" applyFont="1" applyBorder="1">
      <alignment vertical="center"/>
    </xf>
    <xf numFmtId="181" fontId="31" fillId="0" borderId="36" xfId="10" applyNumberFormat="1" applyFont="1" applyBorder="1">
      <alignment vertical="center"/>
    </xf>
    <xf numFmtId="0" fontId="27" fillId="0" borderId="16" xfId="7" applyFont="1" applyBorder="1" applyAlignment="1">
      <alignment horizontal="center" vertical="center" wrapText="1"/>
    </xf>
    <xf numFmtId="0" fontId="27" fillId="0" borderId="3" xfId="7" applyFont="1" applyBorder="1" applyAlignment="1">
      <alignment horizontal="center" vertical="center" wrapText="1"/>
    </xf>
    <xf numFmtId="181" fontId="31" fillId="0" borderId="3" xfId="10" applyNumberFormat="1" applyFont="1" applyBorder="1">
      <alignment vertical="center"/>
    </xf>
    <xf numFmtId="0" fontId="28" fillId="0" borderId="20" xfId="5" applyFont="1" applyBorder="1" applyAlignment="1">
      <alignment horizontal="center" vertical="center" wrapText="1"/>
    </xf>
    <xf numFmtId="0" fontId="28" fillId="0" borderId="50" xfId="5" applyFont="1" applyBorder="1" applyAlignment="1">
      <alignment horizontal="center" vertical="center" wrapText="1"/>
    </xf>
    <xf numFmtId="0" fontId="28" fillId="0" borderId="44" xfId="5" applyFont="1" applyBorder="1" applyAlignment="1">
      <alignment horizontal="center" vertical="center"/>
    </xf>
    <xf numFmtId="0" fontId="28" fillId="0" borderId="8" xfId="5" applyFont="1" applyBorder="1" applyAlignment="1">
      <alignment horizontal="center" vertical="center"/>
    </xf>
    <xf numFmtId="0" fontId="28" fillId="0" borderId="10" xfId="5" applyFont="1" applyBorder="1" applyAlignment="1">
      <alignment horizontal="center" vertical="center"/>
    </xf>
    <xf numFmtId="0" fontId="28" fillId="0" borderId="9" xfId="5" applyFont="1" applyBorder="1" applyAlignment="1">
      <alignment horizontal="center" vertical="center"/>
    </xf>
    <xf numFmtId="0" fontId="28" fillId="0" borderId="15" xfId="5" applyFont="1" applyBorder="1" applyAlignment="1">
      <alignment horizontal="center" vertical="center"/>
    </xf>
    <xf numFmtId="0" fontId="28" fillId="0" borderId="20" xfId="5" applyFont="1" applyBorder="1" applyAlignment="1">
      <alignment horizontal="center" vertical="center"/>
    </xf>
    <xf numFmtId="0" fontId="28" fillId="0" borderId="49" xfId="5" applyFont="1" applyBorder="1" applyAlignment="1">
      <alignment horizontal="center" vertical="center"/>
    </xf>
    <xf numFmtId="0" fontId="28" fillId="0" borderId="50" xfId="5" applyFont="1" applyBorder="1" applyAlignment="1">
      <alignment horizontal="center" vertical="center"/>
    </xf>
    <xf numFmtId="0" fontId="28" fillId="0" borderId="42" xfId="5" applyFont="1" applyBorder="1" applyAlignment="1">
      <alignment horizontal="center" vertical="center"/>
    </xf>
    <xf numFmtId="0" fontId="28" fillId="0" borderId="51" xfId="5" applyFont="1" applyBorder="1" applyAlignment="1">
      <alignment horizontal="center" vertical="center"/>
    </xf>
    <xf numFmtId="0" fontId="28" fillId="0" borderId="18" xfId="5" applyFont="1" applyBorder="1" applyAlignment="1">
      <alignment horizontal="center" vertical="center"/>
    </xf>
    <xf numFmtId="0" fontId="28" fillId="0" borderId="52" xfId="5" applyFont="1" applyBorder="1" applyAlignment="1">
      <alignment horizontal="center" vertical="center"/>
    </xf>
    <xf numFmtId="0" fontId="2" fillId="0" borderId="53" xfId="5" applyFont="1" applyBorder="1" applyAlignment="1">
      <alignment horizontal="center" vertical="center"/>
    </xf>
    <xf numFmtId="0" fontId="2" fillId="0" borderId="31" xfId="5" applyFont="1" applyBorder="1" applyAlignment="1">
      <alignment horizontal="center" vertical="center"/>
    </xf>
    <xf numFmtId="0" fontId="2" fillId="0" borderId="32" xfId="5" applyFont="1" applyBorder="1" applyAlignment="1">
      <alignment horizontal="center" vertical="center"/>
    </xf>
    <xf numFmtId="0" fontId="2" fillId="0" borderId="25" xfId="5" applyFont="1" applyBorder="1" applyAlignment="1">
      <alignment horizontal="center" vertical="center"/>
    </xf>
    <xf numFmtId="0" fontId="2" fillId="0" borderId="0" xfId="5" applyFont="1" applyBorder="1" applyAlignment="1">
      <alignment horizontal="center" vertical="center"/>
    </xf>
    <xf numFmtId="0" fontId="2" fillId="0" borderId="5" xfId="5" applyFont="1" applyBorder="1" applyAlignment="1">
      <alignment horizontal="center" vertical="center"/>
    </xf>
    <xf numFmtId="0" fontId="2" fillId="0" borderId="47" xfId="5" applyFont="1" applyBorder="1" applyAlignment="1">
      <alignment horizontal="center" vertical="center"/>
    </xf>
    <xf numFmtId="0" fontId="2" fillId="0" borderId="13" xfId="5" applyFont="1" applyBorder="1" applyAlignment="1">
      <alignment horizontal="center" vertical="center"/>
    </xf>
    <xf numFmtId="0" fontId="2" fillId="0" borderId="40" xfId="5" applyFont="1" applyBorder="1" applyAlignment="1">
      <alignment horizontal="center" vertical="center"/>
    </xf>
    <xf numFmtId="0" fontId="2" fillId="0" borderId="17" xfId="5" applyFont="1" applyBorder="1" applyAlignment="1">
      <alignment horizontal="center" vertical="center"/>
    </xf>
    <xf numFmtId="0" fontId="2" fillId="0" borderId="11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33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11" fillId="0" borderId="41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0" fontId="13" fillId="0" borderId="44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/>
    </xf>
    <xf numFmtId="0" fontId="11" fillId="0" borderId="44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78" fontId="12" fillId="0" borderId="8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5" xfId="3" applyNumberFormat="1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13" fillId="0" borderId="35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35" xfId="3" applyFont="1" applyFill="1" applyBorder="1" applyAlignment="1">
      <alignment horizontal="center" vertical="center" wrapText="1"/>
    </xf>
    <xf numFmtId="0" fontId="11" fillId="0" borderId="28" xfId="3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 wrapText="1"/>
    </xf>
    <xf numFmtId="0" fontId="11" fillId="0" borderId="22" xfId="3" applyFont="1" applyFill="1" applyBorder="1" applyAlignment="1">
      <alignment horizontal="center" vertical="center" wrapText="1"/>
    </xf>
    <xf numFmtId="0" fontId="11" fillId="0" borderId="48" xfId="3" applyFont="1" applyFill="1" applyBorder="1" applyAlignment="1">
      <alignment horizontal="center" vertical="center" wrapText="1"/>
    </xf>
    <xf numFmtId="0" fontId="27" fillId="0" borderId="2" xfId="7" applyFont="1" applyBorder="1" applyAlignment="1">
      <alignment horizontal="center" vertical="center"/>
    </xf>
    <xf numFmtId="0" fontId="27" fillId="0" borderId="33" xfId="7" applyFont="1" applyBorder="1" applyAlignment="1">
      <alignment horizontal="center" vertical="center"/>
    </xf>
    <xf numFmtId="0" fontId="27" fillId="0" borderId="17" xfId="7" applyFont="1" applyBorder="1" applyAlignment="1">
      <alignment horizontal="center" vertical="center"/>
    </xf>
    <xf numFmtId="0" fontId="27" fillId="0" borderId="53" xfId="7" applyFont="1" applyBorder="1" applyAlignment="1">
      <alignment horizontal="center" vertical="center"/>
    </xf>
    <xf numFmtId="0" fontId="27" fillId="0" borderId="31" xfId="7" applyFont="1" applyBorder="1" applyAlignment="1">
      <alignment horizontal="center" vertical="center"/>
    </xf>
    <xf numFmtId="0" fontId="27" fillId="0" borderId="25" xfId="7" applyFont="1" applyBorder="1" applyAlignment="1">
      <alignment horizontal="center" vertical="center"/>
    </xf>
    <xf numFmtId="0" fontId="27" fillId="0" borderId="0" xfId="7" applyFont="1" applyBorder="1" applyAlignment="1">
      <alignment horizontal="center" vertical="center"/>
    </xf>
    <xf numFmtId="0" fontId="27" fillId="0" borderId="47" xfId="7" applyFont="1" applyBorder="1" applyAlignment="1">
      <alignment horizontal="center" vertical="center"/>
    </xf>
    <xf numFmtId="0" fontId="27" fillId="0" borderId="13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55" xfId="7" applyFont="1" applyBorder="1" applyAlignment="1">
      <alignment horizontal="center" vertical="center"/>
    </xf>
    <xf numFmtId="0" fontId="30" fillId="0" borderId="59" xfId="7" applyFont="1" applyBorder="1" applyAlignment="1">
      <alignment horizontal="center" vertical="center"/>
    </xf>
    <xf numFmtId="0" fontId="27" fillId="0" borderId="11" xfId="7" applyFont="1" applyBorder="1" applyAlignment="1">
      <alignment horizontal="center" vertical="center"/>
    </xf>
    <xf numFmtId="0" fontId="27" fillId="0" borderId="2" xfId="7" applyFont="1" applyBorder="1" applyAlignment="1">
      <alignment horizontal="center" vertical="center" wrapText="1"/>
    </xf>
    <xf numFmtId="0" fontId="27" fillId="0" borderId="33" xfId="7" applyFont="1" applyBorder="1" applyAlignment="1">
      <alignment horizontal="center" vertical="center" wrapText="1"/>
    </xf>
    <xf numFmtId="0" fontId="27" fillId="0" borderId="17" xfId="7" applyFont="1" applyBorder="1" applyAlignment="1">
      <alignment horizontal="center" vertical="center" wrapText="1"/>
    </xf>
    <xf numFmtId="0" fontId="28" fillId="0" borderId="44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8" applyFont="1" applyBorder="1" applyAlignment="1">
      <alignment horizontal="center" vertical="center" wrapText="1"/>
    </xf>
    <xf numFmtId="0" fontId="30" fillId="0" borderId="50" xfId="8" applyFont="1" applyBorder="1" applyAlignment="1">
      <alignment horizontal="center" vertical="center" wrapText="1"/>
    </xf>
    <xf numFmtId="0" fontId="30" fillId="0" borderId="1" xfId="7" applyFont="1" applyBorder="1" applyAlignment="1">
      <alignment horizontal="center" vertical="center" wrapText="1"/>
    </xf>
    <xf numFmtId="0" fontId="30" fillId="0" borderId="57" xfId="7" applyFont="1" applyBorder="1" applyAlignment="1">
      <alignment horizontal="center" vertical="center" wrapText="1"/>
    </xf>
    <xf numFmtId="0" fontId="30" fillId="0" borderId="42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4"/>
  <sheetViews>
    <sheetView topLeftCell="C1" workbookViewId="0">
      <selection activeCell="D9" sqref="D9"/>
    </sheetView>
  </sheetViews>
  <sheetFormatPr defaultRowHeight="16.5"/>
  <cols>
    <col min="1" max="1" width="1.33203125" style="185" customWidth="1"/>
    <col min="2" max="2" width="11.5546875" style="185" hidden="1" customWidth="1"/>
    <col min="3" max="3" width="13.33203125" style="185" bestFit="1" customWidth="1"/>
    <col min="4" max="4" width="15.44140625" style="185" bestFit="1" customWidth="1"/>
    <col min="5" max="5" width="14.88671875" style="185" customWidth="1"/>
    <col min="6" max="6" width="15.109375" style="185" customWidth="1"/>
    <col min="7" max="7" width="11.44140625" style="185" customWidth="1"/>
    <col min="8" max="8" width="11.33203125" style="185" customWidth="1"/>
    <col min="9" max="9" width="14.6640625" style="185" customWidth="1"/>
    <col min="10" max="10" width="12" style="185" customWidth="1"/>
    <col min="11" max="11" width="15.5546875" style="185" customWidth="1"/>
    <col min="12" max="12" width="11.5546875" style="185" customWidth="1"/>
    <col min="13" max="16384" width="8.88671875" style="185"/>
  </cols>
  <sheetData>
    <row r="1" spans="2:13" ht="9.9499999999999993" customHeight="1"/>
    <row r="2" spans="2:13" ht="26.25">
      <c r="B2" s="324"/>
      <c r="C2" s="186" t="s">
        <v>257</v>
      </c>
      <c r="D2" s="324"/>
      <c r="E2" s="324"/>
      <c r="F2" s="324"/>
      <c r="G2" s="324"/>
      <c r="H2" s="324"/>
      <c r="I2" s="324"/>
      <c r="J2" s="324"/>
      <c r="K2" s="324"/>
      <c r="L2" s="187" t="s">
        <v>258</v>
      </c>
      <c r="M2" s="324"/>
    </row>
    <row r="3" spans="2:13" ht="9.9499999999999993" customHeight="1" thickBot="1"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2:13" ht="30" customHeight="1">
      <c r="B4" s="324"/>
      <c r="C4" s="389" t="s">
        <v>259</v>
      </c>
      <c r="D4" s="390"/>
      <c r="E4" s="390"/>
      <c r="F4" s="390"/>
      <c r="G4" s="391"/>
      <c r="H4" s="389" t="s">
        <v>260</v>
      </c>
      <c r="I4" s="390"/>
      <c r="J4" s="390"/>
      <c r="K4" s="390"/>
      <c r="L4" s="392"/>
      <c r="M4" s="324"/>
    </row>
    <row r="5" spans="2:13" ht="16.5" customHeight="1">
      <c r="B5" s="324"/>
      <c r="C5" s="393" t="s">
        <v>261</v>
      </c>
      <c r="D5" s="394"/>
      <c r="E5" s="387" t="s">
        <v>346</v>
      </c>
      <c r="F5" s="387" t="s">
        <v>383</v>
      </c>
      <c r="G5" s="397" t="s">
        <v>262</v>
      </c>
      <c r="H5" s="393" t="s">
        <v>261</v>
      </c>
      <c r="I5" s="394"/>
      <c r="J5" s="387" t="s">
        <v>301</v>
      </c>
      <c r="K5" s="387" t="s">
        <v>346</v>
      </c>
      <c r="L5" s="399" t="s">
        <v>262</v>
      </c>
      <c r="M5" s="324"/>
    </row>
    <row r="6" spans="2:13" ht="22.5" customHeight="1" thickBot="1">
      <c r="B6" s="324"/>
      <c r="C6" s="395"/>
      <c r="D6" s="396"/>
      <c r="E6" s="388"/>
      <c r="F6" s="388"/>
      <c r="G6" s="398"/>
      <c r="H6" s="395"/>
      <c r="I6" s="396"/>
      <c r="J6" s="388"/>
      <c r="K6" s="388"/>
      <c r="L6" s="400"/>
      <c r="M6" s="324"/>
    </row>
    <row r="7" spans="2:13" ht="24.95" customHeight="1" thickTop="1">
      <c r="B7" s="324"/>
      <c r="C7" s="410" t="s">
        <v>263</v>
      </c>
      <c r="D7" s="411"/>
      <c r="E7" s="188">
        <f>SUM(E8:E16)</f>
        <v>61753280</v>
      </c>
      <c r="F7" s="188">
        <f>SUM(F8:F16)</f>
        <v>65458400</v>
      </c>
      <c r="G7" s="189">
        <f>SUM(G8:G16)</f>
        <v>3705120</v>
      </c>
      <c r="H7" s="410" t="s">
        <v>263</v>
      </c>
      <c r="I7" s="411"/>
      <c r="J7" s="188">
        <f>SUM(J8:J23)</f>
        <v>61753280</v>
      </c>
      <c r="K7" s="188">
        <f>SUM(K8:K23)</f>
        <v>65458400</v>
      </c>
      <c r="L7" s="190">
        <f>SUM(L8:L23)</f>
        <v>3705120</v>
      </c>
      <c r="M7" s="324"/>
    </row>
    <row r="8" spans="2:13" ht="24.95" customHeight="1">
      <c r="B8" s="324"/>
      <c r="C8" s="325" t="s">
        <v>264</v>
      </c>
      <c r="D8" s="326" t="s">
        <v>265</v>
      </c>
      <c r="E8" s="191">
        <v>9000000</v>
      </c>
      <c r="F8" s="191">
        <v>9000000</v>
      </c>
      <c r="G8" s="192">
        <f>F8-E8</f>
        <v>0</v>
      </c>
      <c r="H8" s="412" t="s">
        <v>266</v>
      </c>
      <c r="I8" s="326" t="s">
        <v>267</v>
      </c>
      <c r="J8" s="191">
        <v>36486390</v>
      </c>
      <c r="K8" s="191">
        <v>41387020</v>
      </c>
      <c r="L8" s="193">
        <f>K8-J8</f>
        <v>4900630</v>
      </c>
      <c r="M8" s="324"/>
    </row>
    <row r="9" spans="2:13" ht="24.95" customHeight="1">
      <c r="B9" s="324"/>
      <c r="C9" s="414" t="s">
        <v>268</v>
      </c>
      <c r="D9" s="326" t="s">
        <v>269</v>
      </c>
      <c r="E9" s="191">
        <v>47633000</v>
      </c>
      <c r="F9" s="191">
        <v>50633000</v>
      </c>
      <c r="G9" s="192">
        <f t="shared" ref="G9:G16" si="0">F9-E9</f>
        <v>3000000</v>
      </c>
      <c r="H9" s="413"/>
      <c r="I9" s="326" t="s">
        <v>270</v>
      </c>
      <c r="J9" s="191">
        <v>0</v>
      </c>
      <c r="K9" s="191">
        <v>0</v>
      </c>
      <c r="L9" s="193">
        <f>K9-J9</f>
        <v>0</v>
      </c>
      <c r="M9" s="324"/>
    </row>
    <row r="10" spans="2:13" ht="24.95" customHeight="1">
      <c r="B10" s="324"/>
      <c r="C10" s="414"/>
      <c r="D10" s="326" t="s">
        <v>271</v>
      </c>
      <c r="E10" s="191">
        <v>0</v>
      </c>
      <c r="F10" s="191">
        <v>0</v>
      </c>
      <c r="G10" s="192">
        <f t="shared" si="0"/>
        <v>0</v>
      </c>
      <c r="H10" s="413"/>
      <c r="I10" s="326" t="s">
        <v>272</v>
      </c>
      <c r="J10" s="191">
        <v>60000</v>
      </c>
      <c r="K10" s="191">
        <v>80000</v>
      </c>
      <c r="L10" s="193">
        <f t="shared" ref="L10:L22" si="1">K10-J10</f>
        <v>20000</v>
      </c>
      <c r="M10" s="324"/>
    </row>
    <row r="11" spans="2:13" ht="24.95" customHeight="1">
      <c r="B11" s="324"/>
      <c r="C11" s="414"/>
      <c r="D11" s="326" t="s">
        <v>273</v>
      </c>
      <c r="E11" s="191">
        <v>0</v>
      </c>
      <c r="F11" s="191">
        <v>0</v>
      </c>
      <c r="G11" s="192">
        <f t="shared" si="0"/>
        <v>0</v>
      </c>
      <c r="H11" s="410"/>
      <c r="I11" s="326" t="s">
        <v>274</v>
      </c>
      <c r="J11" s="191">
        <v>4875000</v>
      </c>
      <c r="K11" s="191">
        <v>5441990</v>
      </c>
      <c r="L11" s="193">
        <f t="shared" si="1"/>
        <v>566990</v>
      </c>
      <c r="M11" s="324"/>
    </row>
    <row r="12" spans="2:13" ht="24.95" customHeight="1">
      <c r="B12" s="324"/>
      <c r="C12" s="414" t="s">
        <v>275</v>
      </c>
      <c r="D12" s="326" t="s">
        <v>276</v>
      </c>
      <c r="E12" s="191">
        <v>0</v>
      </c>
      <c r="F12" s="191">
        <v>0</v>
      </c>
      <c r="G12" s="192">
        <f>F12-E12</f>
        <v>0</v>
      </c>
      <c r="H12" s="412" t="s">
        <v>277</v>
      </c>
      <c r="I12" s="326" t="s">
        <v>278</v>
      </c>
      <c r="J12" s="191">
        <v>0</v>
      </c>
      <c r="K12" s="191">
        <v>0</v>
      </c>
      <c r="L12" s="193">
        <f t="shared" si="1"/>
        <v>0</v>
      </c>
      <c r="M12" s="324"/>
    </row>
    <row r="13" spans="2:13" ht="24.95" customHeight="1">
      <c r="B13" s="324"/>
      <c r="C13" s="414"/>
      <c r="D13" s="326" t="s">
        <v>279</v>
      </c>
      <c r="E13" s="191">
        <v>0</v>
      </c>
      <c r="F13" s="191">
        <v>200000</v>
      </c>
      <c r="G13" s="192">
        <f t="shared" si="0"/>
        <v>200000</v>
      </c>
      <c r="H13" s="413"/>
      <c r="I13" s="326" t="s">
        <v>280</v>
      </c>
      <c r="J13" s="191">
        <v>0</v>
      </c>
      <c r="K13" s="191">
        <v>1350000</v>
      </c>
      <c r="L13" s="193">
        <f t="shared" si="1"/>
        <v>1350000</v>
      </c>
      <c r="M13" s="324"/>
    </row>
    <row r="14" spans="2:13" ht="24.95" customHeight="1">
      <c r="B14" s="324"/>
      <c r="C14" s="325" t="s">
        <v>281</v>
      </c>
      <c r="D14" s="326" t="s">
        <v>282</v>
      </c>
      <c r="E14" s="329">
        <v>4413690</v>
      </c>
      <c r="F14" s="329">
        <v>4818810</v>
      </c>
      <c r="G14" s="192">
        <f t="shared" si="0"/>
        <v>405120</v>
      </c>
      <c r="H14" s="410"/>
      <c r="I14" s="326" t="s">
        <v>283</v>
      </c>
      <c r="J14" s="191">
        <v>0</v>
      </c>
      <c r="K14" s="191">
        <v>1960000</v>
      </c>
      <c r="L14" s="193">
        <f t="shared" si="1"/>
        <v>1960000</v>
      </c>
      <c r="M14" s="324"/>
    </row>
    <row r="15" spans="2:13" ht="24.95" customHeight="1">
      <c r="B15" s="324"/>
      <c r="C15" s="325" t="s">
        <v>284</v>
      </c>
      <c r="D15" s="326" t="s">
        <v>285</v>
      </c>
      <c r="E15" s="191">
        <v>698590</v>
      </c>
      <c r="F15" s="191">
        <v>798590</v>
      </c>
      <c r="G15" s="192">
        <f t="shared" si="0"/>
        <v>100000</v>
      </c>
      <c r="H15" s="412" t="s">
        <v>286</v>
      </c>
      <c r="I15" s="326" t="s">
        <v>287</v>
      </c>
      <c r="J15" s="191">
        <v>11427800</v>
      </c>
      <c r="K15" s="191">
        <v>8939000</v>
      </c>
      <c r="L15" s="193">
        <f t="shared" si="1"/>
        <v>-2488800</v>
      </c>
      <c r="M15" s="324"/>
    </row>
    <row r="16" spans="2:13" ht="24.95" customHeight="1">
      <c r="B16" s="324"/>
      <c r="C16" s="325" t="s">
        <v>288</v>
      </c>
      <c r="D16" s="326" t="s">
        <v>289</v>
      </c>
      <c r="E16" s="191">
        <v>8000</v>
      </c>
      <c r="F16" s="191">
        <v>8000</v>
      </c>
      <c r="G16" s="192">
        <f t="shared" si="0"/>
        <v>0</v>
      </c>
      <c r="H16" s="413"/>
      <c r="I16" s="326" t="s">
        <v>290</v>
      </c>
      <c r="J16" s="191">
        <v>609200</v>
      </c>
      <c r="K16" s="191">
        <v>636000</v>
      </c>
      <c r="L16" s="193">
        <f t="shared" si="1"/>
        <v>26800</v>
      </c>
      <c r="M16" s="324"/>
    </row>
    <row r="17" spans="2:13" ht="24.95" customHeight="1">
      <c r="B17" s="324"/>
      <c r="C17" s="401"/>
      <c r="D17" s="402"/>
      <c r="E17" s="402"/>
      <c r="F17" s="402"/>
      <c r="G17" s="403"/>
      <c r="H17" s="413"/>
      <c r="I17" s="326" t="s">
        <v>291</v>
      </c>
      <c r="J17" s="191">
        <v>500000</v>
      </c>
      <c r="K17" s="191">
        <v>500000</v>
      </c>
      <c r="L17" s="193">
        <f t="shared" si="1"/>
        <v>0</v>
      </c>
      <c r="M17" s="324"/>
    </row>
    <row r="18" spans="2:13" ht="24.95" customHeight="1">
      <c r="B18" s="324"/>
      <c r="C18" s="404"/>
      <c r="D18" s="405"/>
      <c r="E18" s="405"/>
      <c r="F18" s="405"/>
      <c r="G18" s="406"/>
      <c r="H18" s="413"/>
      <c r="I18" s="326" t="s">
        <v>292</v>
      </c>
      <c r="J18" s="191">
        <v>500000</v>
      </c>
      <c r="K18" s="191">
        <v>400000</v>
      </c>
      <c r="L18" s="193">
        <f t="shared" si="1"/>
        <v>-100000</v>
      </c>
      <c r="M18" s="324"/>
    </row>
    <row r="19" spans="2:13" ht="24.95" customHeight="1">
      <c r="B19" s="324"/>
      <c r="C19" s="404"/>
      <c r="D19" s="405"/>
      <c r="E19" s="405"/>
      <c r="F19" s="405"/>
      <c r="G19" s="406"/>
      <c r="H19" s="413"/>
      <c r="I19" s="326" t="s">
        <v>293</v>
      </c>
      <c r="J19" s="191">
        <v>84000</v>
      </c>
      <c r="K19" s="191">
        <v>84000</v>
      </c>
      <c r="L19" s="193">
        <f t="shared" si="1"/>
        <v>0</v>
      </c>
      <c r="M19" s="324"/>
    </row>
    <row r="20" spans="2:13" ht="24.95" customHeight="1">
      <c r="B20" s="324"/>
      <c r="C20" s="404"/>
      <c r="D20" s="405"/>
      <c r="E20" s="405"/>
      <c r="F20" s="405"/>
      <c r="G20" s="406"/>
      <c r="H20" s="410"/>
      <c r="I20" s="326" t="s">
        <v>294</v>
      </c>
      <c r="J20" s="191">
        <v>7204000</v>
      </c>
      <c r="K20" s="191">
        <v>4673500</v>
      </c>
      <c r="L20" s="193">
        <f t="shared" si="1"/>
        <v>-2530500</v>
      </c>
      <c r="M20" s="324"/>
    </row>
    <row r="21" spans="2:13" ht="24.95" customHeight="1">
      <c r="B21" s="324"/>
      <c r="C21" s="404"/>
      <c r="D21" s="405"/>
      <c r="E21" s="405"/>
      <c r="F21" s="405"/>
      <c r="G21" s="406"/>
      <c r="H21" s="325" t="s">
        <v>295</v>
      </c>
      <c r="I21" s="326" t="s">
        <v>296</v>
      </c>
      <c r="J21" s="191">
        <v>6890</v>
      </c>
      <c r="K21" s="191">
        <v>6890</v>
      </c>
      <c r="L21" s="193">
        <f t="shared" si="1"/>
        <v>0</v>
      </c>
      <c r="M21" s="324"/>
    </row>
    <row r="22" spans="2:13" ht="24.95" customHeight="1">
      <c r="B22" s="324"/>
      <c r="C22" s="404"/>
      <c r="D22" s="405"/>
      <c r="E22" s="405"/>
      <c r="F22" s="405"/>
      <c r="G22" s="406"/>
      <c r="H22" s="325" t="s">
        <v>297</v>
      </c>
      <c r="I22" s="326" t="s">
        <v>298</v>
      </c>
      <c r="J22" s="191">
        <v>0</v>
      </c>
      <c r="K22" s="191">
        <v>0</v>
      </c>
      <c r="L22" s="193">
        <f t="shared" si="1"/>
        <v>0</v>
      </c>
      <c r="M22" s="324"/>
    </row>
    <row r="23" spans="2:13" ht="17.25" thickBot="1">
      <c r="B23" s="324"/>
      <c r="C23" s="407"/>
      <c r="D23" s="408"/>
      <c r="E23" s="408"/>
      <c r="F23" s="408"/>
      <c r="G23" s="409"/>
      <c r="H23" s="327" t="s">
        <v>299</v>
      </c>
      <c r="I23" s="328" t="s">
        <v>300</v>
      </c>
      <c r="J23" s="194">
        <v>0</v>
      </c>
      <c r="K23" s="194">
        <v>0</v>
      </c>
      <c r="L23" s="195">
        <f>K23-J23</f>
        <v>0</v>
      </c>
      <c r="M23" s="324"/>
    </row>
    <row r="24" spans="2:13"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</sheetData>
  <mergeCells count="18">
    <mergeCell ref="C17:G23"/>
    <mergeCell ref="C7:D7"/>
    <mergeCell ref="H7:I7"/>
    <mergeCell ref="H8:H11"/>
    <mergeCell ref="C9:C11"/>
    <mergeCell ref="C12:C13"/>
    <mergeCell ref="H12:H14"/>
    <mergeCell ref="H15:H20"/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</mergeCells>
  <phoneticPr fontId="5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56"/>
  <sheetViews>
    <sheetView topLeftCell="A13" zoomScaleNormal="100" zoomScaleSheetLayoutView="100" workbookViewId="0">
      <selection activeCell="D63" sqref="D63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53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1" s="12" customFormat="1" ht="21" customHeight="1" thickBot="1">
      <c r="A1" s="421" t="s">
        <v>238</v>
      </c>
      <c r="B1" s="421"/>
      <c r="C1" s="421"/>
      <c r="D1" s="134"/>
      <c r="E1" s="134"/>
      <c r="F1" s="134"/>
      <c r="G1" s="134"/>
      <c r="H1" s="134"/>
      <c r="I1" s="134"/>
      <c r="J1" s="134"/>
      <c r="K1" s="134"/>
      <c r="L1" s="235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1" s="3" customFormat="1" ht="21" customHeight="1">
      <c r="A2" s="427" t="s">
        <v>22</v>
      </c>
      <c r="B2" s="428"/>
      <c r="C2" s="428"/>
      <c r="D2" s="429" t="s">
        <v>402</v>
      </c>
      <c r="E2" s="431" t="s">
        <v>401</v>
      </c>
      <c r="F2" s="432"/>
      <c r="G2" s="432"/>
      <c r="H2" s="432"/>
      <c r="I2" s="432"/>
      <c r="J2" s="432"/>
      <c r="K2" s="426" t="s">
        <v>23</v>
      </c>
      <c r="L2" s="426"/>
      <c r="M2" s="415" t="s">
        <v>55</v>
      </c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7"/>
    </row>
    <row r="3" spans="1:31" s="3" customFormat="1" ht="30.75" customHeight="1" thickBot="1">
      <c r="A3" s="25" t="s">
        <v>1</v>
      </c>
      <c r="B3" s="26" t="s">
        <v>2</v>
      </c>
      <c r="C3" s="26" t="s">
        <v>3</v>
      </c>
      <c r="D3" s="430"/>
      <c r="E3" s="213" t="s">
        <v>134</v>
      </c>
      <c r="F3" s="275" t="s">
        <v>169</v>
      </c>
      <c r="G3" s="278" t="s">
        <v>180</v>
      </c>
      <c r="H3" s="213" t="s">
        <v>122</v>
      </c>
      <c r="I3" s="330" t="s">
        <v>312</v>
      </c>
      <c r="J3" s="213" t="s">
        <v>124</v>
      </c>
      <c r="K3" s="212" t="s">
        <v>135</v>
      </c>
      <c r="L3" s="135" t="s">
        <v>4</v>
      </c>
      <c r="M3" s="418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  <c r="AC3" s="419"/>
      <c r="AD3" s="420"/>
    </row>
    <row r="4" spans="1:31" s="12" customFormat="1" ht="21" customHeight="1">
      <c r="A4" s="424" t="s">
        <v>33</v>
      </c>
      <c r="B4" s="425"/>
      <c r="C4" s="425"/>
      <c r="D4" s="228">
        <f>SUM(D5,D88,D103,D153)</f>
        <v>65459</v>
      </c>
      <c r="E4" s="228">
        <f>SUM(F4,G4,H4,J4,I4)-1</f>
        <v>65080.501759999999</v>
      </c>
      <c r="F4" s="228">
        <f>SUM(F5,F88,F103,F153)</f>
        <v>45849.240000000005</v>
      </c>
      <c r="G4" s="228">
        <f>SUM(G5,G88,G103,G153)</f>
        <v>4800</v>
      </c>
      <c r="H4" s="228">
        <f>SUM(H5,H88,H103,H153)</f>
        <v>9413.4517599999999</v>
      </c>
      <c r="I4" s="228">
        <f>SUM(I5,I88,I103,I153,I125)</f>
        <v>200</v>
      </c>
      <c r="J4" s="228">
        <f>SUM(J5,J88,J103,J153)</f>
        <v>4818.8100000000004</v>
      </c>
      <c r="K4" s="227">
        <f>E4-D4</f>
        <v>-378.49824000000081</v>
      </c>
      <c r="L4" s="229">
        <f>IF(D4=0,0,K4/D4)</f>
        <v>-5.7822184879084745E-3</v>
      </c>
      <c r="M4" s="230" t="s">
        <v>150</v>
      </c>
      <c r="N4" s="231"/>
      <c r="O4" s="231"/>
      <c r="P4" s="231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>
        <f>SUM(AC5,AC88,AC103,AC153)</f>
        <v>65081165.799999997</v>
      </c>
      <c r="AD4" s="233" t="s">
        <v>25</v>
      </c>
      <c r="AE4" s="2"/>
    </row>
    <row r="5" spans="1:31" s="12" customFormat="1" ht="21" customHeight="1">
      <c r="A5" s="141" t="s">
        <v>6</v>
      </c>
      <c r="B5" s="422" t="s">
        <v>7</v>
      </c>
      <c r="C5" s="423"/>
      <c r="D5" s="225">
        <f t="shared" ref="D5:J5" si="0">SUM(D6,D50,D59)</f>
        <v>46909</v>
      </c>
      <c r="E5" s="225">
        <f t="shared" si="0"/>
        <v>45628.520000000004</v>
      </c>
      <c r="F5" s="225">
        <f t="shared" si="0"/>
        <v>37759.760000000009</v>
      </c>
      <c r="G5" s="225">
        <f t="shared" si="0"/>
        <v>1800</v>
      </c>
      <c r="H5" s="225">
        <f t="shared" si="0"/>
        <v>1250.1319600000002</v>
      </c>
      <c r="I5" s="225">
        <f t="shared" si="0"/>
        <v>0</v>
      </c>
      <c r="J5" s="225">
        <f t="shared" si="0"/>
        <v>4818.8100000000004</v>
      </c>
      <c r="K5" s="136">
        <f>E5-D5</f>
        <v>-1280.4799999999959</v>
      </c>
      <c r="L5" s="234">
        <f>IF(D5=0,0,K5/D5)</f>
        <v>-2.7297107164936281E-2</v>
      </c>
      <c r="M5" s="260" t="s">
        <v>149</v>
      </c>
      <c r="N5" s="218"/>
      <c r="O5" s="218"/>
      <c r="P5" s="218"/>
      <c r="Q5" s="217"/>
      <c r="R5" s="259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>
        <f>SUM(AC6,AC50,AC59)</f>
        <v>45628366</v>
      </c>
      <c r="AD5" s="40" t="s">
        <v>25</v>
      </c>
      <c r="AE5" s="2"/>
    </row>
    <row r="6" spans="1:31" s="12" customFormat="1" ht="21" customHeight="1">
      <c r="A6" s="51"/>
      <c r="B6" s="42" t="s">
        <v>8</v>
      </c>
      <c r="C6" s="237" t="s">
        <v>5</v>
      </c>
      <c r="D6" s="238">
        <f>SUM(D7,D10,D27,D31,D47)</f>
        <v>41387</v>
      </c>
      <c r="E6" s="236">
        <f>SUM(E7,E10,E27,E31)</f>
        <v>40008.44</v>
      </c>
      <c r="F6" s="236">
        <f>F7+F10+F27+F31</f>
        <v>33389.630000000005</v>
      </c>
      <c r="G6" s="236">
        <f>SUM(G7,G10,G27,G31)</f>
        <v>1800</v>
      </c>
      <c r="H6" s="236">
        <f>SUM(H7,H10,H27,H31)</f>
        <v>0</v>
      </c>
      <c r="I6" s="236">
        <v>0</v>
      </c>
      <c r="J6" s="236">
        <f>SUM(J7,J10,J27,J31)</f>
        <v>4818.8100000000004</v>
      </c>
      <c r="K6" s="239">
        <f>E6-D6</f>
        <v>-1378.5599999999977</v>
      </c>
      <c r="L6" s="240">
        <f>IF(D6=0,0,K6/D6)</f>
        <v>-3.3309010075627553E-2</v>
      </c>
      <c r="M6" s="241" t="s">
        <v>148</v>
      </c>
      <c r="N6" s="241"/>
      <c r="O6" s="241"/>
      <c r="P6" s="241"/>
      <c r="Q6" s="242"/>
      <c r="R6" s="320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>
        <f>SUM(AC7,AC10,AC27,AC31)</f>
        <v>40008440</v>
      </c>
      <c r="AD6" s="243" t="s">
        <v>25</v>
      </c>
      <c r="AE6" s="2"/>
    </row>
    <row r="7" spans="1:31" s="12" customFormat="1" ht="21" customHeight="1">
      <c r="A7" s="51"/>
      <c r="B7" s="52"/>
      <c r="C7" s="42" t="s">
        <v>34</v>
      </c>
      <c r="D7" s="221">
        <v>24791</v>
      </c>
      <c r="E7" s="143">
        <f>F7</f>
        <v>24791</v>
      </c>
      <c r="F7" s="143">
        <f>AC7/1000</f>
        <v>24791</v>
      </c>
      <c r="G7" s="143">
        <v>0</v>
      </c>
      <c r="H7" s="143">
        <v>0</v>
      </c>
      <c r="I7" s="143"/>
      <c r="J7" s="143">
        <v>0</v>
      </c>
      <c r="K7" s="142">
        <f>E7-D7</f>
        <v>0</v>
      </c>
      <c r="L7" s="150">
        <f>IF(D7=0,0,K7/D7)</f>
        <v>0</v>
      </c>
      <c r="M7" s="283" t="s">
        <v>91</v>
      </c>
      <c r="N7" s="283"/>
      <c r="O7" s="264"/>
      <c r="P7" s="264"/>
      <c r="Q7" s="264"/>
      <c r="R7" s="264"/>
      <c r="S7" s="263"/>
      <c r="T7" s="263"/>
      <c r="U7" s="263"/>
      <c r="V7" s="282" t="s">
        <v>136</v>
      </c>
      <c r="W7" s="282"/>
      <c r="X7" s="282"/>
      <c r="Y7" s="282"/>
      <c r="Z7" s="282"/>
      <c r="AA7" s="282"/>
      <c r="AB7" s="244"/>
      <c r="AC7" s="244">
        <f>SUM(AC8:AC9)</f>
        <v>24791000</v>
      </c>
      <c r="AD7" s="243" t="s">
        <v>58</v>
      </c>
      <c r="AE7" s="1"/>
    </row>
    <row r="8" spans="1:31" s="12" customFormat="1" ht="21" customHeight="1">
      <c r="A8" s="51"/>
      <c r="B8" s="52"/>
      <c r="C8" s="52"/>
      <c r="D8" s="219"/>
      <c r="E8" s="298"/>
      <c r="F8" s="298"/>
      <c r="G8" s="298"/>
      <c r="H8" s="298"/>
      <c r="I8" s="298"/>
      <c r="J8" s="298"/>
      <c r="K8" s="137"/>
      <c r="L8" s="88"/>
      <c r="M8" s="86" t="s">
        <v>185</v>
      </c>
      <c r="N8" s="299" t="s">
        <v>229</v>
      </c>
      <c r="O8" s="279"/>
      <c r="P8" s="279"/>
      <c r="Q8" s="86">
        <v>1999000</v>
      </c>
      <c r="R8" s="86"/>
      <c r="S8" s="87" t="s">
        <v>181</v>
      </c>
      <c r="T8" s="87" t="s">
        <v>182</v>
      </c>
      <c r="U8" s="87">
        <v>1</v>
      </c>
      <c r="V8" s="87" t="s">
        <v>183</v>
      </c>
      <c r="W8" s="87" t="s">
        <v>182</v>
      </c>
      <c r="X8" s="300">
        <v>1</v>
      </c>
      <c r="Y8" s="87" t="s">
        <v>29</v>
      </c>
      <c r="Z8" s="87" t="s">
        <v>184</v>
      </c>
      <c r="AA8" s="279"/>
      <c r="AB8" s="85"/>
      <c r="AC8" s="85">
        <f t="shared" ref="AC8:AC9" si="1">Q8*U8*X8</f>
        <v>1999000</v>
      </c>
      <c r="AD8" s="64" t="s">
        <v>25</v>
      </c>
      <c r="AE8" s="1"/>
    </row>
    <row r="9" spans="1:31" s="12" customFormat="1" ht="21" customHeight="1">
      <c r="A9" s="51"/>
      <c r="B9" s="52"/>
      <c r="C9" s="66"/>
      <c r="D9" s="220"/>
      <c r="E9" s="140"/>
      <c r="F9" s="140"/>
      <c r="G9" s="140"/>
      <c r="H9" s="140"/>
      <c r="I9" s="140"/>
      <c r="J9" s="140"/>
      <c r="K9" s="140"/>
      <c r="L9" s="106"/>
      <c r="M9" s="86"/>
      <c r="N9" s="299" t="s">
        <v>230</v>
      </c>
      <c r="O9" s="279"/>
      <c r="P9" s="279"/>
      <c r="Q9" s="86">
        <v>2072000</v>
      </c>
      <c r="R9" s="86"/>
      <c r="S9" s="87" t="s">
        <v>181</v>
      </c>
      <c r="T9" s="87" t="s">
        <v>182</v>
      </c>
      <c r="U9" s="87">
        <v>1</v>
      </c>
      <c r="V9" s="87" t="s">
        <v>183</v>
      </c>
      <c r="W9" s="87" t="s">
        <v>182</v>
      </c>
      <c r="X9" s="300">
        <v>11</v>
      </c>
      <c r="Y9" s="87" t="s">
        <v>29</v>
      </c>
      <c r="Z9" s="87" t="s">
        <v>184</v>
      </c>
      <c r="AA9" s="279"/>
      <c r="AB9" s="85"/>
      <c r="AC9" s="85">
        <f t="shared" si="1"/>
        <v>22792000</v>
      </c>
      <c r="AD9" s="64" t="s">
        <v>25</v>
      </c>
      <c r="AE9" s="1"/>
    </row>
    <row r="10" spans="1:31" s="12" customFormat="1" ht="21" customHeight="1">
      <c r="A10" s="51"/>
      <c r="B10" s="52"/>
      <c r="C10" s="42" t="s">
        <v>35</v>
      </c>
      <c r="D10" s="221">
        <v>9451</v>
      </c>
      <c r="E10" s="143">
        <f>F10+G10+H10+J10</f>
        <v>9514.5400000000009</v>
      </c>
      <c r="F10" s="143">
        <f>SUM(명절휴가비,AC15)/1000</f>
        <v>3266.4</v>
      </c>
      <c r="G10" s="143">
        <f>SUM(AC24)/1000</f>
        <v>1800</v>
      </c>
      <c r="H10" s="143">
        <v>0</v>
      </c>
      <c r="I10" s="143">
        <v>0</v>
      </c>
      <c r="J10" s="143">
        <f>SUM(연장근로수당)/1000</f>
        <v>4448.1400000000003</v>
      </c>
      <c r="K10" s="142">
        <f>E10-D10</f>
        <v>63.540000000000873</v>
      </c>
      <c r="L10" s="150">
        <f>IF(D10=0,0,K10/D10)</f>
        <v>6.7230980848588372E-3</v>
      </c>
      <c r="M10" s="123" t="s">
        <v>36</v>
      </c>
      <c r="N10" s="241"/>
      <c r="O10" s="119"/>
      <c r="P10" s="119"/>
      <c r="Q10" s="119"/>
      <c r="R10" s="264"/>
      <c r="S10" s="111"/>
      <c r="T10" s="111"/>
      <c r="U10" s="111"/>
      <c r="V10" s="242" t="s">
        <v>136</v>
      </c>
      <c r="W10" s="242"/>
      <c r="X10" s="242"/>
      <c r="Y10" s="242"/>
      <c r="Z10" s="242"/>
      <c r="AA10" s="242"/>
      <c r="AB10" s="244"/>
      <c r="AC10" s="244">
        <f>SUM(명절휴가비,연장근로수당,AC15,AC24)</f>
        <v>9514540</v>
      </c>
      <c r="AD10" s="243" t="s">
        <v>58</v>
      </c>
      <c r="AE10" s="1"/>
    </row>
    <row r="11" spans="1:31" s="12" customFormat="1" ht="21" customHeight="1">
      <c r="A11" s="51"/>
      <c r="B11" s="52"/>
      <c r="C11" s="52"/>
      <c r="D11" s="219"/>
      <c r="E11" s="137"/>
      <c r="F11" s="137"/>
      <c r="G11" s="137"/>
      <c r="H11" s="137"/>
      <c r="I11" s="137"/>
      <c r="J11" s="137"/>
      <c r="K11" s="137"/>
      <c r="L11" s="88"/>
      <c r="M11" s="281" t="s">
        <v>187</v>
      </c>
      <c r="N11" s="158"/>
      <c r="O11" s="158"/>
      <c r="P11" s="158"/>
      <c r="Q11" s="158"/>
      <c r="R11" s="323"/>
      <c r="S11" s="157"/>
      <c r="T11" s="157"/>
      <c r="U11" s="157"/>
      <c r="V11" s="168" t="s">
        <v>77</v>
      </c>
      <c r="W11" s="168"/>
      <c r="X11" s="168"/>
      <c r="Y11" s="168"/>
      <c r="Z11" s="168"/>
      <c r="AA11" s="168"/>
      <c r="AB11" s="90" t="s">
        <v>97</v>
      </c>
      <c r="AC11" s="90">
        <f>SUM(AC12:AC13)</f>
        <v>2486400</v>
      </c>
      <c r="AD11" s="91" t="s">
        <v>58</v>
      </c>
      <c r="AE11" s="18"/>
    </row>
    <row r="12" spans="1:31" s="12" customFormat="1" ht="21" customHeight="1">
      <c r="A12" s="51"/>
      <c r="B12" s="52"/>
      <c r="C12" s="52"/>
      <c r="D12" s="219"/>
      <c r="E12" s="137"/>
      <c r="F12" s="137"/>
      <c r="G12" s="137"/>
      <c r="H12" s="137"/>
      <c r="I12" s="137"/>
      <c r="J12" s="137"/>
      <c r="K12" s="137"/>
      <c r="L12" s="88"/>
      <c r="M12" s="305" t="s">
        <v>242</v>
      </c>
      <c r="N12" s="318" t="str">
        <f>N8</f>
        <v>6호</v>
      </c>
      <c r="O12" s="158"/>
      <c r="P12" s="158"/>
      <c r="Q12" s="86">
        <v>2072000</v>
      </c>
      <c r="R12" s="86"/>
      <c r="S12" s="87" t="s">
        <v>181</v>
      </c>
      <c r="T12" s="87" t="s">
        <v>182</v>
      </c>
      <c r="U12" s="301">
        <v>1</v>
      </c>
      <c r="V12" s="87" t="s">
        <v>182</v>
      </c>
      <c r="W12" s="302">
        <v>0.6</v>
      </c>
      <c r="X12" s="303">
        <v>1</v>
      </c>
      <c r="Y12" s="304" t="s">
        <v>186</v>
      </c>
      <c r="Z12" s="87" t="s">
        <v>184</v>
      </c>
      <c r="AA12" s="279"/>
      <c r="AB12" s="85"/>
      <c r="AC12" s="85">
        <f t="shared" ref="AC12" si="2">Q12*U12*W12*X12</f>
        <v>1243200</v>
      </c>
      <c r="AD12" s="64" t="s">
        <v>181</v>
      </c>
      <c r="AE12" s="18"/>
    </row>
    <row r="13" spans="1:31" s="12" customFormat="1" ht="21" customHeight="1">
      <c r="A13" s="51"/>
      <c r="B13" s="52"/>
      <c r="C13" s="52"/>
      <c r="D13" s="219"/>
      <c r="E13" s="137"/>
      <c r="F13" s="137"/>
      <c r="G13" s="137"/>
      <c r="H13" s="137"/>
      <c r="I13" s="137"/>
      <c r="J13" s="137"/>
      <c r="K13" s="137"/>
      <c r="L13" s="88"/>
      <c r="M13" s="314" t="s">
        <v>243</v>
      </c>
      <c r="N13" s="318" t="str">
        <f>N9</f>
        <v>7호</v>
      </c>
      <c r="O13" s="158"/>
      <c r="P13" s="158"/>
      <c r="Q13" s="86">
        <f>Q9</f>
        <v>2072000</v>
      </c>
      <c r="R13" s="86"/>
      <c r="S13" s="87" t="s">
        <v>181</v>
      </c>
      <c r="T13" s="87" t="s">
        <v>182</v>
      </c>
      <c r="U13" s="301">
        <v>1</v>
      </c>
      <c r="V13" s="87" t="s">
        <v>182</v>
      </c>
      <c r="W13" s="302">
        <v>0.6</v>
      </c>
      <c r="X13" s="303">
        <v>1</v>
      </c>
      <c r="Y13" s="304" t="s">
        <v>29</v>
      </c>
      <c r="Z13" s="87" t="s">
        <v>184</v>
      </c>
      <c r="AA13" s="279"/>
      <c r="AB13" s="85"/>
      <c r="AC13" s="85">
        <f>Q13*U13*W13*X13</f>
        <v>1243200</v>
      </c>
      <c r="AD13" s="64" t="s">
        <v>181</v>
      </c>
      <c r="AE13" s="18"/>
    </row>
    <row r="14" spans="1:31" s="12" customFormat="1" ht="21" customHeight="1">
      <c r="A14" s="51"/>
      <c r="B14" s="52"/>
      <c r="C14" s="52"/>
      <c r="D14" s="219"/>
      <c r="E14" s="137"/>
      <c r="F14" s="137"/>
      <c r="G14" s="137"/>
      <c r="H14" s="137"/>
      <c r="I14" s="137"/>
      <c r="J14" s="137"/>
      <c r="K14" s="137"/>
      <c r="L14" s="88"/>
      <c r="M14" s="314"/>
      <c r="N14" s="318"/>
      <c r="O14" s="314"/>
      <c r="P14" s="314"/>
      <c r="Q14" s="86"/>
      <c r="R14" s="86"/>
      <c r="S14" s="87"/>
      <c r="T14" s="87"/>
      <c r="U14" s="301"/>
      <c r="V14" s="87"/>
      <c r="W14" s="302"/>
      <c r="X14" s="303"/>
      <c r="Y14" s="304"/>
      <c r="Z14" s="87"/>
      <c r="AA14" s="313"/>
      <c r="AB14" s="85"/>
      <c r="AC14" s="85"/>
      <c r="AD14" s="64"/>
      <c r="AE14" s="18"/>
    </row>
    <row r="15" spans="1:31" s="12" customFormat="1" ht="21" customHeight="1">
      <c r="A15" s="51"/>
      <c r="B15" s="52"/>
      <c r="C15" s="52"/>
      <c r="D15" s="219"/>
      <c r="E15" s="137"/>
      <c r="F15" s="137"/>
      <c r="G15" s="137"/>
      <c r="H15" s="137"/>
      <c r="I15" s="137"/>
      <c r="J15" s="137"/>
      <c r="K15" s="137"/>
      <c r="L15" s="88"/>
      <c r="M15" s="310" t="s">
        <v>239</v>
      </c>
      <c r="N15" s="318"/>
      <c r="O15" s="314"/>
      <c r="P15" s="314"/>
      <c r="Q15" s="86"/>
      <c r="R15" s="86"/>
      <c r="S15" s="87"/>
      <c r="T15" s="87"/>
      <c r="U15" s="301"/>
      <c r="V15" s="309" t="s">
        <v>77</v>
      </c>
      <c r="W15" s="309"/>
      <c r="X15" s="309"/>
      <c r="Y15" s="309"/>
      <c r="Z15" s="309"/>
      <c r="AA15" s="309"/>
      <c r="AB15" s="90" t="s">
        <v>63</v>
      </c>
      <c r="AC15" s="90">
        <f>SUM(AC16:AC18)</f>
        <v>780000</v>
      </c>
      <c r="AD15" s="91" t="s">
        <v>58</v>
      </c>
      <c r="AE15" s="18"/>
    </row>
    <row r="16" spans="1:31" s="12" customFormat="1" ht="21" customHeight="1">
      <c r="A16" s="51"/>
      <c r="B16" s="52"/>
      <c r="C16" s="52"/>
      <c r="D16" s="219"/>
      <c r="E16" s="137"/>
      <c r="F16" s="137"/>
      <c r="G16" s="137"/>
      <c r="H16" s="137"/>
      <c r="I16" s="137"/>
      <c r="J16" s="137"/>
      <c r="K16" s="137"/>
      <c r="L16" s="88"/>
      <c r="M16" s="356" t="s">
        <v>348</v>
      </c>
      <c r="N16" s="318"/>
      <c r="O16" s="314"/>
      <c r="P16" s="314"/>
      <c r="Q16" s="86">
        <v>40000</v>
      </c>
      <c r="R16" s="86"/>
      <c r="S16" s="87" t="s">
        <v>245</v>
      </c>
      <c r="T16" s="87"/>
      <c r="U16" s="301"/>
      <c r="V16" s="87"/>
      <c r="W16" s="302"/>
      <c r="X16" s="303">
        <v>5</v>
      </c>
      <c r="Y16" s="304" t="s">
        <v>246</v>
      </c>
      <c r="Z16" s="87"/>
      <c r="AA16" s="313"/>
      <c r="AB16" s="85"/>
      <c r="AC16" s="85">
        <f>Q16*X16</f>
        <v>200000</v>
      </c>
      <c r="AD16" s="64" t="s">
        <v>247</v>
      </c>
      <c r="AE16" s="18"/>
    </row>
    <row r="17" spans="1:31" s="12" customFormat="1" ht="21" customHeight="1">
      <c r="A17" s="51"/>
      <c r="B17" s="52"/>
      <c r="C17" s="52"/>
      <c r="D17" s="219"/>
      <c r="E17" s="137"/>
      <c r="F17" s="137"/>
      <c r="G17" s="137"/>
      <c r="H17" s="137"/>
      <c r="I17" s="137"/>
      <c r="J17" s="137"/>
      <c r="K17" s="137"/>
      <c r="L17" s="88"/>
      <c r="M17" s="356" t="s">
        <v>349</v>
      </c>
      <c r="N17" s="318"/>
      <c r="O17" s="352"/>
      <c r="P17" s="352"/>
      <c r="Q17" s="86">
        <v>60000</v>
      </c>
      <c r="R17" s="86"/>
      <c r="S17" s="87" t="s">
        <v>58</v>
      </c>
      <c r="T17" s="87"/>
      <c r="U17" s="301"/>
      <c r="V17" s="87"/>
      <c r="W17" s="302"/>
      <c r="X17" s="303">
        <v>7</v>
      </c>
      <c r="Y17" s="304" t="s">
        <v>350</v>
      </c>
      <c r="Z17" s="87"/>
      <c r="AA17" s="351"/>
      <c r="AB17" s="85"/>
      <c r="AC17" s="85">
        <f>Q17*X17</f>
        <v>420000</v>
      </c>
      <c r="AD17" s="64" t="s">
        <v>58</v>
      </c>
      <c r="AE17" s="18"/>
    </row>
    <row r="18" spans="1:31" s="12" customFormat="1" ht="21" customHeight="1">
      <c r="A18" s="51"/>
      <c r="B18" s="52"/>
      <c r="C18" s="52"/>
      <c r="D18" s="219"/>
      <c r="E18" s="137"/>
      <c r="F18" s="137"/>
      <c r="G18" s="137"/>
      <c r="H18" s="137"/>
      <c r="I18" s="137"/>
      <c r="J18" s="137"/>
      <c r="K18" s="137"/>
      <c r="L18" s="88"/>
      <c r="M18" s="314" t="s">
        <v>244</v>
      </c>
      <c r="N18" s="318"/>
      <c r="O18" s="314"/>
      <c r="P18" s="314"/>
      <c r="Q18" s="86">
        <v>40000</v>
      </c>
      <c r="R18" s="86"/>
      <c r="S18" s="87" t="s">
        <v>245</v>
      </c>
      <c r="T18" s="87"/>
      <c r="U18" s="301"/>
      <c r="V18" s="87"/>
      <c r="W18" s="302"/>
      <c r="X18" s="303">
        <v>4</v>
      </c>
      <c r="Y18" s="304" t="s">
        <v>246</v>
      </c>
      <c r="Z18" s="87"/>
      <c r="AA18" s="313"/>
      <c r="AB18" s="85"/>
      <c r="AC18" s="85">
        <f>Q18*X18</f>
        <v>160000</v>
      </c>
      <c r="AD18" s="64" t="s">
        <v>247</v>
      </c>
      <c r="AE18" s="18"/>
    </row>
    <row r="19" spans="1:31" s="12" customFormat="1" ht="21" customHeight="1">
      <c r="A19" s="51"/>
      <c r="B19" s="52"/>
      <c r="C19" s="52"/>
      <c r="D19" s="219"/>
      <c r="E19" s="137"/>
      <c r="F19" s="137"/>
      <c r="G19" s="137"/>
      <c r="H19" s="137"/>
      <c r="I19" s="137"/>
      <c r="J19" s="137"/>
      <c r="K19" s="137"/>
      <c r="L19" s="88"/>
      <c r="M19" s="216"/>
      <c r="N19" s="158"/>
      <c r="O19" s="158"/>
      <c r="P19" s="158"/>
      <c r="Q19" s="158"/>
      <c r="R19" s="323"/>
      <c r="S19" s="157"/>
      <c r="T19" s="157"/>
      <c r="U19" s="157"/>
      <c r="V19" s="157"/>
      <c r="W19" s="157"/>
      <c r="X19" s="157"/>
      <c r="Y19" s="157"/>
      <c r="Z19" s="157"/>
      <c r="AA19" s="157"/>
      <c r="AB19" s="85"/>
      <c r="AC19" s="85"/>
      <c r="AD19" s="64"/>
      <c r="AE19" s="18"/>
    </row>
    <row r="20" spans="1:31" s="12" customFormat="1" ht="21" customHeight="1">
      <c r="A20" s="51"/>
      <c r="B20" s="52"/>
      <c r="C20" s="52"/>
      <c r="D20" s="219"/>
      <c r="E20" s="137"/>
      <c r="F20" s="137"/>
      <c r="G20" s="137"/>
      <c r="H20" s="137"/>
      <c r="I20" s="137"/>
      <c r="J20" s="137"/>
      <c r="K20" s="137"/>
      <c r="L20" s="88"/>
      <c r="M20" s="310" t="s">
        <v>240</v>
      </c>
      <c r="N20" s="158"/>
      <c r="O20" s="158"/>
      <c r="P20" s="158"/>
      <c r="Q20" s="158"/>
      <c r="R20" s="323"/>
      <c r="S20" s="157"/>
      <c r="T20" s="157"/>
      <c r="U20" s="157"/>
      <c r="V20" s="168" t="s">
        <v>77</v>
      </c>
      <c r="W20" s="168"/>
      <c r="X20" s="168"/>
      <c r="Y20" s="168"/>
      <c r="Z20" s="168"/>
      <c r="AA20" s="168"/>
      <c r="AB20" s="90" t="s">
        <v>97</v>
      </c>
      <c r="AC20" s="90">
        <f>AC21+AC22</f>
        <v>4448140</v>
      </c>
      <c r="AD20" s="91" t="s">
        <v>58</v>
      </c>
      <c r="AE20" s="18"/>
    </row>
    <row r="21" spans="1:31" s="12" customFormat="1" ht="21" customHeight="1">
      <c r="A21" s="51"/>
      <c r="B21" s="52"/>
      <c r="C21" s="52"/>
      <c r="D21" s="219"/>
      <c r="E21" s="137"/>
      <c r="F21" s="137"/>
      <c r="G21" s="137"/>
      <c r="H21" s="137"/>
      <c r="I21" s="137"/>
      <c r="J21" s="137"/>
      <c r="K21" s="137"/>
      <c r="L21" s="88"/>
      <c r="M21" s="216"/>
      <c r="N21" s="318" t="str">
        <f>N8</f>
        <v>6호</v>
      </c>
      <c r="O21" s="279"/>
      <c r="P21" s="279"/>
      <c r="Q21" s="86">
        <f>Q8</f>
        <v>1999000</v>
      </c>
      <c r="R21" s="87" t="s">
        <v>58</v>
      </c>
      <c r="S21" s="87" t="s">
        <v>59</v>
      </c>
      <c r="T21" s="292">
        <v>25</v>
      </c>
      <c r="U21" s="92" t="s">
        <v>59</v>
      </c>
      <c r="V21" s="293">
        <v>1</v>
      </c>
      <c r="W21" s="294">
        <v>1.5</v>
      </c>
      <c r="X21" s="274" t="s">
        <v>78</v>
      </c>
      <c r="Y21" s="274">
        <v>209</v>
      </c>
      <c r="Z21" s="274" t="s">
        <v>54</v>
      </c>
      <c r="AA21" s="279"/>
      <c r="AB21" s="85"/>
      <c r="AC21" s="85">
        <f>ROUNDDOWN(Q21*T21*W21/Y21,-1)*V21</f>
        <v>358670</v>
      </c>
      <c r="AD21" s="64" t="s">
        <v>58</v>
      </c>
      <c r="AE21" s="18"/>
    </row>
    <row r="22" spans="1:31" s="12" customFormat="1" ht="21" customHeight="1">
      <c r="A22" s="51"/>
      <c r="B22" s="52"/>
      <c r="C22" s="52"/>
      <c r="D22" s="219"/>
      <c r="E22" s="137"/>
      <c r="F22" s="137"/>
      <c r="G22" s="137"/>
      <c r="H22" s="137"/>
      <c r="I22" s="137"/>
      <c r="J22" s="137"/>
      <c r="K22" s="137"/>
      <c r="L22" s="88"/>
      <c r="M22" s="216"/>
      <c r="N22" s="318" t="str">
        <f>N9</f>
        <v>7호</v>
      </c>
      <c r="O22" s="259"/>
      <c r="P22" s="259"/>
      <c r="Q22" s="86">
        <f>Q9</f>
        <v>2072000</v>
      </c>
      <c r="R22" s="87" t="s">
        <v>58</v>
      </c>
      <c r="S22" s="87" t="s">
        <v>59</v>
      </c>
      <c r="T22" s="292">
        <v>25</v>
      </c>
      <c r="U22" s="92" t="s">
        <v>59</v>
      </c>
      <c r="V22" s="293">
        <v>11</v>
      </c>
      <c r="W22" s="294">
        <v>1.5</v>
      </c>
      <c r="X22" s="274" t="s">
        <v>78</v>
      </c>
      <c r="Y22" s="274">
        <v>209</v>
      </c>
      <c r="Z22" s="274" t="s">
        <v>54</v>
      </c>
      <c r="AA22" s="279"/>
      <c r="AB22" s="85"/>
      <c r="AC22" s="85">
        <f>ROUNDDOWN(Q22*T22*W22/Y22,-1)*V22</f>
        <v>4089470</v>
      </c>
      <c r="AD22" s="64" t="s">
        <v>58</v>
      </c>
      <c r="AE22" s="18"/>
    </row>
    <row r="23" spans="1:31" s="12" customFormat="1" ht="21" customHeight="1">
      <c r="A23" s="51"/>
      <c r="B23" s="52"/>
      <c r="C23" s="52"/>
      <c r="D23" s="219"/>
      <c r="E23" s="137"/>
      <c r="F23" s="137"/>
      <c r="G23" s="137"/>
      <c r="H23" s="137"/>
      <c r="I23" s="137"/>
      <c r="J23" s="137"/>
      <c r="K23" s="137"/>
      <c r="L23" s="88"/>
      <c r="M23" s="216"/>
      <c r="N23" s="56"/>
      <c r="O23" s="56"/>
      <c r="P23" s="56"/>
      <c r="Q23" s="56"/>
      <c r="R23" s="323"/>
      <c r="S23" s="57"/>
      <c r="T23" s="57"/>
      <c r="U23" s="57"/>
      <c r="V23" s="57"/>
      <c r="W23" s="57"/>
      <c r="X23" s="57"/>
      <c r="Y23" s="57"/>
      <c r="Z23" s="57"/>
      <c r="AA23" s="57"/>
      <c r="AB23" s="85"/>
      <c r="AC23" s="85"/>
      <c r="AD23" s="64"/>
      <c r="AE23" s="18"/>
    </row>
    <row r="24" spans="1:31" s="12" customFormat="1" ht="21" customHeight="1">
      <c r="A24" s="51"/>
      <c r="B24" s="52"/>
      <c r="C24" s="52"/>
      <c r="D24" s="219"/>
      <c r="E24" s="137"/>
      <c r="F24" s="137"/>
      <c r="G24" s="137"/>
      <c r="H24" s="137"/>
      <c r="I24" s="137"/>
      <c r="J24" s="137"/>
      <c r="K24" s="137"/>
      <c r="L24" s="88"/>
      <c r="M24" s="310" t="s">
        <v>241</v>
      </c>
      <c r="N24" s="56"/>
      <c r="O24" s="56"/>
      <c r="P24" s="56"/>
      <c r="Q24" s="56"/>
      <c r="R24" s="323"/>
      <c r="S24" s="57"/>
      <c r="T24" s="57"/>
      <c r="U24" s="57"/>
      <c r="V24" s="98" t="s">
        <v>98</v>
      </c>
      <c r="W24" s="98"/>
      <c r="X24" s="98"/>
      <c r="Y24" s="98"/>
      <c r="Z24" s="98"/>
      <c r="AA24" s="98"/>
      <c r="AB24" s="90" t="s">
        <v>100</v>
      </c>
      <c r="AC24" s="90">
        <f>SUM(AC25:AC25)</f>
        <v>1800000</v>
      </c>
      <c r="AD24" s="91" t="s">
        <v>99</v>
      </c>
      <c r="AE24" s="18"/>
    </row>
    <row r="25" spans="1:31" s="12" customFormat="1" ht="21" customHeight="1">
      <c r="A25" s="51"/>
      <c r="B25" s="52"/>
      <c r="C25" s="52"/>
      <c r="D25" s="219"/>
      <c r="E25" s="137"/>
      <c r="F25" s="137"/>
      <c r="G25" s="137"/>
      <c r="H25" s="137"/>
      <c r="I25" s="137"/>
      <c r="J25" s="137"/>
      <c r="K25" s="137"/>
      <c r="L25" s="88"/>
      <c r="M25" s="280"/>
      <c r="N25" s="280"/>
      <c r="O25" s="280"/>
      <c r="P25" s="280"/>
      <c r="Q25" s="86">
        <v>150000</v>
      </c>
      <c r="R25" s="86"/>
      <c r="S25" s="87" t="s">
        <v>181</v>
      </c>
      <c r="T25" s="87" t="s">
        <v>182</v>
      </c>
      <c r="U25" s="87">
        <v>1</v>
      </c>
      <c r="V25" s="87" t="s">
        <v>183</v>
      </c>
      <c r="W25" s="87" t="s">
        <v>182</v>
      </c>
      <c r="X25" s="300">
        <v>12</v>
      </c>
      <c r="Y25" s="87" t="s">
        <v>29</v>
      </c>
      <c r="Z25" s="87" t="s">
        <v>184</v>
      </c>
      <c r="AA25" s="279"/>
      <c r="AB25" s="85"/>
      <c r="AC25" s="85">
        <f t="shared" ref="AC25" si="3">Q25*U25*X25</f>
        <v>1800000</v>
      </c>
      <c r="AD25" s="64" t="s">
        <v>25</v>
      </c>
      <c r="AE25" s="18"/>
    </row>
    <row r="26" spans="1:31" s="12" customFormat="1" ht="21" customHeight="1">
      <c r="A26" s="51"/>
      <c r="B26" s="52"/>
      <c r="C26" s="52"/>
      <c r="D26" s="219"/>
      <c r="E26" s="137"/>
      <c r="F26" s="137"/>
      <c r="G26" s="137"/>
      <c r="H26" s="137"/>
      <c r="I26" s="137"/>
      <c r="J26" s="137"/>
      <c r="K26" s="137"/>
      <c r="L26" s="88"/>
      <c r="M26" s="216"/>
      <c r="N26" s="56"/>
      <c r="O26" s="56"/>
      <c r="P26" s="56"/>
      <c r="Q26" s="57"/>
      <c r="R26" s="322"/>
      <c r="S26" s="61"/>
      <c r="T26" s="153"/>
      <c r="U26" s="61"/>
      <c r="V26" s="151"/>
      <c r="W26" s="151"/>
      <c r="X26" s="57"/>
      <c r="Y26" s="57"/>
      <c r="Z26" s="57"/>
      <c r="AA26" s="57"/>
      <c r="AB26" s="57"/>
      <c r="AC26" s="57"/>
      <c r="AD26" s="64"/>
      <c r="AE26" s="18"/>
    </row>
    <row r="27" spans="1:31" s="12" customFormat="1" ht="21" customHeight="1">
      <c r="A27" s="51"/>
      <c r="B27" s="52"/>
      <c r="C27" s="42" t="s">
        <v>9</v>
      </c>
      <c r="D27" s="221">
        <v>2853</v>
      </c>
      <c r="E27" s="143">
        <f>F27+G27+H27+J27</f>
        <v>2858.78</v>
      </c>
      <c r="F27" s="143">
        <f>AC28/1000</f>
        <v>2488.11</v>
      </c>
      <c r="G27" s="143">
        <v>0</v>
      </c>
      <c r="H27" s="143">
        <v>0</v>
      </c>
      <c r="I27" s="143">
        <v>0</v>
      </c>
      <c r="J27" s="143">
        <f>AC29/1000</f>
        <v>370.67</v>
      </c>
      <c r="K27" s="142">
        <f>E27-D27</f>
        <v>5.7800000000002001</v>
      </c>
      <c r="L27" s="150">
        <f>IF(D27=0,0,K27/D27)</f>
        <v>2.0259376095338941E-3</v>
      </c>
      <c r="M27" s="123" t="s">
        <v>37</v>
      </c>
      <c r="N27" s="241"/>
      <c r="O27" s="215"/>
      <c r="P27" s="119"/>
      <c r="Q27" s="119"/>
      <c r="R27" s="264"/>
      <c r="S27" s="111"/>
      <c r="T27" s="111"/>
      <c r="U27" s="111"/>
      <c r="V27" s="311" t="s">
        <v>232</v>
      </c>
      <c r="W27" s="311"/>
      <c r="X27" s="311"/>
      <c r="Y27" s="311"/>
      <c r="Z27" s="311"/>
      <c r="AA27" s="311"/>
      <c r="AB27" s="244" t="s">
        <v>233</v>
      </c>
      <c r="AC27" s="244">
        <f>AC28+AC29</f>
        <v>2858780</v>
      </c>
      <c r="AD27" s="243" t="s">
        <v>234</v>
      </c>
      <c r="AE27" s="2"/>
    </row>
    <row r="28" spans="1:31" s="12" customFormat="1" ht="21" customHeight="1">
      <c r="A28" s="51"/>
      <c r="B28" s="52"/>
      <c r="C28" s="52"/>
      <c r="D28" s="222"/>
      <c r="E28" s="137"/>
      <c r="F28" s="137"/>
      <c r="G28" s="137"/>
      <c r="H28" s="137"/>
      <c r="I28" s="137"/>
      <c r="J28" s="137"/>
      <c r="K28" s="144"/>
      <c r="L28" s="88"/>
      <c r="M28" s="314" t="s">
        <v>248</v>
      </c>
      <c r="N28" s="56"/>
      <c r="O28" s="56"/>
      <c r="P28" s="56"/>
      <c r="Q28" s="184">
        <f>AC7+명절휴가비+AC15+AC24</f>
        <v>29857400</v>
      </c>
      <c r="R28" s="322"/>
      <c r="S28" s="113" t="s">
        <v>58</v>
      </c>
      <c r="T28" s="113" t="s">
        <v>78</v>
      </c>
      <c r="U28" s="95">
        <v>12</v>
      </c>
      <c r="V28" s="92" t="s">
        <v>0</v>
      </c>
      <c r="W28" s="157"/>
      <c r="X28" s="157"/>
      <c r="Y28" s="157"/>
      <c r="Z28" s="157" t="s">
        <v>79</v>
      </c>
      <c r="AA28" s="57"/>
      <c r="AB28" s="85"/>
      <c r="AC28" s="85">
        <f>ROUNDDOWN(Q28/U28,-1)</f>
        <v>2488110</v>
      </c>
      <c r="AD28" s="64" t="s">
        <v>70</v>
      </c>
      <c r="AE28" s="2"/>
    </row>
    <row r="29" spans="1:31" s="12" customFormat="1" ht="21" customHeight="1">
      <c r="A29" s="51"/>
      <c r="B29" s="52"/>
      <c r="C29" s="52"/>
      <c r="D29" s="222"/>
      <c r="E29" s="137"/>
      <c r="F29" s="137"/>
      <c r="G29" s="137"/>
      <c r="H29" s="137"/>
      <c r="I29" s="137"/>
      <c r="J29" s="137"/>
      <c r="K29" s="144"/>
      <c r="L29" s="88"/>
      <c r="M29" s="314" t="s">
        <v>249</v>
      </c>
      <c r="N29" s="314"/>
      <c r="O29" s="314"/>
      <c r="P29" s="314"/>
      <c r="Q29" s="313">
        <f>연장근로수당</f>
        <v>4448140</v>
      </c>
      <c r="R29" s="322"/>
      <c r="S29" s="274" t="s">
        <v>58</v>
      </c>
      <c r="T29" s="274" t="s">
        <v>78</v>
      </c>
      <c r="U29" s="95">
        <v>12</v>
      </c>
      <c r="V29" s="92" t="s">
        <v>246</v>
      </c>
      <c r="W29" s="313"/>
      <c r="X29" s="313"/>
      <c r="Y29" s="313"/>
      <c r="Z29" s="313" t="s">
        <v>227</v>
      </c>
      <c r="AA29" s="313"/>
      <c r="AB29" s="85"/>
      <c r="AC29" s="85">
        <f>ROUNDDOWN(Q29/U29,-1)</f>
        <v>370670</v>
      </c>
      <c r="AD29" s="64" t="s">
        <v>247</v>
      </c>
      <c r="AE29" s="2"/>
    </row>
    <row r="30" spans="1:31" s="12" customFormat="1" ht="21" customHeight="1">
      <c r="A30" s="51"/>
      <c r="B30" s="52"/>
      <c r="C30" s="52"/>
      <c r="D30" s="223"/>
      <c r="E30" s="137"/>
      <c r="F30" s="137"/>
      <c r="G30" s="137"/>
      <c r="H30" s="137"/>
      <c r="I30" s="137"/>
      <c r="J30" s="137"/>
      <c r="K30" s="144"/>
      <c r="L30" s="88"/>
      <c r="M30" s="38"/>
      <c r="N30" s="38"/>
      <c r="O30" s="38"/>
      <c r="P30" s="38"/>
      <c r="Q30" s="38"/>
      <c r="R30" s="260"/>
      <c r="S30" s="39"/>
      <c r="T30" s="39"/>
      <c r="U30" s="39"/>
      <c r="V30" s="39"/>
      <c r="W30" s="39"/>
      <c r="X30" s="39"/>
      <c r="Y30" s="39"/>
      <c r="Z30" s="39"/>
      <c r="AA30" s="39"/>
      <c r="AB30" s="58"/>
      <c r="AC30" s="58"/>
      <c r="AD30" s="40"/>
      <c r="AE30" s="2"/>
    </row>
    <row r="31" spans="1:31" s="12" customFormat="1" ht="21" customHeight="1">
      <c r="A31" s="51"/>
      <c r="B31" s="52"/>
      <c r="C31" s="154" t="s">
        <v>101</v>
      </c>
      <c r="D31" s="221">
        <v>4292</v>
      </c>
      <c r="E31" s="143">
        <f>F31</f>
        <v>2844.12</v>
      </c>
      <c r="F31" s="143">
        <f>AC31/1000</f>
        <v>2844.12</v>
      </c>
      <c r="G31" s="143">
        <v>0</v>
      </c>
      <c r="H31" s="143">
        <v>0</v>
      </c>
      <c r="I31" s="143">
        <v>0</v>
      </c>
      <c r="J31" s="143">
        <v>0</v>
      </c>
      <c r="K31" s="155">
        <f>E31-D31</f>
        <v>-1447.88</v>
      </c>
      <c r="L31" s="150">
        <f>IF(D31=0,0,K31/D31)</f>
        <v>-0.33734389561975769</v>
      </c>
      <c r="M31" s="123" t="s">
        <v>38</v>
      </c>
      <c r="N31" s="241"/>
      <c r="O31" s="119"/>
      <c r="P31" s="119"/>
      <c r="Q31" s="119"/>
      <c r="R31" s="264"/>
      <c r="S31" s="111"/>
      <c r="T31" s="111"/>
      <c r="U31" s="111"/>
      <c r="V31" s="242" t="s">
        <v>136</v>
      </c>
      <c r="W31" s="242"/>
      <c r="X31" s="242"/>
      <c r="Y31" s="354" t="s">
        <v>352</v>
      </c>
      <c r="Z31" s="242"/>
      <c r="AA31" s="242"/>
      <c r="AB31" s="244"/>
      <c r="AC31" s="244">
        <f>SUM(AC32:AC45)</f>
        <v>2844120</v>
      </c>
      <c r="AD31" s="243" t="s">
        <v>25</v>
      </c>
    </row>
    <row r="32" spans="1:31" s="12" customFormat="1" ht="21" customHeight="1">
      <c r="A32" s="51"/>
      <c r="B32" s="52"/>
      <c r="C32" s="359"/>
      <c r="D32" s="219"/>
      <c r="E32" s="298"/>
      <c r="F32" s="298"/>
      <c r="G32" s="298"/>
      <c r="H32" s="298"/>
      <c r="I32" s="298"/>
      <c r="J32" s="298"/>
      <c r="K32" s="360"/>
      <c r="L32" s="88"/>
      <c r="M32" s="356" t="s">
        <v>191</v>
      </c>
      <c r="N32" s="260"/>
      <c r="O32" s="260"/>
      <c r="P32" s="260"/>
      <c r="Q32" s="355">
        <v>97020</v>
      </c>
      <c r="R32" s="355"/>
      <c r="S32" s="274" t="s">
        <v>58</v>
      </c>
      <c r="T32" s="92"/>
      <c r="U32" s="361"/>
      <c r="V32" s="274" t="s">
        <v>26</v>
      </c>
      <c r="W32" s="353">
        <v>6</v>
      </c>
      <c r="X32" s="362" t="s">
        <v>350</v>
      </c>
      <c r="Y32" s="94"/>
      <c r="Z32" s="274" t="s">
        <v>54</v>
      </c>
      <c r="AA32" s="355"/>
      <c r="AB32" s="85"/>
      <c r="AC32" s="85">
        <f>ROUND(Q32*W32,-1)</f>
        <v>582120</v>
      </c>
      <c r="AD32" s="64" t="s">
        <v>58</v>
      </c>
    </row>
    <row r="33" spans="1:31" s="12" customFormat="1" ht="21" customHeight="1">
      <c r="A33" s="51"/>
      <c r="B33" s="52"/>
      <c r="C33" s="52"/>
      <c r="D33" s="219"/>
      <c r="E33" s="137"/>
      <c r="F33" s="137"/>
      <c r="G33" s="137"/>
      <c r="H33" s="137"/>
      <c r="I33" s="137"/>
      <c r="J33" s="137"/>
      <c r="K33" s="137"/>
      <c r="L33" s="88"/>
      <c r="M33" s="280" t="s">
        <v>191</v>
      </c>
      <c r="N33" s="158"/>
      <c r="O33" s="158"/>
      <c r="P33" s="158"/>
      <c r="Q33" s="355">
        <v>108130</v>
      </c>
      <c r="R33" s="355"/>
      <c r="S33" s="274" t="s">
        <v>58</v>
      </c>
      <c r="T33" s="92"/>
      <c r="U33" s="361"/>
      <c r="V33" s="274" t="s">
        <v>26</v>
      </c>
      <c r="W33" s="353">
        <v>6</v>
      </c>
      <c r="X33" s="362" t="s">
        <v>350</v>
      </c>
      <c r="Y33" s="94"/>
      <c r="Z33" s="258" t="s">
        <v>54</v>
      </c>
      <c r="AA33" s="157"/>
      <c r="AB33" s="85"/>
      <c r="AC33" s="85">
        <f t="shared" ref="AC33:AC41" si="4">ROUND(Q33*W33,-1)</f>
        <v>648780</v>
      </c>
      <c r="AD33" s="64" t="s">
        <v>70</v>
      </c>
      <c r="AE33" s="2"/>
    </row>
    <row r="34" spans="1:31" s="12" customFormat="1" ht="21" customHeight="1">
      <c r="A34" s="51"/>
      <c r="B34" s="52"/>
      <c r="C34" s="52"/>
      <c r="D34" s="219"/>
      <c r="E34" s="137"/>
      <c r="F34" s="137"/>
      <c r="G34" s="137"/>
      <c r="H34" s="137"/>
      <c r="I34" s="137"/>
      <c r="J34" s="137"/>
      <c r="K34" s="137"/>
      <c r="L34" s="88"/>
      <c r="M34" s="356" t="s">
        <v>188</v>
      </c>
      <c r="N34" s="356"/>
      <c r="O34" s="356"/>
      <c r="P34" s="356"/>
      <c r="Q34" s="355">
        <v>76680</v>
      </c>
      <c r="R34" s="355"/>
      <c r="S34" s="274" t="s">
        <v>58</v>
      </c>
      <c r="T34" s="92"/>
      <c r="U34" s="361"/>
      <c r="V34" s="274" t="s">
        <v>26</v>
      </c>
      <c r="W34" s="353">
        <v>3</v>
      </c>
      <c r="X34" s="362" t="s">
        <v>350</v>
      </c>
      <c r="Y34" s="94"/>
      <c r="Z34" s="274" t="s">
        <v>54</v>
      </c>
      <c r="AA34" s="355"/>
      <c r="AB34" s="85"/>
      <c r="AC34" s="85">
        <f t="shared" si="4"/>
        <v>230040</v>
      </c>
      <c r="AD34" s="64" t="s">
        <v>58</v>
      </c>
      <c r="AE34" s="2"/>
    </row>
    <row r="35" spans="1:31" s="12" customFormat="1" ht="21" customHeight="1">
      <c r="A35" s="51"/>
      <c r="B35" s="52"/>
      <c r="C35" s="52"/>
      <c r="D35" s="219"/>
      <c r="E35" s="137"/>
      <c r="F35" s="137"/>
      <c r="G35" s="137"/>
      <c r="H35" s="137"/>
      <c r="I35" s="137"/>
      <c r="J35" s="137"/>
      <c r="K35" s="137"/>
      <c r="L35" s="88"/>
      <c r="M35" s="280" t="s">
        <v>188</v>
      </c>
      <c r="N35" s="158"/>
      <c r="O35" s="158"/>
      <c r="P35" s="158"/>
      <c r="Q35" s="355">
        <v>89220</v>
      </c>
      <c r="R35" s="355"/>
      <c r="S35" s="274" t="s">
        <v>58</v>
      </c>
      <c r="T35" s="92"/>
      <c r="U35" s="361"/>
      <c r="V35" s="274" t="s">
        <v>26</v>
      </c>
      <c r="W35" s="353">
        <v>9</v>
      </c>
      <c r="X35" s="362" t="s">
        <v>350</v>
      </c>
      <c r="Y35" s="94"/>
      <c r="Z35" s="274" t="s">
        <v>54</v>
      </c>
      <c r="AA35" s="157"/>
      <c r="AB35" s="85"/>
      <c r="AC35" s="85">
        <f t="shared" si="4"/>
        <v>802980</v>
      </c>
      <c r="AD35" s="64" t="s">
        <v>70</v>
      </c>
      <c r="AE35" s="2"/>
    </row>
    <row r="36" spans="1:31" s="12" customFormat="1" ht="21" customHeight="1">
      <c r="A36" s="51"/>
      <c r="B36" s="52"/>
      <c r="C36" s="52"/>
      <c r="D36" s="219"/>
      <c r="E36" s="137"/>
      <c r="F36" s="137"/>
      <c r="G36" s="137"/>
      <c r="H36" s="137"/>
      <c r="I36" s="137"/>
      <c r="J36" s="137"/>
      <c r="K36" s="137"/>
      <c r="L36" s="88"/>
      <c r="M36" s="356" t="s">
        <v>189</v>
      </c>
      <c r="N36" s="356"/>
      <c r="O36" s="356"/>
      <c r="P36" s="356"/>
      <c r="Q36" s="355">
        <v>17490</v>
      </c>
      <c r="R36" s="355"/>
      <c r="S36" s="274" t="s">
        <v>58</v>
      </c>
      <c r="T36" s="92"/>
      <c r="U36" s="361"/>
      <c r="V36" s="274" t="s">
        <v>26</v>
      </c>
      <c r="W36" s="353">
        <v>3</v>
      </c>
      <c r="X36" s="362" t="s">
        <v>350</v>
      </c>
      <c r="Y36" s="94"/>
      <c r="Z36" s="274" t="s">
        <v>54</v>
      </c>
      <c r="AA36" s="355"/>
      <c r="AB36" s="85"/>
      <c r="AC36" s="85">
        <f t="shared" si="4"/>
        <v>52470</v>
      </c>
      <c r="AD36" s="64" t="s">
        <v>58</v>
      </c>
      <c r="AE36" s="2"/>
    </row>
    <row r="37" spans="1:31" s="12" customFormat="1" ht="21" customHeight="1">
      <c r="A37" s="51"/>
      <c r="B37" s="52"/>
      <c r="C37" s="52"/>
      <c r="D37" s="219"/>
      <c r="E37" s="137"/>
      <c r="F37" s="137"/>
      <c r="G37" s="137"/>
      <c r="H37" s="137"/>
      <c r="I37" s="137"/>
      <c r="J37" s="137"/>
      <c r="K37" s="137"/>
      <c r="L37" s="88"/>
      <c r="M37" s="280" t="s">
        <v>189</v>
      </c>
      <c r="N37" s="158"/>
      <c r="O37" s="158"/>
      <c r="P37" s="158"/>
      <c r="Q37" s="355">
        <v>19540</v>
      </c>
      <c r="R37" s="355"/>
      <c r="S37" s="274" t="s">
        <v>58</v>
      </c>
      <c r="T37" s="92"/>
      <c r="U37" s="361"/>
      <c r="V37" s="274" t="s">
        <v>26</v>
      </c>
      <c r="W37" s="353">
        <v>3</v>
      </c>
      <c r="X37" s="362" t="s">
        <v>350</v>
      </c>
      <c r="Y37" s="94"/>
      <c r="Z37" s="258" t="s">
        <v>54</v>
      </c>
      <c r="AA37" s="261"/>
      <c r="AB37" s="85"/>
      <c r="AC37" s="85">
        <f t="shared" si="4"/>
        <v>58620</v>
      </c>
      <c r="AD37" s="64" t="s">
        <v>70</v>
      </c>
      <c r="AE37" s="2"/>
    </row>
    <row r="38" spans="1:31" s="12" customFormat="1" ht="21" customHeight="1">
      <c r="A38" s="51"/>
      <c r="B38" s="52"/>
      <c r="C38" s="52"/>
      <c r="D38" s="219"/>
      <c r="E38" s="137"/>
      <c r="F38" s="137"/>
      <c r="G38" s="137"/>
      <c r="H38" s="137"/>
      <c r="I38" s="137"/>
      <c r="J38" s="137"/>
      <c r="K38" s="137"/>
      <c r="L38" s="88"/>
      <c r="M38" s="356" t="s">
        <v>189</v>
      </c>
      <c r="N38" s="356"/>
      <c r="O38" s="356"/>
      <c r="P38" s="356"/>
      <c r="Q38" s="355">
        <v>21980</v>
      </c>
      <c r="R38" s="355"/>
      <c r="S38" s="274" t="s">
        <v>58</v>
      </c>
      <c r="T38" s="92"/>
      <c r="U38" s="361"/>
      <c r="V38" s="274" t="s">
        <v>26</v>
      </c>
      <c r="W38" s="353">
        <v>6</v>
      </c>
      <c r="X38" s="362" t="s">
        <v>350</v>
      </c>
      <c r="Y38" s="94"/>
      <c r="Z38" s="274" t="s">
        <v>54</v>
      </c>
      <c r="AA38" s="355"/>
      <c r="AB38" s="85"/>
      <c r="AC38" s="85">
        <f t="shared" ref="AC38" si="5">ROUND(Q38*W38,-1)</f>
        <v>131880</v>
      </c>
      <c r="AD38" s="64" t="s">
        <v>58</v>
      </c>
      <c r="AE38" s="2"/>
    </row>
    <row r="39" spans="1:31" s="12" customFormat="1" ht="21" customHeight="1">
      <c r="A39" s="51"/>
      <c r="B39" s="52"/>
      <c r="C39" s="52"/>
      <c r="D39" s="219"/>
      <c r="E39" s="137"/>
      <c r="F39" s="137"/>
      <c r="G39" s="137"/>
      <c r="H39" s="137"/>
      <c r="I39" s="137"/>
      <c r="J39" s="137"/>
      <c r="K39" s="137"/>
      <c r="L39" s="88"/>
      <c r="M39" s="356" t="s">
        <v>190</v>
      </c>
      <c r="N39" s="356"/>
      <c r="O39" s="356"/>
      <c r="P39" s="356"/>
      <c r="Q39" s="355">
        <v>16610</v>
      </c>
      <c r="R39" s="355"/>
      <c r="S39" s="274" t="s">
        <v>58</v>
      </c>
      <c r="T39" s="92"/>
      <c r="U39" s="361"/>
      <c r="V39" s="274" t="s">
        <v>26</v>
      </c>
      <c r="W39" s="353">
        <v>1</v>
      </c>
      <c r="X39" s="362" t="s">
        <v>350</v>
      </c>
      <c r="Y39" s="94"/>
      <c r="Z39" s="274" t="s">
        <v>54</v>
      </c>
      <c r="AA39" s="355"/>
      <c r="AB39" s="85"/>
      <c r="AC39" s="85">
        <f t="shared" si="4"/>
        <v>16610</v>
      </c>
      <c r="AD39" s="64" t="s">
        <v>58</v>
      </c>
      <c r="AE39" s="2"/>
    </row>
    <row r="40" spans="1:31" s="12" customFormat="1" ht="21" customHeight="1">
      <c r="A40" s="51"/>
      <c r="B40" s="52"/>
      <c r="C40" s="52"/>
      <c r="D40" s="219"/>
      <c r="E40" s="137"/>
      <c r="F40" s="137"/>
      <c r="G40" s="137"/>
      <c r="H40" s="137"/>
      <c r="I40" s="137"/>
      <c r="J40" s="137"/>
      <c r="K40" s="137"/>
      <c r="L40" s="88"/>
      <c r="M40" s="356" t="s">
        <v>190</v>
      </c>
      <c r="N40" s="356"/>
      <c r="O40" s="356"/>
      <c r="P40" s="356"/>
      <c r="Q40" s="355">
        <v>17050</v>
      </c>
      <c r="R40" s="355"/>
      <c r="S40" s="274" t="s">
        <v>58</v>
      </c>
      <c r="T40" s="92"/>
      <c r="U40" s="361"/>
      <c r="V40" s="274" t="s">
        <v>26</v>
      </c>
      <c r="W40" s="353">
        <v>2</v>
      </c>
      <c r="X40" s="362" t="s">
        <v>29</v>
      </c>
      <c r="Y40" s="94"/>
      <c r="Z40" s="274" t="s">
        <v>54</v>
      </c>
      <c r="AA40" s="355"/>
      <c r="AB40" s="85"/>
      <c r="AC40" s="85">
        <f t="shared" si="4"/>
        <v>34100</v>
      </c>
      <c r="AD40" s="64" t="s">
        <v>58</v>
      </c>
      <c r="AE40" s="2"/>
    </row>
    <row r="41" spans="1:31" s="12" customFormat="1" ht="21" customHeight="1">
      <c r="A41" s="51"/>
      <c r="B41" s="52"/>
      <c r="C41" s="52"/>
      <c r="D41" s="219"/>
      <c r="E41" s="137"/>
      <c r="F41" s="137"/>
      <c r="G41" s="137"/>
      <c r="H41" s="137"/>
      <c r="I41" s="137"/>
      <c r="J41" s="137"/>
      <c r="K41" s="137"/>
      <c r="L41" s="88"/>
      <c r="M41" s="280" t="s">
        <v>190</v>
      </c>
      <c r="N41" s="158"/>
      <c r="O41" s="158"/>
      <c r="P41" s="158"/>
      <c r="Q41" s="355">
        <v>19060</v>
      </c>
      <c r="R41" s="355"/>
      <c r="S41" s="274" t="s">
        <v>58</v>
      </c>
      <c r="T41" s="92"/>
      <c r="U41" s="361"/>
      <c r="V41" s="274" t="s">
        <v>26</v>
      </c>
      <c r="W41" s="353">
        <v>9</v>
      </c>
      <c r="X41" s="362" t="s">
        <v>350</v>
      </c>
      <c r="Y41" s="94"/>
      <c r="Z41" s="258" t="s">
        <v>54</v>
      </c>
      <c r="AA41" s="261"/>
      <c r="AB41" s="85"/>
      <c r="AC41" s="85">
        <f t="shared" si="4"/>
        <v>171540</v>
      </c>
      <c r="AD41" s="64" t="s">
        <v>70</v>
      </c>
      <c r="AE41" s="2"/>
    </row>
    <row r="42" spans="1:31" s="12" customFormat="1" ht="21" customHeight="1">
      <c r="A42" s="51"/>
      <c r="B42" s="52"/>
      <c r="C42" s="52"/>
      <c r="D42" s="219"/>
      <c r="E42" s="137"/>
      <c r="F42" s="137"/>
      <c r="G42" s="137"/>
      <c r="H42" s="137"/>
      <c r="I42" s="137"/>
      <c r="J42" s="137"/>
      <c r="K42" s="137"/>
      <c r="L42" s="88"/>
      <c r="M42" s="332" t="s">
        <v>304</v>
      </c>
      <c r="N42" s="332"/>
      <c r="O42" s="332"/>
      <c r="P42" s="332"/>
      <c r="Q42" s="331">
        <v>49050</v>
      </c>
      <c r="R42" s="331"/>
      <c r="S42" s="274" t="s">
        <v>58</v>
      </c>
      <c r="T42" s="92" t="s">
        <v>59</v>
      </c>
      <c r="U42" s="361"/>
      <c r="V42" s="92" t="s">
        <v>59</v>
      </c>
      <c r="W42" s="85">
        <v>1</v>
      </c>
      <c r="X42" s="362" t="s">
        <v>351</v>
      </c>
      <c r="Y42" s="94"/>
      <c r="Z42" s="274" t="s">
        <v>54</v>
      </c>
      <c r="AA42" s="331"/>
      <c r="AB42" s="85"/>
      <c r="AC42" s="85">
        <f t="shared" ref="AC42:AC45" si="6">Q42*W42</f>
        <v>49050</v>
      </c>
      <c r="AD42" s="64" t="s">
        <v>58</v>
      </c>
      <c r="AE42" s="2"/>
    </row>
    <row r="43" spans="1:31" s="12" customFormat="1" ht="21" customHeight="1">
      <c r="A43" s="51"/>
      <c r="B43" s="52"/>
      <c r="C43" s="52"/>
      <c r="D43" s="219"/>
      <c r="E43" s="137"/>
      <c r="F43" s="137"/>
      <c r="G43" s="137"/>
      <c r="H43" s="137"/>
      <c r="I43" s="137"/>
      <c r="J43" s="137"/>
      <c r="K43" s="137"/>
      <c r="L43" s="88"/>
      <c r="M43" s="332" t="s">
        <v>307</v>
      </c>
      <c r="N43" s="332"/>
      <c r="O43" s="332"/>
      <c r="P43" s="332"/>
      <c r="Q43" s="331">
        <v>3210</v>
      </c>
      <c r="R43" s="331"/>
      <c r="S43" s="274" t="s">
        <v>58</v>
      </c>
      <c r="T43" s="92" t="s">
        <v>59</v>
      </c>
      <c r="U43" s="361"/>
      <c r="V43" s="92" t="s">
        <v>59</v>
      </c>
      <c r="W43" s="85">
        <v>1</v>
      </c>
      <c r="X43" s="362" t="s">
        <v>351</v>
      </c>
      <c r="Y43" s="94"/>
      <c r="Z43" s="274" t="s">
        <v>54</v>
      </c>
      <c r="AA43" s="331"/>
      <c r="AB43" s="85"/>
      <c r="AC43" s="85">
        <f t="shared" si="6"/>
        <v>3210</v>
      </c>
      <c r="AD43" s="64" t="s">
        <v>58</v>
      </c>
      <c r="AE43" s="2"/>
    </row>
    <row r="44" spans="1:31" s="12" customFormat="1" ht="21" customHeight="1">
      <c r="A44" s="51"/>
      <c r="B44" s="52"/>
      <c r="C44" s="52"/>
      <c r="D44" s="219"/>
      <c r="E44" s="137"/>
      <c r="F44" s="137"/>
      <c r="G44" s="137"/>
      <c r="H44" s="137"/>
      <c r="I44" s="137"/>
      <c r="J44" s="137"/>
      <c r="K44" s="137"/>
      <c r="L44" s="88"/>
      <c r="M44" s="332" t="s">
        <v>305</v>
      </c>
      <c r="N44" s="332"/>
      <c r="O44" s="332"/>
      <c r="P44" s="332"/>
      <c r="Q44" s="331">
        <v>16080</v>
      </c>
      <c r="R44" s="331"/>
      <c r="S44" s="274" t="s">
        <v>58</v>
      </c>
      <c r="T44" s="92" t="s">
        <v>59</v>
      </c>
      <c r="U44" s="361"/>
      <c r="V44" s="92" t="s">
        <v>59</v>
      </c>
      <c r="W44" s="85">
        <v>2</v>
      </c>
      <c r="X44" s="362" t="s">
        <v>351</v>
      </c>
      <c r="Y44" s="94"/>
      <c r="Z44" s="274" t="s">
        <v>54</v>
      </c>
      <c r="AA44" s="331"/>
      <c r="AB44" s="85"/>
      <c r="AC44" s="85">
        <f t="shared" si="6"/>
        <v>32160</v>
      </c>
      <c r="AD44" s="64" t="s">
        <v>58</v>
      </c>
      <c r="AE44" s="2"/>
    </row>
    <row r="45" spans="1:31" s="12" customFormat="1" ht="21" customHeight="1">
      <c r="A45" s="51"/>
      <c r="B45" s="52"/>
      <c r="C45" s="52"/>
      <c r="D45" s="219"/>
      <c r="E45" s="137"/>
      <c r="F45" s="137"/>
      <c r="G45" s="137"/>
      <c r="H45" s="137"/>
      <c r="I45" s="137"/>
      <c r="J45" s="137"/>
      <c r="K45" s="137"/>
      <c r="L45" s="88"/>
      <c r="M45" s="332" t="s">
        <v>306</v>
      </c>
      <c r="N45" s="332"/>
      <c r="O45" s="332"/>
      <c r="P45" s="332"/>
      <c r="Q45" s="331">
        <v>15280</v>
      </c>
      <c r="R45" s="331"/>
      <c r="S45" s="274" t="s">
        <v>58</v>
      </c>
      <c r="T45" s="92" t="s">
        <v>59</v>
      </c>
      <c r="U45" s="361"/>
      <c r="V45" s="92" t="s">
        <v>59</v>
      </c>
      <c r="W45" s="85">
        <v>2</v>
      </c>
      <c r="X45" s="362" t="s">
        <v>351</v>
      </c>
      <c r="Y45" s="94"/>
      <c r="Z45" s="274" t="s">
        <v>54</v>
      </c>
      <c r="AA45" s="331"/>
      <c r="AB45" s="85"/>
      <c r="AC45" s="85">
        <f t="shared" si="6"/>
        <v>30560</v>
      </c>
      <c r="AD45" s="64" t="s">
        <v>58</v>
      </c>
      <c r="AE45" s="2"/>
    </row>
    <row r="46" spans="1:31" s="12" customFormat="1" ht="21" customHeight="1">
      <c r="A46" s="51"/>
      <c r="B46" s="52"/>
      <c r="C46" s="52"/>
      <c r="D46" s="219"/>
      <c r="E46" s="137"/>
      <c r="F46" s="137"/>
      <c r="G46" s="137"/>
      <c r="H46" s="137"/>
      <c r="I46" s="137"/>
      <c r="J46" s="137"/>
      <c r="K46" s="137"/>
      <c r="L46" s="88"/>
      <c r="M46" s="314"/>
      <c r="N46" s="314"/>
      <c r="O46" s="314"/>
      <c r="P46" s="314"/>
      <c r="Q46" s="313"/>
      <c r="R46" s="322"/>
      <c r="S46" s="274"/>
      <c r="T46" s="92"/>
      <c r="U46" s="96"/>
      <c r="V46" s="92"/>
      <c r="W46" s="97"/>
      <c r="X46" s="94"/>
      <c r="Y46" s="94"/>
      <c r="Z46" s="274"/>
      <c r="AA46" s="313"/>
      <c r="AB46" s="85"/>
      <c r="AC46" s="85"/>
      <c r="AD46" s="64"/>
      <c r="AE46" s="2"/>
    </row>
    <row r="47" spans="1:31" s="12" customFormat="1" ht="33" customHeight="1">
      <c r="A47" s="51"/>
      <c r="B47" s="52"/>
      <c r="C47" s="42" t="s">
        <v>237</v>
      </c>
      <c r="D47" s="221">
        <v>0</v>
      </c>
      <c r="E47" s="142">
        <f>SUM(F47:J47)</f>
        <v>0</v>
      </c>
      <c r="F47" s="142">
        <f>AC48</f>
        <v>0</v>
      </c>
      <c r="G47" s="142">
        <f>AC48</f>
        <v>0</v>
      </c>
      <c r="H47" s="142">
        <f>AC48</f>
        <v>0</v>
      </c>
      <c r="I47" s="142">
        <v>0</v>
      </c>
      <c r="J47" s="142">
        <f>AC48</f>
        <v>0</v>
      </c>
      <c r="K47" s="142"/>
      <c r="L47" s="150"/>
      <c r="M47" s="123" t="s">
        <v>235</v>
      </c>
      <c r="N47" s="312"/>
      <c r="O47" s="224"/>
      <c r="P47" s="224"/>
      <c r="Q47" s="110"/>
      <c r="R47" s="110"/>
      <c r="S47" s="315"/>
      <c r="T47" s="316"/>
      <c r="U47" s="317"/>
      <c r="V47" s="311" t="s">
        <v>65</v>
      </c>
      <c r="W47" s="311"/>
      <c r="X47" s="311"/>
      <c r="Y47" s="311"/>
      <c r="Z47" s="311"/>
      <c r="AA47" s="311"/>
      <c r="AB47" s="244"/>
      <c r="AC47" s="244">
        <f>AC48</f>
        <v>0</v>
      </c>
      <c r="AD47" s="243" t="s">
        <v>25</v>
      </c>
      <c r="AE47" s="2"/>
    </row>
    <row r="48" spans="1:31" s="12" customFormat="1" ht="21" customHeight="1">
      <c r="A48" s="51"/>
      <c r="B48" s="52"/>
      <c r="C48" s="52"/>
      <c r="D48" s="219"/>
      <c r="E48" s="137"/>
      <c r="F48" s="137"/>
      <c r="G48" s="137"/>
      <c r="H48" s="137"/>
      <c r="I48" s="137"/>
      <c r="J48" s="137"/>
      <c r="K48" s="137"/>
      <c r="L48" s="88"/>
      <c r="M48" s="314" t="s">
        <v>236</v>
      </c>
      <c r="N48" s="314"/>
      <c r="O48" s="314"/>
      <c r="P48" s="314"/>
      <c r="Q48" s="313"/>
      <c r="R48" s="322"/>
      <c r="S48" s="274"/>
      <c r="T48" s="92"/>
      <c r="U48" s="96"/>
      <c r="V48" s="92"/>
      <c r="W48" s="97"/>
      <c r="X48" s="94"/>
      <c r="Y48" s="94"/>
      <c r="Z48" s="274"/>
      <c r="AA48" s="313"/>
      <c r="AB48" s="85"/>
      <c r="AC48" s="85">
        <v>0</v>
      </c>
      <c r="AD48" s="210" t="s">
        <v>25</v>
      </c>
      <c r="AE48" s="2"/>
    </row>
    <row r="49" spans="1:33" s="12" customFormat="1" ht="21" customHeight="1">
      <c r="A49" s="51"/>
      <c r="B49" s="66"/>
      <c r="C49" s="66"/>
      <c r="D49" s="220"/>
      <c r="E49" s="140"/>
      <c r="F49" s="140"/>
      <c r="G49" s="140"/>
      <c r="H49" s="140"/>
      <c r="I49" s="140"/>
      <c r="J49" s="140"/>
      <c r="K49" s="140"/>
      <c r="L49" s="106"/>
      <c r="M49" s="214"/>
      <c r="N49" s="99"/>
      <c r="O49" s="99"/>
      <c r="P49" s="99"/>
      <c r="Q49" s="98"/>
      <c r="R49" s="319"/>
      <c r="S49" s="108"/>
      <c r="T49" s="108"/>
      <c r="U49" s="108"/>
      <c r="V49" s="98"/>
      <c r="W49" s="108"/>
      <c r="X49" s="108"/>
      <c r="Y49" s="108"/>
      <c r="Z49" s="98"/>
      <c r="AA49" s="108"/>
      <c r="AB49" s="108"/>
      <c r="AC49" s="98"/>
      <c r="AD49" s="156"/>
      <c r="AE49" s="2"/>
    </row>
    <row r="50" spans="1:33" s="12" customFormat="1" ht="21" customHeight="1">
      <c r="A50" s="51"/>
      <c r="B50" s="52" t="s">
        <v>137</v>
      </c>
      <c r="C50" s="52" t="s">
        <v>5</v>
      </c>
      <c r="D50" s="137">
        <f>SUM(D51,D54,D56)</f>
        <v>80</v>
      </c>
      <c r="E50" s="137">
        <f>SUM(E51,E54,E56)</f>
        <v>70.08</v>
      </c>
      <c r="F50" s="137">
        <f>F51+F54+F56</f>
        <v>70.08</v>
      </c>
      <c r="G50" s="137">
        <f t="shared" ref="G50" si="7">SUM(G51,G54,G56)</f>
        <v>0</v>
      </c>
      <c r="H50" s="137">
        <v>0</v>
      </c>
      <c r="I50" s="137">
        <v>0</v>
      </c>
      <c r="J50" s="137">
        <f t="shared" ref="J50" si="8">SUM(J51,J54,J56)</f>
        <v>0</v>
      </c>
      <c r="K50" s="137">
        <f>E50-D50</f>
        <v>-9.9200000000000017</v>
      </c>
      <c r="L50" s="88">
        <f>IF(D50=0,0,K50/D50)</f>
        <v>-0.12400000000000003</v>
      </c>
      <c r="M50" s="260" t="s">
        <v>145</v>
      </c>
      <c r="N50" s="38"/>
      <c r="O50" s="38"/>
      <c r="P50" s="38"/>
      <c r="Q50" s="39"/>
      <c r="R50" s="259"/>
      <c r="S50" s="39"/>
      <c r="T50" s="39"/>
      <c r="U50" s="39"/>
      <c r="V50" s="263"/>
      <c r="W50" s="263"/>
      <c r="X50" s="263"/>
      <c r="Y50" s="263"/>
      <c r="Z50" s="263"/>
      <c r="AA50" s="263"/>
      <c r="AB50" s="120"/>
      <c r="AC50" s="120">
        <f>SUM(AC51,AC54,AC56)</f>
        <v>70080</v>
      </c>
      <c r="AD50" s="121" t="s">
        <v>25</v>
      </c>
      <c r="AE50" s="5"/>
    </row>
    <row r="51" spans="1:33" s="12" customFormat="1" ht="21" customHeight="1">
      <c r="A51" s="51"/>
      <c r="B51" s="52" t="s">
        <v>144</v>
      </c>
      <c r="C51" s="42" t="s">
        <v>10</v>
      </c>
      <c r="D51" s="221">
        <v>0</v>
      </c>
      <c r="E51" s="142">
        <f>AC51/1000</f>
        <v>20</v>
      </c>
      <c r="F51" s="142">
        <f>AC51/1000</f>
        <v>20</v>
      </c>
      <c r="G51" s="142">
        <v>0</v>
      </c>
      <c r="H51" s="142">
        <v>0</v>
      </c>
      <c r="I51" s="142">
        <v>0</v>
      </c>
      <c r="J51" s="142">
        <v>0</v>
      </c>
      <c r="K51" s="142">
        <f>E51-D51</f>
        <v>20</v>
      </c>
      <c r="L51" s="150">
        <f>IF(D51=0,0,K51/D51)</f>
        <v>0</v>
      </c>
      <c r="M51" s="123" t="s">
        <v>39</v>
      </c>
      <c r="N51" s="211"/>
      <c r="O51" s="224"/>
      <c r="P51" s="224"/>
      <c r="Q51" s="224"/>
      <c r="R51" s="224"/>
      <c r="S51" s="110"/>
      <c r="T51" s="110"/>
      <c r="U51" s="110"/>
      <c r="V51" s="110"/>
      <c r="W51" s="110"/>
      <c r="X51" s="242" t="s">
        <v>147</v>
      </c>
      <c r="Y51" s="242"/>
      <c r="Z51" s="242"/>
      <c r="AA51" s="242"/>
      <c r="AB51" s="244"/>
      <c r="AC51" s="244">
        <f>AC52</f>
        <v>20000</v>
      </c>
      <c r="AD51" s="243" t="s">
        <v>25</v>
      </c>
    </row>
    <row r="52" spans="1:33" s="12" customFormat="1" ht="21" customHeight="1">
      <c r="A52" s="51"/>
      <c r="B52" s="52"/>
      <c r="C52" s="52"/>
      <c r="D52" s="219"/>
      <c r="E52" s="137"/>
      <c r="F52" s="137"/>
      <c r="G52" s="137"/>
      <c r="H52" s="137"/>
      <c r="I52" s="137"/>
      <c r="J52" s="137"/>
      <c r="K52" s="137"/>
      <c r="L52" s="88"/>
      <c r="M52" s="333" t="s">
        <v>302</v>
      </c>
      <c r="N52" s="224"/>
      <c r="O52" s="332"/>
      <c r="P52" s="332"/>
      <c r="Q52" s="332"/>
      <c r="R52" s="332"/>
      <c r="S52" s="331"/>
      <c r="T52" s="331"/>
      <c r="U52" s="331"/>
      <c r="V52" s="331"/>
      <c r="W52" s="331"/>
      <c r="X52" s="126"/>
      <c r="Y52" s="126"/>
      <c r="Z52" s="126"/>
      <c r="AA52" s="126"/>
      <c r="AB52" s="147"/>
      <c r="AC52" s="147">
        <v>20000</v>
      </c>
      <c r="AD52" s="148" t="s">
        <v>303</v>
      </c>
    </row>
    <row r="53" spans="1:33" s="12" customFormat="1" ht="21" customHeight="1">
      <c r="A53" s="51"/>
      <c r="B53" s="52"/>
      <c r="C53" s="66"/>
      <c r="D53" s="220"/>
      <c r="E53" s="140"/>
      <c r="F53" s="140"/>
      <c r="G53" s="140"/>
      <c r="H53" s="140"/>
      <c r="I53" s="140"/>
      <c r="J53" s="140"/>
      <c r="K53" s="140"/>
      <c r="L53" s="106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56"/>
      <c r="AE53" s="1"/>
    </row>
    <row r="54" spans="1:33" s="12" customFormat="1" ht="21" customHeight="1">
      <c r="A54" s="51"/>
      <c r="B54" s="52"/>
      <c r="C54" s="52" t="s">
        <v>11</v>
      </c>
      <c r="D54" s="219">
        <v>0</v>
      </c>
      <c r="E54" s="137">
        <f>AC54/1000</f>
        <v>0</v>
      </c>
      <c r="F54" s="137">
        <v>0</v>
      </c>
      <c r="G54" s="137">
        <v>0</v>
      </c>
      <c r="H54" s="137">
        <v>0</v>
      </c>
      <c r="I54" s="137">
        <v>0</v>
      </c>
      <c r="J54" s="137">
        <v>0</v>
      </c>
      <c r="K54" s="137">
        <f>E54-D54</f>
        <v>0</v>
      </c>
      <c r="L54" s="88">
        <f>IF(D54=0,0,K54/D54)</f>
        <v>0</v>
      </c>
      <c r="M54" s="123" t="s">
        <v>146</v>
      </c>
      <c r="N54" s="241"/>
      <c r="O54" s="38"/>
      <c r="P54" s="38"/>
      <c r="Q54" s="38"/>
      <c r="R54" s="260"/>
      <c r="S54" s="39"/>
      <c r="T54" s="39"/>
      <c r="U54" s="39"/>
      <c r="V54" s="39"/>
      <c r="W54" s="39"/>
      <c r="X54" s="242" t="s">
        <v>147</v>
      </c>
      <c r="Y54" s="242"/>
      <c r="Z54" s="242"/>
      <c r="AA54" s="242"/>
      <c r="AB54" s="244"/>
      <c r="AC54" s="244">
        <v>0</v>
      </c>
      <c r="AD54" s="243" t="s">
        <v>25</v>
      </c>
      <c r="AE54" s="1"/>
    </row>
    <row r="55" spans="1:33" s="12" customFormat="1" ht="21" customHeight="1">
      <c r="A55" s="51"/>
      <c r="B55" s="52"/>
      <c r="C55" s="66"/>
      <c r="D55" s="220"/>
      <c r="E55" s="140"/>
      <c r="F55" s="140"/>
      <c r="G55" s="140"/>
      <c r="H55" s="140"/>
      <c r="I55" s="140"/>
      <c r="J55" s="140"/>
      <c r="K55" s="140"/>
      <c r="L55" s="106"/>
      <c r="M55" s="214"/>
      <c r="N55" s="99"/>
      <c r="O55" s="99"/>
      <c r="P55" s="99"/>
      <c r="Q55" s="98"/>
      <c r="R55" s="319"/>
      <c r="S55" s="107"/>
      <c r="T55" s="107"/>
      <c r="U55" s="98"/>
      <c r="V55" s="99"/>
      <c r="W55" s="98"/>
      <c r="X55" s="98"/>
      <c r="Y55" s="98"/>
      <c r="Z55" s="98"/>
      <c r="AA55" s="98"/>
      <c r="AB55" s="98"/>
      <c r="AC55" s="98"/>
      <c r="AD55" s="91"/>
      <c r="AE55" s="1"/>
    </row>
    <row r="56" spans="1:33" s="12" customFormat="1" ht="21" customHeight="1">
      <c r="A56" s="51"/>
      <c r="B56" s="52"/>
      <c r="C56" s="52" t="s">
        <v>103</v>
      </c>
      <c r="D56" s="219">
        <v>80</v>
      </c>
      <c r="E56" s="137">
        <f>F56+G56+H56+J56</f>
        <v>50.08</v>
      </c>
      <c r="F56" s="137">
        <f>AC57/1000</f>
        <v>50.08</v>
      </c>
      <c r="G56" s="137">
        <v>0</v>
      </c>
      <c r="H56" s="137">
        <v>0</v>
      </c>
      <c r="I56" s="137">
        <v>0</v>
      </c>
      <c r="J56" s="142">
        <v>0</v>
      </c>
      <c r="K56" s="366">
        <f>E56-D56</f>
        <v>-29.92</v>
      </c>
      <c r="L56" s="88">
        <f>IF(D56=0,0,K56/D56)</f>
        <v>-0.374</v>
      </c>
      <c r="M56" s="145" t="s">
        <v>40</v>
      </c>
      <c r="N56" s="38"/>
      <c r="O56" s="38"/>
      <c r="P56" s="38"/>
      <c r="Q56" s="38"/>
      <c r="R56" s="260"/>
      <c r="S56" s="39"/>
      <c r="T56" s="39"/>
      <c r="U56" s="39"/>
      <c r="V56" s="39"/>
      <c r="W56" s="39"/>
      <c r="X56" s="242" t="s">
        <v>147</v>
      </c>
      <c r="Y56" s="242"/>
      <c r="Z56" s="242"/>
      <c r="AA56" s="242"/>
      <c r="AB56" s="244"/>
      <c r="AC56" s="244">
        <f>AC57</f>
        <v>50080</v>
      </c>
      <c r="AD56" s="243" t="s">
        <v>25</v>
      </c>
      <c r="AE56" s="1"/>
    </row>
    <row r="57" spans="1:33" s="15" customFormat="1" ht="21" customHeight="1">
      <c r="A57" s="51"/>
      <c r="B57" s="52"/>
      <c r="C57" s="52"/>
      <c r="D57" s="219"/>
      <c r="E57" s="137"/>
      <c r="F57" s="137"/>
      <c r="G57" s="137"/>
      <c r="H57" s="137"/>
      <c r="I57" s="137"/>
      <c r="J57" s="137"/>
      <c r="K57" s="137"/>
      <c r="L57" s="88"/>
      <c r="M57" s="280" t="s">
        <v>192</v>
      </c>
      <c r="N57" s="56"/>
      <c r="O57" s="56"/>
      <c r="P57" s="56"/>
      <c r="Q57" s="57">
        <v>25040</v>
      </c>
      <c r="R57" s="322"/>
      <c r="S57" s="61" t="s">
        <v>25</v>
      </c>
      <c r="T57" s="61" t="s">
        <v>26</v>
      </c>
      <c r="U57" s="57">
        <v>2</v>
      </c>
      <c r="V57" s="296" t="s">
        <v>193</v>
      </c>
      <c r="W57" s="57"/>
      <c r="X57" s="57"/>
      <c r="Y57" s="57"/>
      <c r="Z57" s="57" t="s">
        <v>27</v>
      </c>
      <c r="AA57" s="57"/>
      <c r="AB57" s="57"/>
      <c r="AC57" s="57">
        <f>Q57*U57</f>
        <v>50080</v>
      </c>
      <c r="AD57" s="64" t="s">
        <v>25</v>
      </c>
      <c r="AE57" s="4"/>
    </row>
    <row r="58" spans="1:33" s="15" customFormat="1" ht="21" customHeight="1">
      <c r="A58" s="51"/>
      <c r="B58" s="52"/>
      <c r="C58" s="52"/>
      <c r="D58" s="219"/>
      <c r="E58" s="137"/>
      <c r="F58" s="137"/>
      <c r="G58" s="137"/>
      <c r="H58" s="137"/>
      <c r="I58" s="137"/>
      <c r="J58" s="137"/>
      <c r="K58" s="137"/>
      <c r="L58" s="88"/>
      <c r="M58" s="56"/>
      <c r="N58" s="56"/>
      <c r="O58" s="56"/>
      <c r="P58" s="56"/>
      <c r="Q58" s="57"/>
      <c r="R58" s="322"/>
      <c r="S58" s="61"/>
      <c r="T58" s="61"/>
      <c r="U58" s="57"/>
      <c r="V58" s="56"/>
      <c r="W58" s="57"/>
      <c r="X58" s="57"/>
      <c r="Y58" s="57"/>
      <c r="Z58" s="57"/>
      <c r="AA58" s="57"/>
      <c r="AB58" s="57"/>
      <c r="AC58" s="57"/>
      <c r="AD58" s="64"/>
      <c r="AE58" s="4"/>
    </row>
    <row r="59" spans="1:33" s="12" customFormat="1" ht="21" customHeight="1">
      <c r="A59" s="51"/>
      <c r="B59" s="42" t="s">
        <v>12</v>
      </c>
      <c r="C59" s="237" t="s">
        <v>5</v>
      </c>
      <c r="D59" s="239">
        <f t="shared" ref="D59:J59" si="9">SUM(D60,D63,D68,D74,D82,D85)</f>
        <v>5442</v>
      </c>
      <c r="E59" s="239">
        <f t="shared" si="9"/>
        <v>5550</v>
      </c>
      <c r="F59" s="239">
        <f t="shared" si="9"/>
        <v>4300.05</v>
      </c>
      <c r="G59" s="239">
        <f t="shared" si="9"/>
        <v>0</v>
      </c>
      <c r="H59" s="239">
        <f t="shared" si="9"/>
        <v>1250.1319600000002</v>
      </c>
      <c r="I59" s="239">
        <v>0</v>
      </c>
      <c r="J59" s="239">
        <f t="shared" si="9"/>
        <v>0</v>
      </c>
      <c r="K59" s="239">
        <f>E59-D59</f>
        <v>108</v>
      </c>
      <c r="L59" s="240">
        <f>IF(D59=0,0,K59/D59)</f>
        <v>1.9845644983461964E-2</v>
      </c>
      <c r="M59" s="241" t="s">
        <v>151</v>
      </c>
      <c r="N59" s="241"/>
      <c r="O59" s="241"/>
      <c r="P59" s="241"/>
      <c r="Q59" s="242"/>
      <c r="R59" s="320"/>
      <c r="S59" s="266"/>
      <c r="T59" s="242"/>
      <c r="U59" s="440"/>
      <c r="V59" s="441"/>
      <c r="W59" s="242"/>
      <c r="X59" s="242"/>
      <c r="Y59" s="242"/>
      <c r="Z59" s="242"/>
      <c r="AA59" s="242"/>
      <c r="AB59" s="242"/>
      <c r="AC59" s="242">
        <f>SUM(AC60,AC63,AC68,AC74,AC82,AC85)</f>
        <v>5549846</v>
      </c>
      <c r="AD59" s="243" t="s">
        <v>25</v>
      </c>
      <c r="AE59" s="1"/>
    </row>
    <row r="60" spans="1:33" s="12" customFormat="1" ht="21" customHeight="1">
      <c r="A60" s="51"/>
      <c r="B60" s="52"/>
      <c r="C60" s="52" t="s">
        <v>104</v>
      </c>
      <c r="D60" s="219">
        <v>0</v>
      </c>
      <c r="E60" s="137">
        <f>AC60/1000</f>
        <v>0</v>
      </c>
      <c r="F60" s="137">
        <v>0</v>
      </c>
      <c r="G60" s="137">
        <v>0</v>
      </c>
      <c r="H60" s="137">
        <v>0</v>
      </c>
      <c r="I60" s="137">
        <v>0</v>
      </c>
      <c r="J60" s="137">
        <v>0</v>
      </c>
      <c r="K60" s="137">
        <f>E60-D60</f>
        <v>0</v>
      </c>
      <c r="L60" s="88">
        <f>IF(D60=0,0,K60/D60)</f>
        <v>0</v>
      </c>
      <c r="M60" s="145" t="s">
        <v>42</v>
      </c>
      <c r="N60" s="38"/>
      <c r="O60" s="38"/>
      <c r="P60" s="38"/>
      <c r="Q60" s="38"/>
      <c r="R60" s="260"/>
      <c r="S60" s="39"/>
      <c r="T60" s="39"/>
      <c r="U60" s="39"/>
      <c r="V60" s="39"/>
      <c r="W60" s="39"/>
      <c r="X60" s="297" t="s">
        <v>147</v>
      </c>
      <c r="Y60" s="297"/>
      <c r="Z60" s="297"/>
      <c r="AA60" s="297"/>
      <c r="AB60" s="244"/>
      <c r="AC60" s="244">
        <f>AC61</f>
        <v>0</v>
      </c>
      <c r="AD60" s="243" t="s">
        <v>25</v>
      </c>
      <c r="AE60" s="21"/>
      <c r="AF60" s="20"/>
      <c r="AG60" s="20"/>
    </row>
    <row r="61" spans="1:33" s="12" customFormat="1" ht="21" customHeight="1">
      <c r="A61" s="51"/>
      <c r="B61" s="52"/>
      <c r="C61" s="52"/>
      <c r="D61" s="219"/>
      <c r="E61" s="137"/>
      <c r="F61" s="137"/>
      <c r="G61" s="137"/>
      <c r="H61" s="137"/>
      <c r="I61" s="137"/>
      <c r="J61" s="137"/>
      <c r="K61" s="137"/>
      <c r="L61" s="88"/>
      <c r="M61" s="262" t="s">
        <v>152</v>
      </c>
      <c r="N61" s="56"/>
      <c r="O61" s="56"/>
      <c r="P61" s="56"/>
      <c r="Q61" s="57">
        <v>20000</v>
      </c>
      <c r="R61" s="322"/>
      <c r="S61" s="61" t="s">
        <v>25</v>
      </c>
      <c r="T61" s="61" t="s">
        <v>26</v>
      </c>
      <c r="U61" s="57">
        <v>1</v>
      </c>
      <c r="V61" s="61" t="s">
        <v>153</v>
      </c>
      <c r="W61" s="57" t="s">
        <v>26</v>
      </c>
      <c r="X61" s="57">
        <v>3</v>
      </c>
      <c r="Y61" s="261" t="s">
        <v>154</v>
      </c>
      <c r="Z61" s="57" t="s">
        <v>27</v>
      </c>
      <c r="AA61" s="261"/>
      <c r="AB61" s="57"/>
      <c r="AC61" s="57">
        <v>0</v>
      </c>
      <c r="AD61" s="64" t="s">
        <v>70</v>
      </c>
      <c r="AE61" s="21"/>
      <c r="AF61" s="20"/>
      <c r="AG61" s="20"/>
    </row>
    <row r="62" spans="1:33" s="12" customFormat="1" ht="21" customHeight="1">
      <c r="A62" s="51"/>
      <c r="B62" s="52"/>
      <c r="C62" s="52"/>
      <c r="D62" s="219"/>
      <c r="E62" s="137"/>
      <c r="F62" s="137"/>
      <c r="G62" s="137"/>
      <c r="H62" s="137"/>
      <c r="I62" s="137"/>
      <c r="J62" s="137"/>
      <c r="K62" s="137"/>
      <c r="L62" s="88"/>
      <c r="AD62" s="334"/>
      <c r="AE62" s="2"/>
    </row>
    <row r="63" spans="1:33" s="12" customFormat="1" ht="21" customHeight="1">
      <c r="A63" s="51"/>
      <c r="B63" s="52"/>
      <c r="C63" s="42" t="s">
        <v>43</v>
      </c>
      <c r="D63" s="221">
        <v>2151</v>
      </c>
      <c r="E63" s="142">
        <f>ROUND(AC63/1000,0)</f>
        <v>2001</v>
      </c>
      <c r="F63" s="142">
        <f>(AC64+AC65)/1000</f>
        <v>1208.0899999999999</v>
      </c>
      <c r="G63" s="142">
        <v>0</v>
      </c>
      <c r="H63" s="142">
        <f>AC66/1000</f>
        <v>793.10599999999999</v>
      </c>
      <c r="I63" s="142">
        <v>0</v>
      </c>
      <c r="J63" s="142">
        <v>0</v>
      </c>
      <c r="K63" s="142">
        <f>E63-D63</f>
        <v>-150</v>
      </c>
      <c r="L63" s="150">
        <f>IF(D63=0,0,K63/D63)</f>
        <v>-6.9735006973500699E-2</v>
      </c>
      <c r="M63" s="123" t="s">
        <v>44</v>
      </c>
      <c r="N63" s="119"/>
      <c r="O63" s="119"/>
      <c r="P63" s="119"/>
      <c r="Q63" s="119"/>
      <c r="R63" s="264"/>
      <c r="S63" s="111"/>
      <c r="T63" s="111"/>
      <c r="U63" s="111"/>
      <c r="V63" s="111"/>
      <c r="W63" s="111"/>
      <c r="X63" s="297" t="s">
        <v>194</v>
      </c>
      <c r="Y63" s="242"/>
      <c r="Z63" s="242"/>
      <c r="AA63" s="242"/>
      <c r="AB63" s="244"/>
      <c r="AC63" s="244">
        <f>SUM(AC64:AC66)</f>
        <v>2001196</v>
      </c>
      <c r="AD63" s="243" t="s">
        <v>25</v>
      </c>
      <c r="AE63" s="1"/>
    </row>
    <row r="64" spans="1:33" s="12" customFormat="1" ht="21" customHeight="1">
      <c r="A64" s="51"/>
      <c r="B64" s="52"/>
      <c r="C64" s="52" t="s">
        <v>158</v>
      </c>
      <c r="D64" s="219"/>
      <c r="E64" s="137"/>
      <c r="F64" s="137"/>
      <c r="G64" s="137"/>
      <c r="H64" s="137"/>
      <c r="I64" s="137"/>
      <c r="J64" s="137"/>
      <c r="K64" s="137"/>
      <c r="L64" s="88"/>
      <c r="M64" s="224" t="s">
        <v>195</v>
      </c>
      <c r="N64" s="56"/>
      <c r="O64" s="56"/>
      <c r="P64" s="56"/>
      <c r="Q64" s="57"/>
      <c r="R64" s="322"/>
      <c r="S64" s="61"/>
      <c r="T64" s="57"/>
      <c r="U64" s="442"/>
      <c r="V64" s="443"/>
      <c r="W64" s="57"/>
      <c r="X64" s="110"/>
      <c r="Y64" s="110"/>
      <c r="Z64" s="110"/>
      <c r="AA64" s="110"/>
      <c r="AB64" s="110"/>
      <c r="AC64" s="110">
        <v>1000000</v>
      </c>
      <c r="AD64" s="152" t="s">
        <v>25</v>
      </c>
      <c r="AE64" s="1"/>
    </row>
    <row r="65" spans="1:31" s="12" customFormat="1" ht="21" customHeight="1">
      <c r="A65" s="51"/>
      <c r="B65" s="52"/>
      <c r="C65" s="52"/>
      <c r="D65" s="219"/>
      <c r="E65" s="137"/>
      <c r="F65" s="137"/>
      <c r="G65" s="137"/>
      <c r="H65" s="137"/>
      <c r="I65" s="137"/>
      <c r="J65" s="137"/>
      <c r="K65" s="137"/>
      <c r="L65" s="88"/>
      <c r="M65" s="314" t="s">
        <v>255</v>
      </c>
      <c r="N65" s="296"/>
      <c r="O65" s="296"/>
      <c r="P65" s="296"/>
      <c r="Q65" s="295"/>
      <c r="R65" s="322"/>
      <c r="S65" s="61"/>
      <c r="T65" s="61"/>
      <c r="U65" s="295"/>
      <c r="V65" s="296"/>
      <c r="W65" s="295"/>
      <c r="X65" s="295"/>
      <c r="Y65" s="295"/>
      <c r="Z65" s="295"/>
      <c r="AA65" s="295"/>
      <c r="AB65" s="295"/>
      <c r="AC65" s="295">
        <v>208090</v>
      </c>
      <c r="AD65" s="64" t="s">
        <v>197</v>
      </c>
      <c r="AE65" s="21"/>
    </row>
    <row r="66" spans="1:31" s="12" customFormat="1" ht="21" customHeight="1">
      <c r="A66" s="51"/>
      <c r="B66" s="52"/>
      <c r="C66" s="52"/>
      <c r="D66" s="219"/>
      <c r="E66" s="137"/>
      <c r="F66" s="137"/>
      <c r="G66" s="137"/>
      <c r="H66" s="137"/>
      <c r="I66" s="137"/>
      <c r="J66" s="137"/>
      <c r="K66" s="137"/>
      <c r="L66" s="88"/>
      <c r="M66" s="314" t="s">
        <v>256</v>
      </c>
      <c r="N66" s="314"/>
      <c r="O66" s="314"/>
      <c r="P66" s="314"/>
      <c r="Q66" s="313"/>
      <c r="R66" s="322"/>
      <c r="S66" s="61"/>
      <c r="T66" s="61"/>
      <c r="U66" s="313"/>
      <c r="V66" s="314"/>
      <c r="W66" s="313"/>
      <c r="X66" s="313"/>
      <c r="Y66" s="313"/>
      <c r="Z66" s="313"/>
      <c r="AA66" s="313"/>
      <c r="AB66" s="313"/>
      <c r="AC66" s="313">
        <v>793106</v>
      </c>
      <c r="AD66" s="64" t="s">
        <v>247</v>
      </c>
      <c r="AE66" s="21"/>
    </row>
    <row r="67" spans="1:31" s="12" customFormat="1" ht="21" customHeight="1">
      <c r="A67" s="51"/>
      <c r="B67" s="52"/>
      <c r="C67" s="66"/>
      <c r="D67" s="220"/>
      <c r="E67" s="140"/>
      <c r="F67" s="140"/>
      <c r="G67" s="140"/>
      <c r="H67" s="140"/>
      <c r="I67" s="140"/>
      <c r="J67" s="140"/>
      <c r="K67" s="140"/>
      <c r="L67" s="106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4"/>
      <c r="AD67" s="165"/>
      <c r="AE67" s="1"/>
    </row>
    <row r="68" spans="1:31" s="12" customFormat="1" ht="21" customHeight="1">
      <c r="A68" s="51"/>
      <c r="B68" s="52"/>
      <c r="C68" s="52" t="s">
        <v>41</v>
      </c>
      <c r="D68" s="219">
        <v>2976</v>
      </c>
      <c r="E68" s="137">
        <f>ROUND(AC68/1000,0)</f>
        <v>3213</v>
      </c>
      <c r="F68" s="137">
        <f>(AC70+AC69)/1000</f>
        <v>2756</v>
      </c>
      <c r="G68" s="137">
        <v>0</v>
      </c>
      <c r="H68" s="137">
        <f>(AC71+AC72)/1000</f>
        <v>456.69</v>
      </c>
      <c r="I68" s="137">
        <v>0</v>
      </c>
      <c r="J68" s="137">
        <v>0</v>
      </c>
      <c r="K68" s="137">
        <f>E68-D68</f>
        <v>237</v>
      </c>
      <c r="L68" s="88">
        <f>IF(D68=0,0,K68/D68)</f>
        <v>7.9637096774193547E-2</v>
      </c>
      <c r="M68" s="145" t="s">
        <v>45</v>
      </c>
      <c r="N68" s="38"/>
      <c r="O68" s="38"/>
      <c r="P68" s="38"/>
      <c r="Q68" s="38"/>
      <c r="R68" s="260"/>
      <c r="S68" s="39"/>
      <c r="T68" s="39"/>
      <c r="U68" s="39"/>
      <c r="V68" s="39"/>
      <c r="W68" s="39"/>
      <c r="X68" s="242" t="s">
        <v>147</v>
      </c>
      <c r="Y68" s="242"/>
      <c r="Z68" s="242"/>
      <c r="AA68" s="242"/>
      <c r="AB68" s="244"/>
      <c r="AC68" s="244">
        <f>SUM(AC69:AC72)</f>
        <v>3212690</v>
      </c>
      <c r="AD68" s="243" t="s">
        <v>25</v>
      </c>
      <c r="AE68" s="1"/>
    </row>
    <row r="69" spans="1:31" s="12" customFormat="1" ht="21" customHeight="1">
      <c r="A69" s="51"/>
      <c r="B69" s="52"/>
      <c r="C69" s="52"/>
      <c r="D69" s="219"/>
      <c r="E69" s="137"/>
      <c r="F69" s="137"/>
      <c r="G69" s="137"/>
      <c r="H69" s="137"/>
      <c r="I69" s="137"/>
      <c r="J69" s="137"/>
      <c r="K69" s="137"/>
      <c r="L69" s="88"/>
      <c r="M69" s="224" t="s">
        <v>374</v>
      </c>
      <c r="N69" s="56"/>
      <c r="O69" s="56"/>
      <c r="P69" s="56"/>
      <c r="Q69" s="160">
        <v>45000</v>
      </c>
      <c r="R69" s="160"/>
      <c r="S69" s="161" t="s">
        <v>25</v>
      </c>
      <c r="T69" s="161" t="s">
        <v>26</v>
      </c>
      <c r="U69" s="160">
        <v>10</v>
      </c>
      <c r="V69" s="159" t="s">
        <v>29</v>
      </c>
      <c r="W69" s="160" t="s">
        <v>27</v>
      </c>
      <c r="X69" s="57"/>
      <c r="Y69" s="57"/>
      <c r="Z69" s="157"/>
      <c r="AA69" s="57"/>
      <c r="AB69" s="57"/>
      <c r="AC69" s="57">
        <f>ROUNDUP(Q69*U69,1)</f>
        <v>450000</v>
      </c>
      <c r="AD69" s="64" t="s">
        <v>25</v>
      </c>
      <c r="AE69" s="1"/>
    </row>
    <row r="70" spans="1:31" s="12" customFormat="1" ht="21" customHeight="1">
      <c r="A70" s="51"/>
      <c r="B70" s="52"/>
      <c r="C70" s="52"/>
      <c r="D70" s="219"/>
      <c r="E70" s="137"/>
      <c r="F70" s="137"/>
      <c r="G70" s="137"/>
      <c r="H70" s="137"/>
      <c r="I70" s="137"/>
      <c r="J70" s="137"/>
      <c r="K70" s="137"/>
      <c r="L70" s="88"/>
      <c r="M70" s="84" t="s">
        <v>375</v>
      </c>
      <c r="N70" s="200"/>
      <c r="O70" s="200"/>
      <c r="P70" s="200"/>
      <c r="Q70" s="261">
        <v>230600</v>
      </c>
      <c r="R70" s="322"/>
      <c r="S70" s="61" t="s">
        <v>58</v>
      </c>
      <c r="T70" s="61" t="s">
        <v>26</v>
      </c>
      <c r="U70" s="261">
        <v>10</v>
      </c>
      <c r="V70" s="262" t="s">
        <v>0</v>
      </c>
      <c r="W70" s="261" t="s">
        <v>27</v>
      </c>
      <c r="X70" s="261"/>
      <c r="Y70" s="261"/>
      <c r="Z70" s="261"/>
      <c r="AA70" s="261"/>
      <c r="AB70" s="261"/>
      <c r="AC70" s="261">
        <f>Q70*U70</f>
        <v>2306000</v>
      </c>
      <c r="AD70" s="64" t="s">
        <v>121</v>
      </c>
      <c r="AE70" s="1"/>
    </row>
    <row r="71" spans="1:31" s="12" customFormat="1" ht="21" customHeight="1">
      <c r="A71" s="51"/>
      <c r="B71" s="52"/>
      <c r="C71" s="52"/>
      <c r="D71" s="219"/>
      <c r="E71" s="137"/>
      <c r="F71" s="137"/>
      <c r="G71" s="137"/>
      <c r="H71" s="137"/>
      <c r="I71" s="137"/>
      <c r="J71" s="137"/>
      <c r="K71" s="137"/>
      <c r="L71" s="88"/>
      <c r="M71" s="358" t="s">
        <v>376</v>
      </c>
      <c r="N71" s="358"/>
      <c r="O71" s="358"/>
      <c r="P71" s="358"/>
      <c r="Q71" s="160">
        <v>50000</v>
      </c>
      <c r="R71" s="160"/>
      <c r="S71" s="161" t="s">
        <v>25</v>
      </c>
      <c r="T71" s="161" t="s">
        <v>26</v>
      </c>
      <c r="U71" s="160">
        <v>2</v>
      </c>
      <c r="V71" s="159" t="s">
        <v>29</v>
      </c>
      <c r="W71" s="160" t="s">
        <v>27</v>
      </c>
      <c r="X71" s="357"/>
      <c r="Y71" s="357"/>
      <c r="Z71" s="357"/>
      <c r="AA71" s="357"/>
      <c r="AB71" s="357"/>
      <c r="AC71" s="357">
        <f>ROUNDUP(Q71*U71,1)</f>
        <v>100000</v>
      </c>
      <c r="AD71" s="64" t="s">
        <v>25</v>
      </c>
      <c r="AE71" s="1"/>
    </row>
    <row r="72" spans="1:31" s="12" customFormat="1" ht="21" customHeight="1">
      <c r="A72" s="51"/>
      <c r="B72" s="52"/>
      <c r="C72" s="52"/>
      <c r="D72" s="219"/>
      <c r="E72" s="137"/>
      <c r="F72" s="137"/>
      <c r="G72" s="137"/>
      <c r="H72" s="137"/>
      <c r="I72" s="137"/>
      <c r="J72" s="137"/>
      <c r="K72" s="137"/>
      <c r="L72" s="88"/>
      <c r="M72" s="358" t="s">
        <v>377</v>
      </c>
      <c r="N72" s="358"/>
      <c r="O72" s="358"/>
      <c r="P72" s="358"/>
      <c r="Q72" s="357">
        <v>178345</v>
      </c>
      <c r="R72" s="357"/>
      <c r="S72" s="61" t="s">
        <v>58</v>
      </c>
      <c r="T72" s="61" t="s">
        <v>26</v>
      </c>
      <c r="U72" s="357">
        <v>2</v>
      </c>
      <c r="V72" s="358" t="s">
        <v>0</v>
      </c>
      <c r="W72" s="357" t="s">
        <v>27</v>
      </c>
      <c r="X72" s="357"/>
      <c r="Y72" s="357"/>
      <c r="Z72" s="357"/>
      <c r="AA72" s="357"/>
      <c r="AB72" s="357"/>
      <c r="AC72" s="357">
        <f>Q72*U72</f>
        <v>356690</v>
      </c>
      <c r="AD72" s="64" t="s">
        <v>58</v>
      </c>
      <c r="AE72" s="1"/>
    </row>
    <row r="73" spans="1:31" s="15" customFormat="1" ht="21" customHeight="1">
      <c r="A73" s="51"/>
      <c r="B73" s="52"/>
      <c r="C73" s="52"/>
      <c r="D73" s="219"/>
      <c r="E73" s="137"/>
      <c r="F73" s="137"/>
      <c r="G73" s="137"/>
      <c r="H73" s="137"/>
      <c r="I73" s="137"/>
      <c r="J73" s="137"/>
      <c r="K73" s="137"/>
      <c r="L73" s="88"/>
      <c r="M73" s="149"/>
      <c r="N73" s="56"/>
      <c r="O73" s="56"/>
      <c r="P73" s="56"/>
      <c r="Q73" s="57"/>
      <c r="R73" s="322"/>
      <c r="S73" s="61"/>
      <c r="T73" s="61"/>
      <c r="U73" s="57"/>
      <c r="V73" s="56"/>
      <c r="W73" s="57"/>
      <c r="X73" s="57"/>
      <c r="Y73" s="57"/>
      <c r="Z73" s="57"/>
      <c r="AA73" s="182"/>
      <c r="AB73" s="57"/>
      <c r="AC73" s="57"/>
      <c r="AD73" s="64"/>
      <c r="AE73" s="4"/>
    </row>
    <row r="74" spans="1:31" ht="21" customHeight="1">
      <c r="A74" s="51"/>
      <c r="B74" s="52"/>
      <c r="C74" s="42" t="s">
        <v>15</v>
      </c>
      <c r="D74" s="221">
        <v>315</v>
      </c>
      <c r="E74" s="142">
        <f>ROUND(AC74/1000,0)</f>
        <v>336</v>
      </c>
      <c r="F74" s="142">
        <f>(AC77+AC78+AC79+AC75+AC76+AC80)/1000</f>
        <v>335.96</v>
      </c>
      <c r="G74" s="142">
        <v>0</v>
      </c>
      <c r="H74" s="142">
        <f>(F74)/1000</f>
        <v>0.33595999999999998</v>
      </c>
      <c r="I74" s="142">
        <v>0</v>
      </c>
      <c r="J74" s="142">
        <v>0</v>
      </c>
      <c r="K74" s="267">
        <f>E74-D74</f>
        <v>21</v>
      </c>
      <c r="L74" s="150">
        <f>IF(D74=0,0,K74/D74)</f>
        <v>6.6666666666666666E-2</v>
      </c>
      <c r="M74" s="123" t="s">
        <v>46</v>
      </c>
      <c r="N74" s="119"/>
      <c r="O74" s="119"/>
      <c r="P74" s="119"/>
      <c r="Q74" s="119"/>
      <c r="R74" s="264"/>
      <c r="S74" s="111"/>
      <c r="T74" s="111"/>
      <c r="U74" s="111"/>
      <c r="V74" s="111"/>
      <c r="W74" s="111"/>
      <c r="X74" s="242" t="s">
        <v>147</v>
      </c>
      <c r="Y74" s="242"/>
      <c r="Z74" s="242"/>
      <c r="AA74" s="242"/>
      <c r="AB74" s="244"/>
      <c r="AC74" s="244">
        <f>SUM(AC75:AC80)</f>
        <v>335960</v>
      </c>
      <c r="AD74" s="243" t="s">
        <v>25</v>
      </c>
    </row>
    <row r="75" spans="1:31" s="12" customFormat="1" ht="21" customHeight="1">
      <c r="A75" s="51"/>
      <c r="B75" s="52"/>
      <c r="C75" s="52"/>
      <c r="D75" s="219"/>
      <c r="E75" s="137"/>
      <c r="F75" s="137"/>
      <c r="G75" s="137"/>
      <c r="H75" s="137"/>
      <c r="I75" s="137"/>
      <c r="J75" s="137"/>
      <c r="K75" s="137"/>
      <c r="L75" s="88"/>
      <c r="M75" s="296" t="s">
        <v>198</v>
      </c>
      <c r="N75" s="166"/>
      <c r="O75" s="166"/>
      <c r="P75" s="166"/>
      <c r="Q75" s="160">
        <v>43200</v>
      </c>
      <c r="R75" s="160"/>
      <c r="S75" s="161" t="s">
        <v>25</v>
      </c>
      <c r="T75" s="161" t="s">
        <v>26</v>
      </c>
      <c r="U75" s="160">
        <v>1</v>
      </c>
      <c r="V75" s="159" t="s">
        <v>193</v>
      </c>
      <c r="W75" s="160" t="s">
        <v>27</v>
      </c>
      <c r="X75" s="57"/>
      <c r="Y75" s="57"/>
      <c r="Z75" s="56"/>
      <c r="AA75" s="56"/>
      <c r="AB75" s="57"/>
      <c r="AC75" s="57">
        <f>Q75*U75</f>
        <v>43200</v>
      </c>
      <c r="AD75" s="64" t="s">
        <v>197</v>
      </c>
      <c r="AE75" s="1"/>
    </row>
    <row r="76" spans="1:31" s="12" customFormat="1" ht="21" customHeight="1">
      <c r="A76" s="51"/>
      <c r="B76" s="52"/>
      <c r="C76" s="52"/>
      <c r="D76" s="219"/>
      <c r="E76" s="137"/>
      <c r="F76" s="137"/>
      <c r="G76" s="137"/>
      <c r="H76" s="137"/>
      <c r="I76" s="137"/>
      <c r="J76" s="137"/>
      <c r="K76" s="137"/>
      <c r="L76" s="88"/>
      <c r="M76" s="306" t="s">
        <v>199</v>
      </c>
      <c r="N76" s="34"/>
      <c r="O76" s="34"/>
      <c r="P76" s="34"/>
      <c r="Q76" s="160">
        <v>73400</v>
      </c>
      <c r="R76" s="160"/>
      <c r="S76" s="161" t="s">
        <v>25</v>
      </c>
      <c r="T76" s="161" t="s">
        <v>26</v>
      </c>
      <c r="U76" s="160">
        <v>1</v>
      </c>
      <c r="V76" s="159" t="s">
        <v>193</v>
      </c>
      <c r="W76" s="160" t="s">
        <v>27</v>
      </c>
      <c r="X76" s="295"/>
      <c r="Y76" s="295"/>
      <c r="Z76" s="296"/>
      <c r="AA76" s="296"/>
      <c r="AB76" s="295"/>
      <c r="AC76" s="295">
        <f>Q76*U76</f>
        <v>73400</v>
      </c>
      <c r="AD76" s="64" t="s">
        <v>197</v>
      </c>
      <c r="AE76" s="1"/>
    </row>
    <row r="77" spans="1:31" s="12" customFormat="1" ht="21" customHeight="1">
      <c r="A77" s="51"/>
      <c r="B77" s="52"/>
      <c r="C77" s="52"/>
      <c r="D77" s="219"/>
      <c r="E77" s="137"/>
      <c r="F77" s="137"/>
      <c r="G77" s="137"/>
      <c r="H77" s="137"/>
      <c r="I77" s="137"/>
      <c r="J77" s="137"/>
      <c r="K77" s="137"/>
      <c r="L77" s="88"/>
      <c r="M77" s="296" t="s">
        <v>200</v>
      </c>
      <c r="N77" s="34"/>
      <c r="O77" s="34"/>
      <c r="P77" s="34"/>
      <c r="Q77" s="160">
        <v>110000</v>
      </c>
      <c r="R77" s="160"/>
      <c r="S77" s="161" t="s">
        <v>25</v>
      </c>
      <c r="T77" s="161" t="s">
        <v>26</v>
      </c>
      <c r="U77" s="160">
        <v>1</v>
      </c>
      <c r="V77" s="159" t="s">
        <v>193</v>
      </c>
      <c r="W77" s="160" t="s">
        <v>27</v>
      </c>
      <c r="X77" s="57"/>
      <c r="Y77" s="57"/>
      <c r="Z77" s="56"/>
      <c r="AA77" s="56"/>
      <c r="AB77" s="57"/>
      <c r="AC77" s="295">
        <f t="shared" ref="AC77:AC79" si="10">Q77*U77</f>
        <v>110000</v>
      </c>
      <c r="AD77" s="64" t="s">
        <v>25</v>
      </c>
      <c r="AE77" s="1"/>
    </row>
    <row r="78" spans="1:31" s="12" customFormat="1" ht="21" customHeight="1">
      <c r="A78" s="51"/>
      <c r="B78" s="52"/>
      <c r="C78" s="52"/>
      <c r="D78" s="219"/>
      <c r="E78" s="137"/>
      <c r="F78" s="137"/>
      <c r="G78" s="137"/>
      <c r="H78" s="137"/>
      <c r="I78" s="137"/>
      <c r="J78" s="137"/>
      <c r="K78" s="137"/>
      <c r="L78" s="88"/>
      <c r="M78" s="296" t="s">
        <v>201</v>
      </c>
      <c r="N78" s="166"/>
      <c r="O78" s="166"/>
      <c r="P78" s="166"/>
      <c r="Q78" s="160">
        <v>55000</v>
      </c>
      <c r="R78" s="160"/>
      <c r="S78" s="161" t="s">
        <v>25</v>
      </c>
      <c r="T78" s="161" t="s">
        <v>26</v>
      </c>
      <c r="U78" s="160">
        <v>1</v>
      </c>
      <c r="V78" s="159" t="s">
        <v>193</v>
      </c>
      <c r="W78" s="160" t="s">
        <v>27</v>
      </c>
      <c r="X78" s="57"/>
      <c r="Y78" s="57"/>
      <c r="Z78" s="56"/>
      <c r="AA78" s="56"/>
      <c r="AB78" s="57"/>
      <c r="AC78" s="295">
        <f t="shared" si="10"/>
        <v>55000</v>
      </c>
      <c r="AD78" s="64" t="s">
        <v>25</v>
      </c>
      <c r="AE78" s="1"/>
    </row>
    <row r="79" spans="1:31" s="12" customFormat="1" ht="21" customHeight="1">
      <c r="A79" s="51"/>
      <c r="B79" s="52"/>
      <c r="C79" s="52"/>
      <c r="D79" s="219"/>
      <c r="E79" s="137"/>
      <c r="F79" s="137"/>
      <c r="G79" s="137"/>
      <c r="H79" s="137"/>
      <c r="I79" s="137"/>
      <c r="J79" s="137"/>
      <c r="K79" s="137"/>
      <c r="L79" s="88"/>
      <c r="M79" s="296" t="s">
        <v>202</v>
      </c>
      <c r="N79" s="34"/>
      <c r="O79" s="34"/>
      <c r="P79" s="34"/>
      <c r="Q79" s="160">
        <v>28600</v>
      </c>
      <c r="R79" s="160"/>
      <c r="S79" s="161" t="s">
        <v>25</v>
      </c>
      <c r="T79" s="161" t="s">
        <v>26</v>
      </c>
      <c r="U79" s="160">
        <v>1</v>
      </c>
      <c r="V79" s="159" t="s">
        <v>193</v>
      </c>
      <c r="W79" s="160" t="s">
        <v>27</v>
      </c>
      <c r="X79" s="57"/>
      <c r="Y79" s="57"/>
      <c r="Z79" s="56"/>
      <c r="AA79" s="56"/>
      <c r="AB79" s="57"/>
      <c r="AC79" s="295">
        <f t="shared" si="10"/>
        <v>28600</v>
      </c>
      <c r="AD79" s="64" t="s">
        <v>25</v>
      </c>
      <c r="AE79" s="1"/>
    </row>
    <row r="80" spans="1:31" s="12" customFormat="1" ht="21" customHeight="1">
      <c r="A80" s="51"/>
      <c r="B80" s="52"/>
      <c r="C80" s="52"/>
      <c r="D80" s="219"/>
      <c r="E80" s="137"/>
      <c r="F80" s="137"/>
      <c r="G80" s="137"/>
      <c r="H80" s="137"/>
      <c r="I80" s="137"/>
      <c r="J80" s="137"/>
      <c r="K80" s="137"/>
      <c r="L80" s="88"/>
      <c r="M80" s="356" t="s">
        <v>353</v>
      </c>
      <c r="N80" s="34"/>
      <c r="O80" s="34"/>
      <c r="P80" s="34"/>
      <c r="Q80" s="160">
        <v>25760</v>
      </c>
      <c r="R80" s="160"/>
      <c r="S80" s="161" t="s">
        <v>25</v>
      </c>
      <c r="T80" s="161" t="s">
        <v>26</v>
      </c>
      <c r="U80" s="160">
        <v>1</v>
      </c>
      <c r="V80" s="159" t="s">
        <v>80</v>
      </c>
      <c r="W80" s="160" t="s">
        <v>27</v>
      </c>
      <c r="X80" s="355"/>
      <c r="Y80" s="355"/>
      <c r="Z80" s="356"/>
      <c r="AA80" s="356"/>
      <c r="AB80" s="355"/>
      <c r="AC80" s="355">
        <f t="shared" ref="AC80" si="11">Q80*U80</f>
        <v>25760</v>
      </c>
      <c r="AD80" s="64" t="s">
        <v>70</v>
      </c>
      <c r="AE80" s="1"/>
    </row>
    <row r="81" spans="1:31" s="12" customFormat="1" ht="21" customHeight="1">
      <c r="A81" s="51"/>
      <c r="B81" s="52"/>
      <c r="C81" s="52"/>
      <c r="D81" s="219"/>
      <c r="E81" s="137"/>
      <c r="F81" s="137"/>
      <c r="G81" s="137"/>
      <c r="H81" s="137"/>
      <c r="I81" s="137"/>
      <c r="J81" s="137"/>
      <c r="K81" s="137"/>
      <c r="L81" s="88"/>
      <c r="M81" s="158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93"/>
      <c r="Y81" s="93"/>
      <c r="Z81" s="93"/>
      <c r="AA81" s="93"/>
      <c r="AB81" s="93"/>
      <c r="AC81" s="57"/>
      <c r="AD81" s="64"/>
      <c r="AE81" s="1"/>
    </row>
    <row r="82" spans="1:31" s="12" customFormat="1" ht="21" customHeight="1">
      <c r="A82" s="51"/>
      <c r="B82" s="52"/>
      <c r="C82" s="42" t="s">
        <v>47</v>
      </c>
      <c r="D82" s="221">
        <v>0</v>
      </c>
      <c r="E82" s="142">
        <f>ROUND(AC82/1000,0)</f>
        <v>0</v>
      </c>
      <c r="F82" s="142">
        <v>0</v>
      </c>
      <c r="G82" s="142">
        <v>0</v>
      </c>
      <c r="H82" s="142">
        <v>0</v>
      </c>
      <c r="I82" s="142">
        <v>0</v>
      </c>
      <c r="J82" s="142">
        <v>0</v>
      </c>
      <c r="K82" s="142">
        <f>E82-D82</f>
        <v>0</v>
      </c>
      <c r="L82" s="150">
        <f>IF(D82=0,0,K82/D82)</f>
        <v>0</v>
      </c>
      <c r="M82" s="123" t="s">
        <v>48</v>
      </c>
      <c r="N82" s="119"/>
      <c r="O82" s="119"/>
      <c r="P82" s="119"/>
      <c r="Q82" s="119"/>
      <c r="R82" s="264"/>
      <c r="S82" s="111"/>
      <c r="T82" s="111"/>
      <c r="U82" s="111"/>
      <c r="V82" s="111"/>
      <c r="W82" s="111"/>
      <c r="X82" s="242" t="s">
        <v>147</v>
      </c>
      <c r="Y82" s="242"/>
      <c r="Z82" s="242"/>
      <c r="AA82" s="242"/>
      <c r="AB82" s="244"/>
      <c r="AC82" s="244">
        <f>SUM(AC83:AC83)</f>
        <v>0</v>
      </c>
      <c r="AD82" s="243" t="s">
        <v>25</v>
      </c>
      <c r="AE82" s="1"/>
    </row>
    <row r="83" spans="1:31" s="12" customFormat="1" ht="21" customHeight="1">
      <c r="A83" s="51"/>
      <c r="B83" s="52"/>
      <c r="C83" s="52"/>
      <c r="D83" s="138"/>
      <c r="E83" s="137"/>
      <c r="F83" s="137"/>
      <c r="G83" s="137"/>
      <c r="H83" s="137"/>
      <c r="I83" s="137"/>
      <c r="J83" s="137"/>
      <c r="K83" s="137"/>
      <c r="L83" s="88"/>
      <c r="M83" s="296" t="s">
        <v>203</v>
      </c>
      <c r="N83" s="56"/>
      <c r="O83" s="56"/>
      <c r="P83" s="56"/>
      <c r="Q83" s="160">
        <v>0</v>
      </c>
      <c r="R83" s="160"/>
      <c r="S83" s="161" t="s">
        <v>25</v>
      </c>
      <c r="T83" s="161" t="s">
        <v>26</v>
      </c>
      <c r="U83" s="160">
        <v>12</v>
      </c>
      <c r="V83" s="159" t="s">
        <v>196</v>
      </c>
      <c r="W83" s="160" t="s">
        <v>27</v>
      </c>
      <c r="X83" s="57"/>
      <c r="Y83" s="57"/>
      <c r="Z83" s="57"/>
      <c r="AA83" s="57"/>
      <c r="AB83" s="57"/>
      <c r="AC83" s="57">
        <f>Q83*U83</f>
        <v>0</v>
      </c>
      <c r="AD83" s="64" t="s">
        <v>25</v>
      </c>
      <c r="AE83" s="1"/>
    </row>
    <row r="84" spans="1:31" s="12" customFormat="1" ht="21" customHeight="1">
      <c r="A84" s="51"/>
      <c r="B84" s="52"/>
      <c r="C84" s="66"/>
      <c r="D84" s="167"/>
      <c r="E84" s="140"/>
      <c r="F84" s="140"/>
      <c r="G84" s="140"/>
      <c r="H84" s="140"/>
      <c r="I84" s="140"/>
      <c r="J84" s="140"/>
      <c r="K84" s="140"/>
      <c r="L84" s="106"/>
      <c r="M84" s="99"/>
      <c r="N84" s="99"/>
      <c r="O84" s="99"/>
      <c r="P84" s="99"/>
      <c r="Q84" s="98"/>
      <c r="R84" s="319"/>
      <c r="S84" s="107"/>
      <c r="T84" s="98"/>
      <c r="U84" s="438"/>
      <c r="V84" s="439"/>
      <c r="W84" s="98"/>
      <c r="X84" s="98"/>
      <c r="Y84" s="98"/>
      <c r="Z84" s="98"/>
      <c r="AA84" s="168"/>
      <c r="AB84" s="98"/>
      <c r="AC84" s="98"/>
      <c r="AD84" s="91"/>
      <c r="AE84" s="1"/>
    </row>
    <row r="85" spans="1:31" s="12" customFormat="1" ht="21" customHeight="1">
      <c r="A85" s="51"/>
      <c r="B85" s="52"/>
      <c r="C85" s="42" t="s">
        <v>106</v>
      </c>
      <c r="D85" s="169">
        <v>0</v>
      </c>
      <c r="E85" s="142">
        <f>ROUND(AC85/1000,0)</f>
        <v>0</v>
      </c>
      <c r="F85" s="142">
        <v>0</v>
      </c>
      <c r="G85" s="142">
        <v>0</v>
      </c>
      <c r="H85" s="142">
        <v>0</v>
      </c>
      <c r="I85" s="142">
        <v>0</v>
      </c>
      <c r="J85" s="142">
        <v>0</v>
      </c>
      <c r="K85" s="142">
        <f>E85-D85</f>
        <v>0</v>
      </c>
      <c r="L85" s="150">
        <f>IF(D85=0,0,K85/D85)</f>
        <v>0</v>
      </c>
      <c r="M85" s="145" t="s">
        <v>107</v>
      </c>
      <c r="N85" s="119"/>
      <c r="O85" s="119"/>
      <c r="P85" s="119"/>
      <c r="Q85" s="119"/>
      <c r="R85" s="264"/>
      <c r="S85" s="111"/>
      <c r="T85" s="111"/>
      <c r="U85" s="111"/>
      <c r="V85" s="111"/>
      <c r="W85" s="111"/>
      <c r="X85" s="242" t="s">
        <v>147</v>
      </c>
      <c r="Y85" s="242"/>
      <c r="Z85" s="242"/>
      <c r="AA85" s="242"/>
      <c r="AB85" s="244"/>
      <c r="AC85" s="244">
        <f>SUM(AC86)</f>
        <v>0</v>
      </c>
      <c r="AD85" s="243" t="s">
        <v>25</v>
      </c>
      <c r="AE85" s="1"/>
    </row>
    <row r="86" spans="1:31" s="12" customFormat="1" ht="20.25" customHeight="1">
      <c r="A86" s="51"/>
      <c r="B86" s="52"/>
      <c r="C86" s="52"/>
      <c r="D86" s="170"/>
      <c r="E86" s="137"/>
      <c r="F86" s="137"/>
      <c r="G86" s="137"/>
      <c r="H86" s="137"/>
      <c r="I86" s="137"/>
      <c r="J86" s="137"/>
      <c r="K86" s="137"/>
      <c r="L86" s="88"/>
      <c r="M86" s="296" t="s">
        <v>204</v>
      </c>
      <c r="N86" s="158"/>
      <c r="O86" s="158"/>
      <c r="P86" s="158"/>
      <c r="Q86" s="146"/>
      <c r="R86" s="146"/>
      <c r="S86" s="157"/>
      <c r="T86" s="157"/>
      <c r="U86" s="157"/>
      <c r="V86" s="157"/>
      <c r="W86" s="157"/>
      <c r="X86" s="157"/>
      <c r="Y86" s="157"/>
      <c r="Z86" s="157"/>
      <c r="AA86" s="157"/>
      <c r="AB86" s="85"/>
      <c r="AC86" s="85">
        <v>0</v>
      </c>
      <c r="AD86" s="64" t="s">
        <v>197</v>
      </c>
      <c r="AE86" s="2"/>
    </row>
    <row r="87" spans="1:31" s="12" customFormat="1" ht="20.25" customHeight="1">
      <c r="A87" s="51"/>
      <c r="B87" s="52"/>
      <c r="C87" s="53"/>
      <c r="D87" s="170"/>
      <c r="E87" s="137"/>
      <c r="F87" s="137"/>
      <c r="G87" s="137"/>
      <c r="H87" s="137"/>
      <c r="I87" s="137"/>
      <c r="J87" s="137"/>
      <c r="K87" s="137"/>
      <c r="L87" s="88"/>
      <c r="M87" s="89"/>
      <c r="N87" s="310"/>
      <c r="O87" s="310"/>
      <c r="P87" s="310"/>
      <c r="Q87" s="108"/>
      <c r="R87" s="108"/>
      <c r="S87" s="309"/>
      <c r="T87" s="309"/>
      <c r="U87" s="309"/>
      <c r="V87" s="309"/>
      <c r="W87" s="309"/>
      <c r="X87" s="309"/>
      <c r="Y87" s="309"/>
      <c r="Z87" s="309"/>
      <c r="AA87" s="309"/>
      <c r="AB87" s="90"/>
      <c r="AC87" s="90"/>
      <c r="AD87" s="91"/>
      <c r="AE87" s="2"/>
    </row>
    <row r="88" spans="1:31" s="12" customFormat="1" ht="21" customHeight="1">
      <c r="A88" s="141" t="s">
        <v>49</v>
      </c>
      <c r="B88" s="437" t="s">
        <v>21</v>
      </c>
      <c r="C88" s="437"/>
      <c r="D88" s="270">
        <f>D89</f>
        <v>3310</v>
      </c>
      <c r="E88" s="270">
        <f>E89</f>
        <v>3508</v>
      </c>
      <c r="F88" s="270">
        <f>F89</f>
        <v>198</v>
      </c>
      <c r="G88" s="270">
        <f>G89</f>
        <v>3000</v>
      </c>
      <c r="H88" s="270">
        <f>H89</f>
        <v>310</v>
      </c>
      <c r="I88" s="270">
        <v>0</v>
      </c>
      <c r="J88" s="270">
        <f t="shared" ref="J88" si="12">J89</f>
        <v>0</v>
      </c>
      <c r="K88" s="270">
        <f>E88-D88</f>
        <v>198</v>
      </c>
      <c r="L88" s="234">
        <f>IF(D88=0,0,K88/D88)</f>
        <v>5.9818731117824771E-2</v>
      </c>
      <c r="M88" s="260" t="s">
        <v>155</v>
      </c>
      <c r="N88" s="38"/>
      <c r="O88" s="38"/>
      <c r="P88" s="38"/>
      <c r="Q88" s="39"/>
      <c r="R88" s="25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>
        <f>AC89</f>
        <v>3508000</v>
      </c>
      <c r="AD88" s="40" t="s">
        <v>25</v>
      </c>
      <c r="AE88" s="2"/>
    </row>
    <row r="89" spans="1:31" s="12" customFormat="1" ht="21" customHeight="1">
      <c r="A89" s="269" t="s">
        <v>162</v>
      </c>
      <c r="B89" s="52" t="s">
        <v>18</v>
      </c>
      <c r="C89" s="52" t="s">
        <v>156</v>
      </c>
      <c r="D89" s="219">
        <f>D90+D94+D98</f>
        <v>3310</v>
      </c>
      <c r="E89" s="137">
        <f>SUM(E90,E94,E98)</f>
        <v>3508</v>
      </c>
      <c r="F89" s="137">
        <f>F90+F94+F98</f>
        <v>198</v>
      </c>
      <c r="G89" s="137">
        <f>SUM(G90,G94,G98)</f>
        <v>3000</v>
      </c>
      <c r="H89" s="137">
        <f>H98</f>
        <v>310</v>
      </c>
      <c r="I89" s="137">
        <v>0</v>
      </c>
      <c r="J89" s="137">
        <f t="shared" ref="J89" si="13">SUM(J90,J94,J98)</f>
        <v>0</v>
      </c>
      <c r="K89" s="137">
        <f>E89-D89</f>
        <v>198</v>
      </c>
      <c r="L89" s="88">
        <f>IF(D89=0,0,K89/D89)</f>
        <v>5.9818731117824771E-2</v>
      </c>
      <c r="M89" s="264" t="s">
        <v>157</v>
      </c>
      <c r="N89" s="119"/>
      <c r="O89" s="119"/>
      <c r="P89" s="119"/>
      <c r="Q89" s="119"/>
      <c r="R89" s="264"/>
      <c r="S89" s="111"/>
      <c r="T89" s="111"/>
      <c r="U89" s="111"/>
      <c r="V89" s="111"/>
      <c r="W89" s="111"/>
      <c r="X89" s="111"/>
      <c r="Y89" s="111"/>
      <c r="Z89" s="111"/>
      <c r="AA89" s="111"/>
      <c r="AB89" s="120"/>
      <c r="AC89" s="120">
        <f>SUM(AC90,AC94,AC98)</f>
        <v>3508000</v>
      </c>
      <c r="AD89" s="121" t="s">
        <v>25</v>
      </c>
      <c r="AE89" s="1"/>
    </row>
    <row r="90" spans="1:31" s="12" customFormat="1" ht="21" customHeight="1">
      <c r="A90" s="51"/>
      <c r="B90" s="52"/>
      <c r="C90" s="42" t="s">
        <v>157</v>
      </c>
      <c r="D90" s="267">
        <v>0</v>
      </c>
      <c r="E90" s="267">
        <v>0</v>
      </c>
      <c r="F90" s="267">
        <f>ROUND(AC91/1000,0)</f>
        <v>0</v>
      </c>
      <c r="G90" s="267">
        <v>0</v>
      </c>
      <c r="H90" s="267">
        <v>0</v>
      </c>
      <c r="I90" s="267">
        <v>0</v>
      </c>
      <c r="J90" s="267">
        <v>0</v>
      </c>
      <c r="K90" s="267">
        <f>E90-D90</f>
        <v>0</v>
      </c>
      <c r="L90" s="268">
        <f>IF(D90=0,0,K90/D90)</f>
        <v>0</v>
      </c>
      <c r="M90" s="123" t="s">
        <v>50</v>
      </c>
      <c r="N90" s="264"/>
      <c r="O90" s="264"/>
      <c r="P90" s="264"/>
      <c r="Q90" s="264"/>
      <c r="R90" s="264"/>
      <c r="S90" s="263"/>
      <c r="T90" s="263"/>
      <c r="U90" s="263"/>
      <c r="V90" s="263"/>
      <c r="W90" s="263"/>
      <c r="X90" s="242" t="s">
        <v>147</v>
      </c>
      <c r="Y90" s="242"/>
      <c r="Z90" s="242"/>
      <c r="AA90" s="242"/>
      <c r="AB90" s="244"/>
      <c r="AC90" s="244">
        <f>SUM(AC91:AC91)</f>
        <v>0</v>
      </c>
      <c r="AD90" s="243" t="s">
        <v>25</v>
      </c>
      <c r="AE90" s="1"/>
    </row>
    <row r="91" spans="1:31" s="12" customFormat="1" ht="21" customHeight="1">
      <c r="A91" s="51"/>
      <c r="B91" s="52"/>
      <c r="C91" s="52"/>
      <c r="D91" s="138"/>
      <c r="E91" s="137"/>
      <c r="F91" s="137"/>
      <c r="G91" s="137"/>
      <c r="H91" s="137"/>
      <c r="I91" s="137"/>
      <c r="J91" s="137"/>
      <c r="K91" s="137"/>
      <c r="L91" s="88"/>
      <c r="M91" s="332" t="s">
        <v>308</v>
      </c>
      <c r="N91" s="197"/>
      <c r="O91" s="197"/>
      <c r="P91" s="197"/>
      <c r="Q91" s="197"/>
      <c r="R91" s="260"/>
      <c r="S91" s="196"/>
      <c r="T91" s="196"/>
      <c r="U91" s="196"/>
      <c r="V91" s="196"/>
      <c r="W91" s="196"/>
      <c r="X91" s="196"/>
      <c r="Y91" s="196"/>
      <c r="Z91" s="196"/>
      <c r="AA91" s="198"/>
      <c r="AB91" s="58"/>
      <c r="AC91" s="85">
        <v>0</v>
      </c>
      <c r="AD91" s="64" t="s">
        <v>120</v>
      </c>
      <c r="AE91" s="2"/>
    </row>
    <row r="92" spans="1:31" s="12" customFormat="1" ht="21" customHeight="1">
      <c r="A92" s="51"/>
      <c r="B92" s="52"/>
      <c r="C92" s="52"/>
      <c r="D92" s="138"/>
      <c r="E92" s="137"/>
      <c r="F92" s="137"/>
      <c r="G92" s="137"/>
      <c r="H92" s="137"/>
      <c r="I92" s="137"/>
      <c r="J92" s="137"/>
      <c r="K92" s="137"/>
      <c r="L92" s="88"/>
      <c r="M92" s="332"/>
      <c r="N92" s="260"/>
      <c r="O92" s="260"/>
      <c r="P92" s="260"/>
      <c r="Q92" s="260"/>
      <c r="R92" s="260"/>
      <c r="S92" s="259"/>
      <c r="T92" s="259"/>
      <c r="U92" s="259"/>
      <c r="V92" s="259"/>
      <c r="W92" s="259"/>
      <c r="X92" s="259"/>
      <c r="Y92" s="259"/>
      <c r="Z92" s="259"/>
      <c r="AA92" s="331"/>
      <c r="AB92" s="58"/>
      <c r="AC92" s="85"/>
      <c r="AD92" s="64"/>
      <c r="AE92" s="2"/>
    </row>
    <row r="93" spans="1:31" s="12" customFormat="1" ht="21" customHeight="1">
      <c r="A93" s="51"/>
      <c r="B93" s="52"/>
      <c r="C93" s="52"/>
      <c r="D93" s="219"/>
      <c r="E93" s="137"/>
      <c r="F93" s="137"/>
      <c r="G93" s="137"/>
      <c r="H93" s="137"/>
      <c r="I93" s="137"/>
      <c r="J93" s="137"/>
      <c r="K93" s="137"/>
      <c r="L93" s="88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71"/>
      <c r="AD93" s="156"/>
      <c r="AE93" s="2"/>
    </row>
    <row r="94" spans="1:31" s="12" customFormat="1" ht="21" customHeight="1">
      <c r="A94" s="51"/>
      <c r="B94" s="52"/>
      <c r="C94" s="42" t="s">
        <v>19</v>
      </c>
      <c r="D94" s="221">
        <v>1350</v>
      </c>
      <c r="E94" s="142">
        <f>F94+G94+H94+J94</f>
        <v>1394</v>
      </c>
      <c r="F94" s="142">
        <f>AC96/1000</f>
        <v>44</v>
      </c>
      <c r="G94" s="142">
        <f>(AC95)/1000</f>
        <v>1350</v>
      </c>
      <c r="H94" s="142">
        <f>AC97/1000</f>
        <v>0</v>
      </c>
      <c r="I94" s="142">
        <v>0</v>
      </c>
      <c r="J94" s="142">
        <v>0</v>
      </c>
      <c r="K94" s="142">
        <f>E94-D94</f>
        <v>44</v>
      </c>
      <c r="L94" s="150">
        <f>IF(D94=0,0,K94/D94)</f>
        <v>3.259259259259259E-2</v>
      </c>
      <c r="M94" s="123" t="s">
        <v>51</v>
      </c>
      <c r="N94" s="119"/>
      <c r="O94" s="119"/>
      <c r="P94" s="119"/>
      <c r="Q94" s="119"/>
      <c r="R94" s="264"/>
      <c r="S94" s="111"/>
      <c r="T94" s="111"/>
      <c r="U94" s="111"/>
      <c r="V94" s="111"/>
      <c r="W94" s="111"/>
      <c r="X94" s="242" t="s">
        <v>147</v>
      </c>
      <c r="Y94" s="242"/>
      <c r="Z94" s="242"/>
      <c r="AA94" s="242"/>
      <c r="AB94" s="244"/>
      <c r="AC94" s="244">
        <f>SUM(AC95:AC96)</f>
        <v>1394000</v>
      </c>
      <c r="AD94" s="243" t="s">
        <v>25</v>
      </c>
      <c r="AE94" s="1"/>
    </row>
    <row r="95" spans="1:31" s="12" customFormat="1" ht="21" customHeight="1">
      <c r="A95" s="51"/>
      <c r="B95" s="52"/>
      <c r="C95" s="52"/>
      <c r="D95" s="138"/>
      <c r="E95" s="137"/>
      <c r="F95" s="137"/>
      <c r="G95" s="137"/>
      <c r="H95" s="137"/>
      <c r="I95" s="137"/>
      <c r="J95" s="137"/>
      <c r="K95" s="137"/>
      <c r="L95" s="88"/>
      <c r="M95" s="358" t="s">
        <v>381</v>
      </c>
      <c r="N95" s="56"/>
      <c r="O95" s="56"/>
      <c r="P95" s="38"/>
      <c r="Q95" s="38"/>
      <c r="R95" s="260"/>
      <c r="S95" s="39"/>
      <c r="T95" s="39"/>
      <c r="U95" s="39"/>
      <c r="V95" s="39"/>
      <c r="W95" s="39"/>
      <c r="X95" s="39"/>
      <c r="Y95" s="39"/>
      <c r="Z95" s="39"/>
      <c r="AA95" s="261"/>
      <c r="AB95" s="58"/>
      <c r="AC95" s="85">
        <v>1350000</v>
      </c>
      <c r="AD95" s="64" t="s">
        <v>25</v>
      </c>
      <c r="AE95" s="2"/>
    </row>
    <row r="96" spans="1:31" s="12" customFormat="1" ht="21" customHeight="1">
      <c r="A96" s="51"/>
      <c r="B96" s="52"/>
      <c r="C96" s="52"/>
      <c r="D96" s="138"/>
      <c r="E96" s="137"/>
      <c r="F96" s="137"/>
      <c r="G96" s="137"/>
      <c r="H96" s="137"/>
      <c r="I96" s="137"/>
      <c r="J96" s="137"/>
      <c r="K96" s="137"/>
      <c r="L96" s="88"/>
      <c r="M96" s="358" t="s">
        <v>382</v>
      </c>
      <c r="N96" s="56"/>
      <c r="O96" s="56"/>
      <c r="P96" s="158"/>
      <c r="Q96" s="56"/>
      <c r="R96" s="323"/>
      <c r="S96" s="57"/>
      <c r="T96" s="39"/>
      <c r="U96" s="39"/>
      <c r="V96" s="39"/>
      <c r="W96" s="39"/>
      <c r="X96" s="39"/>
      <c r="Y96" s="39"/>
      <c r="Z96" s="39"/>
      <c r="AA96" s="261"/>
      <c r="AB96" s="58"/>
      <c r="AC96" s="85">
        <v>44000</v>
      </c>
      <c r="AD96" s="64" t="s">
        <v>93</v>
      </c>
      <c r="AE96" s="2"/>
    </row>
    <row r="97" spans="1:31" s="12" customFormat="1" ht="21" customHeight="1">
      <c r="A97" s="51"/>
      <c r="B97" s="52"/>
      <c r="C97" s="52"/>
      <c r="D97" s="138"/>
      <c r="E97" s="137"/>
      <c r="F97" s="137"/>
      <c r="G97" s="140"/>
      <c r="H97" s="137"/>
      <c r="I97" s="137"/>
      <c r="J97" s="137"/>
      <c r="K97" s="137"/>
      <c r="L97" s="88"/>
      <c r="M97" s="216"/>
      <c r="N97" s="56"/>
      <c r="O97" s="56"/>
      <c r="P97" s="56"/>
      <c r="Q97" s="57"/>
      <c r="R97" s="322"/>
      <c r="S97" s="146"/>
      <c r="T97" s="61"/>
      <c r="U97" s="85"/>
      <c r="V97" s="85"/>
      <c r="W97" s="57"/>
      <c r="X97" s="57"/>
      <c r="Y97" s="57"/>
      <c r="Z97" s="57"/>
      <c r="AA97" s="57"/>
      <c r="AB97" s="57"/>
      <c r="AC97" s="57"/>
      <c r="AD97" s="64"/>
      <c r="AE97" s="2"/>
    </row>
    <row r="98" spans="1:31" s="12" customFormat="1" ht="21" customHeight="1">
      <c r="A98" s="51"/>
      <c r="B98" s="52"/>
      <c r="C98" s="42" t="s">
        <v>52</v>
      </c>
      <c r="D98" s="221">
        <v>1960</v>
      </c>
      <c r="E98" s="142">
        <f>F98+H98+J98+G98</f>
        <v>2114</v>
      </c>
      <c r="F98" s="142">
        <f>ROUND(AC99/1000,0)</f>
        <v>154</v>
      </c>
      <c r="G98" s="365">
        <f>AC100/1000</f>
        <v>1650</v>
      </c>
      <c r="H98" s="142">
        <f>AC101/1000</f>
        <v>310</v>
      </c>
      <c r="I98" s="142">
        <v>0</v>
      </c>
      <c r="J98" s="142">
        <v>0</v>
      </c>
      <c r="K98" s="142">
        <f>E98-D98</f>
        <v>154</v>
      </c>
      <c r="L98" s="150">
        <f>IF(D98=0,0,K98/D98)</f>
        <v>7.857142857142857E-2</v>
      </c>
      <c r="M98" s="123" t="s">
        <v>53</v>
      </c>
      <c r="N98" s="119"/>
      <c r="O98" s="119"/>
      <c r="P98" s="119"/>
      <c r="Q98" s="119"/>
      <c r="R98" s="264"/>
      <c r="S98" s="111"/>
      <c r="T98" s="111"/>
      <c r="U98" s="111"/>
      <c r="V98" s="111"/>
      <c r="W98" s="111"/>
      <c r="X98" s="242" t="s">
        <v>147</v>
      </c>
      <c r="Y98" s="242"/>
      <c r="Z98" s="242"/>
      <c r="AA98" s="242"/>
      <c r="AB98" s="244"/>
      <c r="AC98" s="244">
        <f>SUM(AC99:AC101)</f>
        <v>2114000</v>
      </c>
      <c r="AD98" s="243" t="s">
        <v>25</v>
      </c>
      <c r="AE98" s="1"/>
    </row>
    <row r="99" spans="1:31" s="1" customFormat="1" ht="21" customHeight="1">
      <c r="A99" s="51"/>
      <c r="B99" s="52"/>
      <c r="C99" s="52" t="s">
        <v>168</v>
      </c>
      <c r="D99" s="219"/>
      <c r="E99" s="137"/>
      <c r="F99" s="137"/>
      <c r="G99" s="137"/>
      <c r="H99" s="137"/>
      <c r="I99" s="137"/>
      <c r="J99" s="137"/>
      <c r="K99" s="137"/>
      <c r="L99" s="88"/>
      <c r="M99" s="358" t="s">
        <v>378</v>
      </c>
      <c r="N99" s="56"/>
      <c r="O99" s="56"/>
      <c r="P99" s="56"/>
      <c r="Q99" s="57"/>
      <c r="R99" s="322"/>
      <c r="S99" s="61"/>
      <c r="T99" s="61"/>
      <c r="U99" s="57"/>
      <c r="V99" s="56"/>
      <c r="W99" s="57"/>
      <c r="X99" s="57"/>
      <c r="Y99" s="57"/>
      <c r="Z99" s="57"/>
      <c r="AA99" s="157"/>
      <c r="AB99" s="57"/>
      <c r="AC99" s="261">
        <v>154000</v>
      </c>
      <c r="AD99" s="64" t="s">
        <v>25</v>
      </c>
      <c r="AE99" s="2"/>
    </row>
    <row r="100" spans="1:31" s="1" customFormat="1" ht="21" customHeight="1">
      <c r="A100" s="51"/>
      <c r="B100" s="52"/>
      <c r="C100" s="52"/>
      <c r="D100" s="219"/>
      <c r="E100" s="137"/>
      <c r="F100" s="137"/>
      <c r="G100" s="137"/>
      <c r="H100" s="137"/>
      <c r="I100" s="137"/>
      <c r="J100" s="137"/>
      <c r="K100" s="137"/>
      <c r="L100" s="88"/>
      <c r="M100" s="358" t="s">
        <v>379</v>
      </c>
      <c r="N100" s="358"/>
      <c r="O100" s="358"/>
      <c r="P100" s="358"/>
      <c r="Q100" s="357"/>
      <c r="R100" s="357"/>
      <c r="S100" s="61"/>
      <c r="T100" s="61"/>
      <c r="U100" s="357"/>
      <c r="V100" s="358"/>
      <c r="W100" s="357"/>
      <c r="X100" s="357"/>
      <c r="Y100" s="357"/>
      <c r="Z100" s="357"/>
      <c r="AA100" s="357"/>
      <c r="AB100" s="357"/>
      <c r="AC100" s="357">
        <v>1650000</v>
      </c>
      <c r="AD100" s="64" t="s">
        <v>25</v>
      </c>
      <c r="AE100" s="2"/>
    </row>
    <row r="101" spans="1:31" s="1" customFormat="1" ht="21" customHeight="1">
      <c r="A101" s="51"/>
      <c r="B101" s="52"/>
      <c r="C101" s="52"/>
      <c r="D101" s="219"/>
      <c r="E101" s="137"/>
      <c r="F101" s="137"/>
      <c r="G101" s="137"/>
      <c r="H101" s="137"/>
      <c r="I101" s="137"/>
      <c r="J101" s="137"/>
      <c r="K101" s="137"/>
      <c r="L101" s="88"/>
      <c r="M101" s="358" t="s">
        <v>380</v>
      </c>
      <c r="N101" s="56"/>
      <c r="O101" s="56"/>
      <c r="P101" s="56"/>
      <c r="Q101" s="57"/>
      <c r="R101" s="322"/>
      <c r="S101" s="61"/>
      <c r="T101" s="61"/>
      <c r="U101" s="57"/>
      <c r="V101" s="56"/>
      <c r="W101" s="57"/>
      <c r="X101" s="57"/>
      <c r="Y101" s="57"/>
      <c r="Z101" s="57"/>
      <c r="AA101" s="157"/>
      <c r="AB101" s="57"/>
      <c r="AC101" s="57">
        <v>310000</v>
      </c>
      <c r="AD101" s="64" t="s">
        <v>25</v>
      </c>
      <c r="AE101" s="2"/>
    </row>
    <row r="102" spans="1:31" s="1" customFormat="1" ht="21" customHeight="1">
      <c r="A102" s="51"/>
      <c r="B102" s="52"/>
      <c r="C102" s="52"/>
      <c r="D102" s="219"/>
      <c r="E102" s="137"/>
      <c r="F102" s="137"/>
      <c r="G102" s="137"/>
      <c r="H102" s="137"/>
      <c r="I102" s="137"/>
      <c r="J102" s="137"/>
      <c r="K102" s="137"/>
      <c r="L102" s="88"/>
      <c r="M102" s="216"/>
      <c r="N102" s="56"/>
      <c r="O102" s="56"/>
      <c r="P102" s="56"/>
      <c r="Q102" s="57"/>
      <c r="R102" s="322"/>
      <c r="S102" s="61"/>
      <c r="T102" s="61"/>
      <c r="U102" s="57"/>
      <c r="V102" s="56"/>
      <c r="W102" s="57"/>
      <c r="X102" s="57"/>
      <c r="Y102" s="57"/>
      <c r="Z102" s="57"/>
      <c r="AA102" s="157"/>
      <c r="AB102" s="57"/>
      <c r="AC102" s="57"/>
      <c r="AD102" s="64"/>
      <c r="AE102" s="2"/>
    </row>
    <row r="103" spans="1:31" s="12" customFormat="1" ht="21" customHeight="1">
      <c r="A103" s="271" t="s">
        <v>20</v>
      </c>
      <c r="B103" s="435" t="s">
        <v>21</v>
      </c>
      <c r="C103" s="436"/>
      <c r="D103" s="272">
        <f>SUM(D104,D125)</f>
        <v>15233</v>
      </c>
      <c r="E103" s="272">
        <f>SUM(E104,E125)</f>
        <v>15937.909800000001</v>
      </c>
      <c r="F103" s="272">
        <f>SUM(F104,F125)</f>
        <v>7884.5899999999992</v>
      </c>
      <c r="G103" s="272">
        <f>SUM(G104,G125)</f>
        <v>0</v>
      </c>
      <c r="H103" s="272">
        <f>SUM(H104,H125)</f>
        <v>7853.3198000000002</v>
      </c>
      <c r="I103" s="272">
        <f>I104</f>
        <v>0</v>
      </c>
      <c r="J103" s="272">
        <f>SUM(J104,J125)</f>
        <v>0</v>
      </c>
      <c r="K103" s="272">
        <f>SUM(K104,K111,K115,K118,K122)</f>
        <v>1100.9798000000001</v>
      </c>
      <c r="L103" s="273">
        <f>IF(D103=0,0,K103/D103)</f>
        <v>7.2275966651349055E-2</v>
      </c>
      <c r="M103" s="264" t="s">
        <v>159</v>
      </c>
      <c r="N103" s="119"/>
      <c r="O103" s="119"/>
      <c r="P103" s="119"/>
      <c r="Q103" s="119"/>
      <c r="R103" s="264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>
        <f>SUM(AC104,AC125)</f>
        <v>15937909.800000001</v>
      </c>
      <c r="AD103" s="121" t="s">
        <v>25</v>
      </c>
      <c r="AE103" s="14"/>
    </row>
    <row r="104" spans="1:31" s="12" customFormat="1" ht="21" customHeight="1">
      <c r="A104" s="52"/>
      <c r="B104" s="42" t="s">
        <v>112</v>
      </c>
      <c r="C104" s="42" t="s">
        <v>160</v>
      </c>
      <c r="D104" s="142">
        <f>SUM(D105,D111,D115,D118,D122)</f>
        <v>10559</v>
      </c>
      <c r="E104" s="142">
        <f>SUM(E105,E111,E115,E118,E122)</f>
        <v>12217.8598</v>
      </c>
      <c r="F104" s="142">
        <f>SUM(F105,F111,F115,F118,F122)</f>
        <v>7884.5899999999992</v>
      </c>
      <c r="G104" s="142">
        <f>SUM(G105,G111,G115,G118,G122)</f>
        <v>0</v>
      </c>
      <c r="H104" s="142">
        <f>SUM(H105,H111,H115,H118,H122)</f>
        <v>4333.2698</v>
      </c>
      <c r="I104" s="142">
        <f>I105</f>
        <v>0</v>
      </c>
      <c r="J104" s="142">
        <f>SUM(J105,J111,J115,J118,J122)</f>
        <v>0</v>
      </c>
      <c r="K104" s="142">
        <f>E104-D104</f>
        <v>1658.8598000000002</v>
      </c>
      <c r="L104" s="150">
        <f>IF(D104=0,0,K104/D104)</f>
        <v>0.15710387347286678</v>
      </c>
      <c r="M104" s="119"/>
      <c r="N104" s="119"/>
      <c r="O104" s="119"/>
      <c r="P104" s="119"/>
      <c r="Q104" s="119"/>
      <c r="R104" s="264"/>
      <c r="S104" s="111"/>
      <c r="T104" s="111"/>
      <c r="U104" s="111"/>
      <c r="V104" s="111"/>
      <c r="W104" s="111"/>
      <c r="X104" s="111" t="s">
        <v>28</v>
      </c>
      <c r="Y104" s="111"/>
      <c r="Z104" s="111"/>
      <c r="AA104" s="111"/>
      <c r="AB104" s="120"/>
      <c r="AC104" s="120">
        <f>SUM(AC105,AC111,AC115,AC118,AC122)</f>
        <v>12217859.800000001</v>
      </c>
      <c r="AD104" s="121" t="s">
        <v>25</v>
      </c>
      <c r="AE104" s="1"/>
    </row>
    <row r="105" spans="1:31" s="12" customFormat="1" ht="21" customHeight="1">
      <c r="A105" s="52"/>
      <c r="B105" s="52"/>
      <c r="C105" s="42" t="s">
        <v>60</v>
      </c>
      <c r="D105" s="221">
        <v>8939</v>
      </c>
      <c r="E105" s="142">
        <f>SUM(F105,G105,H105,J105,I105)</f>
        <v>11155.739799999999</v>
      </c>
      <c r="F105" s="142">
        <f>(AC106)/1000</f>
        <v>7014.58</v>
      </c>
      <c r="G105" s="142">
        <v>0</v>
      </c>
      <c r="H105" s="142">
        <f>(AC107+AC108)/1000</f>
        <v>4141.1597999999994</v>
      </c>
      <c r="I105" s="142">
        <f>AC109/1000</f>
        <v>0</v>
      </c>
      <c r="J105" s="142">
        <v>0</v>
      </c>
      <c r="K105" s="142">
        <f>E105-D105</f>
        <v>2216.7397999999994</v>
      </c>
      <c r="L105" s="150">
        <f>IF(D105=0,0,K105/D105)</f>
        <v>0.24798521087369946</v>
      </c>
      <c r="M105" s="123" t="s">
        <v>113</v>
      </c>
      <c r="N105" s="264"/>
      <c r="O105" s="264"/>
      <c r="P105" s="264"/>
      <c r="Q105" s="264"/>
      <c r="R105" s="264"/>
      <c r="S105" s="263"/>
      <c r="T105" s="263"/>
      <c r="U105" s="263"/>
      <c r="V105" s="263"/>
      <c r="W105" s="263"/>
      <c r="X105" s="242" t="s">
        <v>147</v>
      </c>
      <c r="Y105" s="242"/>
      <c r="Z105" s="242"/>
      <c r="AA105" s="242"/>
      <c r="AB105" s="244"/>
      <c r="AC105" s="244">
        <f>SUM(AC106:AC109)</f>
        <v>11155739.800000001</v>
      </c>
      <c r="AD105" s="243" t="s">
        <v>25</v>
      </c>
      <c r="AE105" s="1"/>
    </row>
    <row r="106" spans="1:31" s="12" customFormat="1" ht="21" customHeight="1">
      <c r="A106" s="52"/>
      <c r="B106" s="52"/>
      <c r="C106" s="52"/>
      <c r="D106" s="138"/>
      <c r="E106" s="137"/>
      <c r="F106" s="137"/>
      <c r="G106" s="137"/>
      <c r="H106" s="137"/>
      <c r="I106" s="137"/>
      <c r="J106" s="137"/>
      <c r="K106" s="137"/>
      <c r="L106" s="88"/>
      <c r="M106" s="296" t="s">
        <v>205</v>
      </c>
      <c r="N106" s="56"/>
      <c r="O106" s="57"/>
      <c r="P106" s="57"/>
      <c r="Q106" s="57">
        <v>116909.7</v>
      </c>
      <c r="R106" s="322"/>
      <c r="S106" s="57" t="s">
        <v>92</v>
      </c>
      <c r="T106" s="61" t="s">
        <v>94</v>
      </c>
      <c r="U106" s="57">
        <v>12</v>
      </c>
      <c r="V106" s="57" t="s">
        <v>102</v>
      </c>
      <c r="W106" s="61" t="s">
        <v>94</v>
      </c>
      <c r="X106" s="57">
        <v>5</v>
      </c>
      <c r="Y106" s="57" t="s">
        <v>95</v>
      </c>
      <c r="Z106" s="63" t="s">
        <v>96</v>
      </c>
      <c r="AA106" s="57" t="s">
        <v>105</v>
      </c>
      <c r="AB106" s="85"/>
      <c r="AC106" s="85">
        <f>ROUNDDOWN(Q106*U106*X106,-1)</f>
        <v>7014580</v>
      </c>
      <c r="AD106" s="64" t="s">
        <v>25</v>
      </c>
      <c r="AE106" s="2"/>
    </row>
    <row r="107" spans="1:31" s="12" customFormat="1" ht="21" customHeight="1">
      <c r="A107" s="52"/>
      <c r="B107" s="52"/>
      <c r="C107" s="52"/>
      <c r="D107" s="138"/>
      <c r="E107" s="137"/>
      <c r="F107" s="137"/>
      <c r="G107" s="137"/>
      <c r="H107" s="137"/>
      <c r="I107" s="137"/>
      <c r="J107" s="137"/>
      <c r="K107" s="137"/>
      <c r="L107" s="88"/>
      <c r="M107" s="216" t="s">
        <v>119</v>
      </c>
      <c r="N107" s="183"/>
      <c r="O107" s="183"/>
      <c r="P107" s="183"/>
      <c r="Q107" s="182">
        <v>69019.33</v>
      </c>
      <c r="R107" s="322"/>
      <c r="S107" s="61" t="s">
        <v>25</v>
      </c>
      <c r="T107" s="61" t="s">
        <v>26</v>
      </c>
      <c r="U107" s="182">
        <v>12</v>
      </c>
      <c r="V107" s="182" t="s">
        <v>29</v>
      </c>
      <c r="W107" s="61" t="s">
        <v>26</v>
      </c>
      <c r="X107" s="182">
        <v>5</v>
      </c>
      <c r="Y107" s="182" t="s">
        <v>153</v>
      </c>
      <c r="Z107" s="181" t="s">
        <v>27</v>
      </c>
      <c r="AA107" s="182" t="s">
        <v>118</v>
      </c>
      <c r="AB107" s="182"/>
      <c r="AC107" s="182">
        <f>Q107*U107*X107</f>
        <v>4141159.8</v>
      </c>
      <c r="AD107" s="162" t="s">
        <v>92</v>
      </c>
      <c r="AE107" s="2"/>
    </row>
    <row r="108" spans="1:31" s="12" customFormat="1" ht="21" customHeight="1">
      <c r="A108" s="52"/>
      <c r="B108" s="52"/>
      <c r="C108" s="52"/>
      <c r="D108" s="138"/>
      <c r="E108" s="137"/>
      <c r="F108" s="137"/>
      <c r="G108" s="137"/>
      <c r="H108" s="137"/>
      <c r="I108" s="137"/>
      <c r="J108" s="137"/>
      <c r="K108" s="137"/>
      <c r="L108" s="88"/>
      <c r="M108" s="308" t="s">
        <v>223</v>
      </c>
      <c r="N108" s="308"/>
      <c r="O108" s="308"/>
      <c r="P108" s="308"/>
      <c r="Q108" s="307"/>
      <c r="R108" s="322"/>
      <c r="S108" s="61"/>
      <c r="T108" s="61"/>
      <c r="U108" s="307"/>
      <c r="V108" s="307"/>
      <c r="W108" s="61"/>
      <c r="X108" s="307"/>
      <c r="Y108" s="307"/>
      <c r="Z108" s="274"/>
      <c r="AA108" s="307"/>
      <c r="AB108" s="307"/>
      <c r="AC108" s="307">
        <v>0</v>
      </c>
      <c r="AD108" s="162" t="s">
        <v>224</v>
      </c>
      <c r="AE108" s="2"/>
    </row>
    <row r="109" spans="1:31" s="12" customFormat="1" ht="21" customHeight="1">
      <c r="A109" s="52"/>
      <c r="B109" s="52"/>
      <c r="C109" s="52"/>
      <c r="D109" s="138"/>
      <c r="E109" s="137"/>
      <c r="F109" s="137"/>
      <c r="G109" s="137"/>
      <c r="H109" s="137"/>
      <c r="I109" s="137"/>
      <c r="J109" s="137"/>
      <c r="K109" s="137"/>
      <c r="L109" s="88"/>
      <c r="M109" s="332" t="s">
        <v>314</v>
      </c>
      <c r="N109" s="332"/>
      <c r="O109" s="332"/>
      <c r="P109" s="332"/>
      <c r="Q109" s="331"/>
      <c r="R109" s="331"/>
      <c r="S109" s="61"/>
      <c r="T109" s="61"/>
      <c r="U109" s="331"/>
      <c r="V109" s="331"/>
      <c r="W109" s="61"/>
      <c r="X109" s="331"/>
      <c r="Y109" s="331"/>
      <c r="Z109" s="274"/>
      <c r="AA109" s="331"/>
      <c r="AB109" s="331"/>
      <c r="AC109" s="331">
        <v>0</v>
      </c>
      <c r="AD109" s="162" t="s">
        <v>58</v>
      </c>
      <c r="AE109" s="2"/>
    </row>
    <row r="110" spans="1:31" s="12" customFormat="1" ht="21" customHeight="1">
      <c r="A110" s="52"/>
      <c r="B110" s="52"/>
      <c r="C110" s="66"/>
      <c r="D110" s="220"/>
      <c r="E110" s="140"/>
      <c r="F110" s="140"/>
      <c r="G110" s="140"/>
      <c r="H110" s="140"/>
      <c r="I110" s="140"/>
      <c r="J110" s="140"/>
      <c r="K110" s="140"/>
      <c r="L110" s="10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71"/>
      <c r="AD110" s="156"/>
      <c r="AE110" s="2"/>
    </row>
    <row r="111" spans="1:31" s="12" customFormat="1" ht="21" customHeight="1">
      <c r="A111" s="52"/>
      <c r="B111" s="52"/>
      <c r="C111" s="52" t="s">
        <v>114</v>
      </c>
      <c r="D111" s="219">
        <v>636</v>
      </c>
      <c r="E111" s="137">
        <f>SUM(F111,G111,H111,J111)</f>
        <v>620.81999999999994</v>
      </c>
      <c r="F111" s="137">
        <f>AC112/1000</f>
        <v>590.80999999999995</v>
      </c>
      <c r="G111" s="137">
        <v>0</v>
      </c>
      <c r="H111" s="137">
        <f>AC113/1000</f>
        <v>30.01</v>
      </c>
      <c r="I111" s="137">
        <v>0</v>
      </c>
      <c r="J111" s="137">
        <v>0</v>
      </c>
      <c r="K111" s="137">
        <f>E111-D111</f>
        <v>-15.180000000000064</v>
      </c>
      <c r="L111" s="88">
        <f>IF(D111=0,0,K111/D111)</f>
        <v>-2.3867924528301988E-2</v>
      </c>
      <c r="M111" s="123" t="s">
        <v>115</v>
      </c>
      <c r="N111" s="119"/>
      <c r="O111" s="119"/>
      <c r="P111" s="119"/>
      <c r="Q111" s="119"/>
      <c r="R111" s="264"/>
      <c r="S111" s="111"/>
      <c r="T111" s="111"/>
      <c r="U111" s="111"/>
      <c r="V111" s="111"/>
      <c r="W111" s="111"/>
      <c r="X111" s="242" t="s">
        <v>147</v>
      </c>
      <c r="Y111" s="242"/>
      <c r="Z111" s="242"/>
      <c r="AA111" s="242"/>
      <c r="AB111" s="244"/>
      <c r="AC111" s="244">
        <f>SUM(AC112:AC114)</f>
        <v>620820</v>
      </c>
      <c r="AD111" s="243" t="s">
        <v>25</v>
      </c>
      <c r="AE111" s="1"/>
    </row>
    <row r="112" spans="1:31" s="12" customFormat="1" ht="21" customHeight="1">
      <c r="A112" s="52"/>
      <c r="B112" s="52"/>
      <c r="C112" s="52" t="s">
        <v>161</v>
      </c>
      <c r="D112" s="219"/>
      <c r="E112" s="137"/>
      <c r="F112" s="137"/>
      <c r="G112" s="137"/>
      <c r="H112" s="137"/>
      <c r="I112" s="137"/>
      <c r="J112" s="137"/>
      <c r="K112" s="137"/>
      <c r="L112" s="88"/>
      <c r="M112" s="296" t="s">
        <v>206</v>
      </c>
      <c r="N112" s="56"/>
      <c r="O112" s="56"/>
      <c r="P112" s="56"/>
      <c r="Q112" s="57"/>
      <c r="R112" s="322"/>
      <c r="S112" s="61"/>
      <c r="T112" s="61"/>
      <c r="U112" s="57"/>
      <c r="V112" s="57"/>
      <c r="W112" s="57"/>
      <c r="X112" s="57"/>
      <c r="Y112" s="57"/>
      <c r="Z112" s="57"/>
      <c r="AA112" s="182"/>
      <c r="AB112" s="57"/>
      <c r="AC112" s="57">
        <v>590810</v>
      </c>
      <c r="AD112" s="64" t="s">
        <v>92</v>
      </c>
      <c r="AE112" s="2"/>
    </row>
    <row r="113" spans="1:31" s="12" customFormat="1" ht="21" customHeight="1">
      <c r="A113" s="52"/>
      <c r="B113" s="52"/>
      <c r="C113" s="52"/>
      <c r="D113" s="219"/>
      <c r="E113" s="137"/>
      <c r="F113" s="137"/>
      <c r="G113" s="137"/>
      <c r="H113" s="137"/>
      <c r="I113" s="137"/>
      <c r="J113" s="137"/>
      <c r="K113" s="137"/>
      <c r="L113" s="88"/>
      <c r="M113" s="314" t="s">
        <v>250</v>
      </c>
      <c r="N113" s="314"/>
      <c r="O113" s="314"/>
      <c r="P113" s="314"/>
      <c r="Q113" s="313"/>
      <c r="R113" s="322"/>
      <c r="S113" s="61"/>
      <c r="T113" s="61"/>
      <c r="U113" s="313"/>
      <c r="V113" s="313"/>
      <c r="W113" s="313"/>
      <c r="X113" s="313"/>
      <c r="Y113" s="313"/>
      <c r="Z113" s="313"/>
      <c r="AA113" s="313"/>
      <c r="AB113" s="313"/>
      <c r="AC113" s="313">
        <v>30010</v>
      </c>
      <c r="AD113" s="64" t="s">
        <v>58</v>
      </c>
      <c r="AE113" s="2"/>
    </row>
    <row r="114" spans="1:31" s="12" customFormat="1" ht="21" customHeight="1">
      <c r="A114" s="52"/>
      <c r="B114" s="52"/>
      <c r="C114" s="52"/>
      <c r="D114" s="219"/>
      <c r="E114" s="137"/>
      <c r="F114" s="137"/>
      <c r="G114" s="137"/>
      <c r="H114" s="137"/>
      <c r="I114" s="137"/>
      <c r="J114" s="137"/>
      <c r="K114" s="137"/>
      <c r="L114" s="88"/>
      <c r="M114" s="214"/>
      <c r="N114" s="99"/>
      <c r="O114" s="99"/>
      <c r="P114" s="99"/>
      <c r="Q114" s="98"/>
      <c r="R114" s="319"/>
      <c r="S114" s="107"/>
      <c r="T114" s="61"/>
      <c r="U114" s="90"/>
      <c r="V114" s="98"/>
      <c r="W114" s="98"/>
      <c r="X114" s="98"/>
      <c r="Y114" s="98"/>
      <c r="Z114" s="98"/>
      <c r="AA114" s="199"/>
      <c r="AB114" s="98"/>
      <c r="AC114" s="98"/>
      <c r="AD114" s="91"/>
      <c r="AE114" s="1"/>
    </row>
    <row r="115" spans="1:31" s="12" customFormat="1" ht="21" customHeight="1">
      <c r="A115" s="52"/>
      <c r="B115" s="52"/>
      <c r="C115" s="42" t="s">
        <v>109</v>
      </c>
      <c r="D115" s="221">
        <v>500</v>
      </c>
      <c r="E115" s="142">
        <f>AC115/1000</f>
        <v>125</v>
      </c>
      <c r="F115" s="142">
        <v>0</v>
      </c>
      <c r="G115" s="142">
        <v>0</v>
      </c>
      <c r="H115" s="142">
        <f>AC116/1000</f>
        <v>125</v>
      </c>
      <c r="I115" s="142">
        <v>0</v>
      </c>
      <c r="J115" s="142">
        <v>0</v>
      </c>
      <c r="K115" s="142">
        <f>E115-D115</f>
        <v>-375</v>
      </c>
      <c r="L115" s="150">
        <f>IF(D115=0,0,K115/D115)</f>
        <v>-0.75</v>
      </c>
      <c r="M115" s="123" t="s">
        <v>142</v>
      </c>
      <c r="N115" s="241"/>
      <c r="O115" s="119"/>
      <c r="P115" s="119"/>
      <c r="Q115" s="119"/>
      <c r="R115" s="264"/>
      <c r="S115" s="111"/>
      <c r="T115" s="111"/>
      <c r="U115" s="111"/>
      <c r="V115" s="263"/>
      <c r="W115" s="263"/>
      <c r="X115" s="242" t="s">
        <v>147</v>
      </c>
      <c r="Y115" s="242"/>
      <c r="Z115" s="242"/>
      <c r="AA115" s="242"/>
      <c r="AB115" s="244"/>
      <c r="AC115" s="244">
        <f>SUM(AC116:AC117)</f>
        <v>125000</v>
      </c>
      <c r="AD115" s="243" t="s">
        <v>25</v>
      </c>
      <c r="AE115" s="1"/>
    </row>
    <row r="116" spans="1:31" s="12" customFormat="1" ht="21" customHeight="1">
      <c r="A116" s="52"/>
      <c r="B116" s="52"/>
      <c r="C116" s="52"/>
      <c r="D116" s="138"/>
      <c r="E116" s="137"/>
      <c r="F116" s="137"/>
      <c r="G116" s="137"/>
      <c r="H116" s="137"/>
      <c r="I116" s="137"/>
      <c r="J116" s="137"/>
      <c r="K116" s="137"/>
      <c r="L116" s="88"/>
      <c r="M116" s="296" t="s">
        <v>207</v>
      </c>
      <c r="N116" s="56"/>
      <c r="O116" s="57"/>
      <c r="P116" s="57"/>
      <c r="Q116" s="57">
        <v>25000</v>
      </c>
      <c r="R116" s="322"/>
      <c r="S116" s="57" t="s">
        <v>92</v>
      </c>
      <c r="T116" s="56" t="s">
        <v>94</v>
      </c>
      <c r="U116" s="57">
        <v>5</v>
      </c>
      <c r="V116" s="295" t="s">
        <v>208</v>
      </c>
      <c r="W116" s="296" t="s">
        <v>209</v>
      </c>
      <c r="X116" s="57"/>
      <c r="Y116" s="57"/>
      <c r="Z116" s="57"/>
      <c r="AA116" s="57"/>
      <c r="AB116" s="85"/>
      <c r="AC116" s="85">
        <f>Q116*U116</f>
        <v>125000</v>
      </c>
      <c r="AD116" s="64" t="s">
        <v>25</v>
      </c>
      <c r="AE116" s="1"/>
    </row>
    <row r="117" spans="1:31" s="12" customFormat="1" ht="21" customHeight="1">
      <c r="A117" s="52"/>
      <c r="B117" s="52"/>
      <c r="C117" s="52"/>
      <c r="D117" s="219"/>
      <c r="E117" s="137"/>
      <c r="F117" s="137"/>
      <c r="G117" s="137"/>
      <c r="H117" s="137"/>
      <c r="I117" s="137"/>
      <c r="J117" s="137"/>
      <c r="K117" s="137"/>
      <c r="L117" s="88"/>
      <c r="M117" s="251"/>
      <c r="N117" s="56"/>
      <c r="O117" s="57"/>
      <c r="P117" s="57"/>
      <c r="Q117" s="57"/>
      <c r="R117" s="322"/>
      <c r="S117" s="57"/>
      <c r="T117" s="56"/>
      <c r="U117" s="57"/>
      <c r="V117" s="57"/>
      <c r="W117" s="56"/>
      <c r="X117" s="57"/>
      <c r="Y117" s="57"/>
      <c r="Z117" s="57"/>
      <c r="AA117" s="250"/>
      <c r="AB117" s="85"/>
      <c r="AC117" s="85"/>
      <c r="AD117" s="64"/>
      <c r="AE117" s="1"/>
    </row>
    <row r="118" spans="1:31" s="12" customFormat="1" ht="21" customHeight="1">
      <c r="A118" s="52"/>
      <c r="B118" s="52"/>
      <c r="C118" s="42" t="s">
        <v>110</v>
      </c>
      <c r="D118" s="221">
        <v>400</v>
      </c>
      <c r="E118" s="142">
        <f>F118+G118+H118+J118</f>
        <v>237.1</v>
      </c>
      <c r="F118" s="142">
        <f>AC119/1000</f>
        <v>200</v>
      </c>
      <c r="G118" s="142">
        <v>0</v>
      </c>
      <c r="H118" s="142">
        <f>AC120/1000</f>
        <v>37.1</v>
      </c>
      <c r="I118" s="142">
        <v>0</v>
      </c>
      <c r="J118" s="142">
        <v>0</v>
      </c>
      <c r="K118" s="142">
        <f>E118-D118</f>
        <v>-162.9</v>
      </c>
      <c r="L118" s="150">
        <f>IF(D118=0,0,K118/D118)</f>
        <v>-0.40725</v>
      </c>
      <c r="M118" s="123" t="s">
        <v>143</v>
      </c>
      <c r="N118" s="241"/>
      <c r="O118" s="249"/>
      <c r="P118" s="249"/>
      <c r="Q118" s="249"/>
      <c r="R118" s="264"/>
      <c r="S118" s="248"/>
      <c r="T118" s="248"/>
      <c r="U118" s="248"/>
      <c r="V118" s="263"/>
      <c r="W118" s="263"/>
      <c r="X118" s="242" t="s">
        <v>147</v>
      </c>
      <c r="Y118" s="242"/>
      <c r="Z118" s="242"/>
      <c r="AA118" s="242"/>
      <c r="AB118" s="244"/>
      <c r="AC118" s="244">
        <f>SUM(AC119:AC120)</f>
        <v>237100</v>
      </c>
      <c r="AD118" s="243" t="s">
        <v>25</v>
      </c>
      <c r="AE118" s="1"/>
    </row>
    <row r="119" spans="1:31" s="15" customFormat="1" ht="21" customHeight="1">
      <c r="A119" s="52"/>
      <c r="B119" s="52"/>
      <c r="C119" s="52"/>
      <c r="D119" s="219"/>
      <c r="E119" s="137"/>
      <c r="F119" s="137"/>
      <c r="G119" s="137"/>
      <c r="H119" s="137"/>
      <c r="I119" s="137"/>
      <c r="J119" s="137"/>
      <c r="K119" s="137"/>
      <c r="L119" s="88"/>
      <c r="M119" s="296" t="s">
        <v>210</v>
      </c>
      <c r="N119" s="56"/>
      <c r="O119" s="57"/>
      <c r="P119" s="57"/>
      <c r="Q119" s="57">
        <v>40000</v>
      </c>
      <c r="R119" s="322"/>
      <c r="S119" s="57" t="s">
        <v>92</v>
      </c>
      <c r="T119" s="56" t="s">
        <v>94</v>
      </c>
      <c r="U119" s="57">
        <v>1</v>
      </c>
      <c r="V119" s="57" t="s">
        <v>108</v>
      </c>
      <c r="W119" s="56" t="s">
        <v>94</v>
      </c>
      <c r="X119" s="57">
        <v>5</v>
      </c>
      <c r="Y119" s="57" t="s">
        <v>95</v>
      </c>
      <c r="Z119" s="57" t="s">
        <v>96</v>
      </c>
      <c r="AA119" s="57"/>
      <c r="AB119" s="85"/>
      <c r="AC119" s="85">
        <f>Q119*U119*X119</f>
        <v>200000</v>
      </c>
      <c r="AD119" s="64" t="s">
        <v>25</v>
      </c>
      <c r="AE119" s="5"/>
    </row>
    <row r="120" spans="1:31" s="15" customFormat="1" ht="21" customHeight="1">
      <c r="A120" s="52"/>
      <c r="B120" s="52"/>
      <c r="C120" s="52"/>
      <c r="D120" s="219"/>
      <c r="E120" s="137"/>
      <c r="F120" s="137"/>
      <c r="G120" s="137"/>
      <c r="H120" s="137"/>
      <c r="I120" s="137"/>
      <c r="J120" s="137"/>
      <c r="K120" s="137"/>
      <c r="L120" s="88"/>
      <c r="M120" s="296" t="s">
        <v>211</v>
      </c>
      <c r="N120" s="56"/>
      <c r="O120" s="56"/>
      <c r="P120" s="56"/>
      <c r="Q120" s="250"/>
      <c r="R120" s="322"/>
      <c r="S120" s="61"/>
      <c r="T120" s="61"/>
      <c r="U120" s="250"/>
      <c r="V120" s="250"/>
      <c r="W120" s="245"/>
      <c r="X120" s="172"/>
      <c r="Y120" s="93"/>
      <c r="Z120" s="257"/>
      <c r="AA120" s="250"/>
      <c r="AB120" s="57"/>
      <c r="AC120" s="57">
        <v>37100</v>
      </c>
      <c r="AD120" s="64" t="s">
        <v>25</v>
      </c>
      <c r="AE120" s="5"/>
    </row>
    <row r="121" spans="1:31" s="12" customFormat="1" ht="21" customHeight="1">
      <c r="A121" s="52"/>
      <c r="B121" s="52"/>
      <c r="C121" s="66"/>
      <c r="D121" s="220"/>
      <c r="E121" s="226"/>
      <c r="F121" s="226"/>
      <c r="G121" s="226"/>
      <c r="H121" s="226"/>
      <c r="I121" s="226"/>
      <c r="J121" s="226"/>
      <c r="K121" s="174"/>
      <c r="L121" s="106"/>
      <c r="M121" s="173"/>
      <c r="N121" s="173"/>
      <c r="O121" s="173"/>
      <c r="P121" s="173"/>
      <c r="Q121" s="173"/>
      <c r="R121" s="173"/>
      <c r="S121" s="175"/>
      <c r="T121" s="57"/>
      <c r="U121" s="63"/>
      <c r="V121" s="57"/>
      <c r="W121" s="57"/>
      <c r="X121" s="57"/>
      <c r="Y121" s="57"/>
      <c r="Z121" s="57"/>
      <c r="AA121" s="57"/>
      <c r="AB121" s="57"/>
      <c r="AC121" s="57"/>
      <c r="AD121" s="64"/>
      <c r="AE121" s="1"/>
    </row>
    <row r="122" spans="1:31" s="12" customFormat="1" ht="21" customHeight="1">
      <c r="A122" s="52"/>
      <c r="B122" s="52"/>
      <c r="C122" s="52" t="s">
        <v>111</v>
      </c>
      <c r="D122" s="170">
        <v>84</v>
      </c>
      <c r="E122" s="137">
        <f>SUM(F122,G122,H122,J122)</f>
        <v>79.2</v>
      </c>
      <c r="F122" s="137">
        <f>AC123/1000</f>
        <v>79.2</v>
      </c>
      <c r="G122" s="137">
        <v>0</v>
      </c>
      <c r="H122" s="137">
        <v>0</v>
      </c>
      <c r="I122" s="137">
        <v>0</v>
      </c>
      <c r="J122" s="137">
        <v>0</v>
      </c>
      <c r="K122" s="137">
        <f>E122-D122</f>
        <v>-4.7999999999999972</v>
      </c>
      <c r="L122" s="88">
        <f>IF(D122=0,0,K122/D122)</f>
        <v>-5.7142857142857106E-2</v>
      </c>
      <c r="M122" s="123" t="s">
        <v>116</v>
      </c>
      <c r="N122" s="119"/>
      <c r="O122" s="119"/>
      <c r="P122" s="119"/>
      <c r="Q122" s="119"/>
      <c r="R122" s="264"/>
      <c r="S122" s="111"/>
      <c r="T122" s="111"/>
      <c r="U122" s="111"/>
      <c r="V122" s="111"/>
      <c r="W122" s="111"/>
      <c r="X122" s="242" t="s">
        <v>147</v>
      </c>
      <c r="Y122" s="242"/>
      <c r="Z122" s="242"/>
      <c r="AA122" s="242"/>
      <c r="AB122" s="244"/>
      <c r="AC122" s="244">
        <f>SUM(AC123:AC123)</f>
        <v>79200</v>
      </c>
      <c r="AD122" s="243" t="s">
        <v>25</v>
      </c>
      <c r="AE122" s="1"/>
    </row>
    <row r="123" spans="1:31" s="12" customFormat="1" ht="21" customHeight="1">
      <c r="A123" s="52"/>
      <c r="B123" s="52"/>
      <c r="C123" s="52"/>
      <c r="D123" s="219"/>
      <c r="E123" s="137"/>
      <c r="F123" s="137"/>
      <c r="G123" s="137"/>
      <c r="H123" s="137"/>
      <c r="I123" s="137"/>
      <c r="J123" s="137"/>
      <c r="K123" s="137"/>
      <c r="L123" s="88"/>
      <c r="M123" s="296" t="s">
        <v>212</v>
      </c>
      <c r="N123" s="56"/>
      <c r="O123" s="56"/>
      <c r="P123" s="56"/>
      <c r="Q123" s="261">
        <v>13200</v>
      </c>
      <c r="R123" s="322"/>
      <c r="S123" s="61" t="s">
        <v>58</v>
      </c>
      <c r="T123" s="61" t="s">
        <v>26</v>
      </c>
      <c r="U123" s="261">
        <v>6</v>
      </c>
      <c r="V123" s="261" t="s">
        <v>0</v>
      </c>
      <c r="W123" s="258"/>
      <c r="X123" s="172"/>
      <c r="Y123" s="93"/>
      <c r="Z123" s="257" t="s">
        <v>54</v>
      </c>
      <c r="AA123" s="261"/>
      <c r="AB123" s="261"/>
      <c r="AC123" s="261">
        <f>ROUNDUP(Q123*U123,1)</f>
        <v>79200</v>
      </c>
      <c r="AD123" s="64" t="s">
        <v>25</v>
      </c>
      <c r="AE123" s="1"/>
    </row>
    <row r="124" spans="1:31" s="12" customFormat="1" ht="21" customHeight="1">
      <c r="A124" s="52"/>
      <c r="B124" s="52"/>
      <c r="C124" s="52"/>
      <c r="D124" s="219"/>
      <c r="E124" s="137"/>
      <c r="F124" s="137"/>
      <c r="G124" s="137"/>
      <c r="H124" s="137"/>
      <c r="I124" s="137"/>
      <c r="J124" s="137"/>
      <c r="K124" s="137"/>
      <c r="L124" s="88"/>
      <c r="M124" s="56"/>
      <c r="N124" s="56"/>
      <c r="O124" s="56"/>
      <c r="P124" s="56"/>
      <c r="Q124" s="57"/>
      <c r="R124" s="322"/>
      <c r="S124" s="61"/>
      <c r="T124" s="56"/>
      <c r="U124" s="57"/>
      <c r="V124" s="56"/>
      <c r="W124" s="57"/>
      <c r="X124" s="57"/>
      <c r="Y124" s="57"/>
      <c r="Z124" s="57"/>
      <c r="AA124" s="57"/>
      <c r="AB124" s="57"/>
      <c r="AC124" s="57"/>
      <c r="AD124" s="64"/>
      <c r="AE124" s="1"/>
    </row>
    <row r="125" spans="1:31" s="12" customFormat="1" ht="21" customHeight="1">
      <c r="A125" s="52"/>
      <c r="B125" s="42" t="s">
        <v>117</v>
      </c>
      <c r="C125" s="237" t="s">
        <v>156</v>
      </c>
      <c r="D125" s="239">
        <f>D126</f>
        <v>4674</v>
      </c>
      <c r="E125" s="239">
        <f>E126</f>
        <v>3720.05</v>
      </c>
      <c r="F125" s="239">
        <f t="shared" ref="F125:J125" si="14">F126</f>
        <v>0</v>
      </c>
      <c r="G125" s="239">
        <f t="shared" si="14"/>
        <v>0</v>
      </c>
      <c r="H125" s="239">
        <f>H126</f>
        <v>3520.05</v>
      </c>
      <c r="I125" s="239">
        <f>I126</f>
        <v>200</v>
      </c>
      <c r="J125" s="239">
        <f t="shared" si="14"/>
        <v>0</v>
      </c>
      <c r="K125" s="239">
        <f>E125-D125</f>
        <v>-953.94999999999982</v>
      </c>
      <c r="L125" s="240">
        <f>IF(D125=0,0,K125/D125)</f>
        <v>-0.20409713307659388</v>
      </c>
      <c r="M125" s="241"/>
      <c r="N125" s="241"/>
      <c r="O125" s="241"/>
      <c r="P125" s="241"/>
      <c r="Q125" s="241"/>
      <c r="R125" s="321"/>
      <c r="S125" s="242"/>
      <c r="T125" s="242"/>
      <c r="U125" s="242"/>
      <c r="V125" s="242"/>
      <c r="W125" s="242"/>
      <c r="X125" s="242" t="s">
        <v>28</v>
      </c>
      <c r="Y125" s="242"/>
      <c r="Z125" s="242"/>
      <c r="AA125" s="242"/>
      <c r="AB125" s="244"/>
      <c r="AC125" s="244">
        <f>AC126</f>
        <v>3720050</v>
      </c>
      <c r="AD125" s="243" t="s">
        <v>25</v>
      </c>
      <c r="AE125" s="1"/>
    </row>
    <row r="126" spans="1:31" s="12" customFormat="1" ht="26.25" customHeight="1">
      <c r="A126" s="52"/>
      <c r="B126" s="52" t="s">
        <v>139</v>
      </c>
      <c r="C126" s="52" t="s">
        <v>138</v>
      </c>
      <c r="D126" s="219">
        <v>4674</v>
      </c>
      <c r="E126" s="142">
        <f>SUM(F126,G126,H126,J126,I126)</f>
        <v>3720.05</v>
      </c>
      <c r="F126" s="142">
        <v>0</v>
      </c>
      <c r="G126" s="142">
        <v>0</v>
      </c>
      <c r="H126" s="142">
        <f>(AC129+AC134+AC132+AC142+AC143+AC149+AC150+AC151+AC139+AC144)/1000</f>
        <v>3520.05</v>
      </c>
      <c r="I126" s="142">
        <f>(AC130+AC131+AC133+AC145+AC148)/1000</f>
        <v>200</v>
      </c>
      <c r="J126" s="142">
        <v>0</v>
      </c>
      <c r="K126" s="142">
        <f>E126-D126</f>
        <v>-953.94999999999982</v>
      </c>
      <c r="L126" s="150">
        <f>IF(D126=0,0,K126/D126)</f>
        <v>-0.20409713307659388</v>
      </c>
      <c r="M126" s="125" t="s">
        <v>140</v>
      </c>
      <c r="N126" s="145"/>
      <c r="O126" s="38"/>
      <c r="P126" s="34"/>
      <c r="Q126" s="34"/>
      <c r="R126" s="34"/>
      <c r="S126" s="34"/>
      <c r="T126" s="34"/>
      <c r="U126" s="34"/>
      <c r="V126" s="263"/>
      <c r="W126" s="263"/>
      <c r="X126" s="242" t="s">
        <v>147</v>
      </c>
      <c r="Y126" s="126"/>
      <c r="Z126" s="126"/>
      <c r="AA126" s="126"/>
      <c r="AB126" s="147"/>
      <c r="AC126" s="147">
        <f>SUM(AC128,AC138,AC141,AC147)</f>
        <v>3720050</v>
      </c>
      <c r="AD126" s="148" t="s">
        <v>25</v>
      </c>
      <c r="AE126" s="1"/>
    </row>
    <row r="127" spans="1:31" s="16" customFormat="1" ht="24" customHeight="1">
      <c r="A127" s="52"/>
      <c r="B127" s="52"/>
      <c r="C127" s="52" t="s">
        <v>139</v>
      </c>
      <c r="D127" s="222"/>
      <c r="E127" s="137"/>
      <c r="F127" s="137"/>
      <c r="G127" s="137"/>
      <c r="H127" s="137"/>
      <c r="I127" s="137"/>
      <c r="J127" s="137"/>
      <c r="K127" s="137"/>
      <c r="L127" s="88"/>
      <c r="M127" s="251"/>
      <c r="N127" s="56"/>
      <c r="O127" s="56"/>
      <c r="P127" s="56"/>
      <c r="Q127" s="56"/>
      <c r="R127" s="323"/>
      <c r="S127" s="57"/>
      <c r="T127" s="57"/>
      <c r="U127" s="57"/>
      <c r="V127" s="57"/>
      <c r="W127" s="57"/>
      <c r="X127" s="176"/>
      <c r="Y127" s="176"/>
      <c r="Z127" s="176"/>
      <c r="AA127" s="176"/>
      <c r="AB127" s="177"/>
      <c r="AC127" s="177"/>
      <c r="AD127" s="64"/>
      <c r="AE127" s="17"/>
    </row>
    <row r="128" spans="1:31" s="16" customFormat="1" ht="24" customHeight="1">
      <c r="A128" s="52"/>
      <c r="B128" s="52"/>
      <c r="C128" s="52"/>
      <c r="D128" s="222"/>
      <c r="E128" s="137"/>
      <c r="F128" s="137"/>
      <c r="G128" s="137"/>
      <c r="H128" s="137"/>
      <c r="I128" s="137"/>
      <c r="J128" s="137"/>
      <c r="K128" s="137"/>
      <c r="L128" s="88"/>
      <c r="M128" s="89" t="s">
        <v>251</v>
      </c>
      <c r="N128" s="247"/>
      <c r="O128" s="251"/>
      <c r="P128" s="251"/>
      <c r="Q128" s="251"/>
      <c r="R128" s="323"/>
      <c r="S128" s="250"/>
      <c r="T128" s="250"/>
      <c r="U128" s="250"/>
      <c r="V128" s="246" t="s">
        <v>141</v>
      </c>
      <c r="W128" s="246"/>
      <c r="X128" s="246"/>
      <c r="Y128" s="246"/>
      <c r="Z128" s="246"/>
      <c r="AA128" s="246"/>
      <c r="AB128" s="90"/>
      <c r="AC128" s="90">
        <f>SUM(AC129:AC136)</f>
        <v>832000</v>
      </c>
      <c r="AD128" s="91" t="s">
        <v>25</v>
      </c>
      <c r="AE128" s="17"/>
    </row>
    <row r="129" spans="1:32" s="16" customFormat="1" ht="24" customHeight="1">
      <c r="A129" s="52"/>
      <c r="B129" s="52"/>
      <c r="C129" s="52"/>
      <c r="D129" s="222"/>
      <c r="E129" s="137"/>
      <c r="F129" s="137"/>
      <c r="G129" s="137"/>
      <c r="H129" s="137"/>
      <c r="I129" s="137"/>
      <c r="J129" s="137"/>
      <c r="K129" s="137"/>
      <c r="L129" s="88"/>
      <c r="M129" s="296" t="s">
        <v>213</v>
      </c>
      <c r="N129" s="251"/>
      <c r="O129" s="251"/>
      <c r="P129" s="251"/>
      <c r="Q129" s="295">
        <v>7000</v>
      </c>
      <c r="R129" s="322"/>
      <c r="S129" s="295" t="s">
        <v>58</v>
      </c>
      <c r="T129" s="296" t="s">
        <v>59</v>
      </c>
      <c r="U129" s="295">
        <v>5</v>
      </c>
      <c r="V129" s="295" t="s">
        <v>80</v>
      </c>
      <c r="W129" s="296" t="s">
        <v>59</v>
      </c>
      <c r="X129" s="295">
        <v>6</v>
      </c>
      <c r="Y129" s="295" t="s">
        <v>57</v>
      </c>
      <c r="Z129" s="295" t="s">
        <v>54</v>
      </c>
      <c r="AA129" s="295"/>
      <c r="AB129" s="85"/>
      <c r="AC129" s="85">
        <f t="shared" ref="AC129:AC136" si="15">Q129*U129*X129</f>
        <v>210000</v>
      </c>
      <c r="AD129" s="64" t="s">
        <v>25</v>
      </c>
      <c r="AE129" s="17"/>
    </row>
    <row r="130" spans="1:32" s="16" customFormat="1" ht="24" customHeight="1">
      <c r="A130" s="52"/>
      <c r="B130" s="52"/>
      <c r="C130" s="52"/>
      <c r="D130" s="222"/>
      <c r="E130" s="137"/>
      <c r="F130" s="137"/>
      <c r="G130" s="137"/>
      <c r="H130" s="137"/>
      <c r="I130" s="137"/>
      <c r="J130" s="137"/>
      <c r="K130" s="137"/>
      <c r="L130" s="88"/>
      <c r="M130" s="356" t="s">
        <v>354</v>
      </c>
      <c r="N130" s="356"/>
      <c r="O130" s="356"/>
      <c r="P130" s="356"/>
      <c r="Q130" s="355">
        <v>7000</v>
      </c>
      <c r="R130" s="355"/>
      <c r="S130" s="355" t="s">
        <v>58</v>
      </c>
      <c r="T130" s="356" t="s">
        <v>59</v>
      </c>
      <c r="U130" s="355">
        <v>1</v>
      </c>
      <c r="V130" s="355" t="s">
        <v>80</v>
      </c>
      <c r="W130" s="356" t="s">
        <v>59</v>
      </c>
      <c r="X130" s="355">
        <v>6</v>
      </c>
      <c r="Y130" s="355" t="s">
        <v>57</v>
      </c>
      <c r="Z130" s="355" t="s">
        <v>54</v>
      </c>
      <c r="AA130" s="355"/>
      <c r="AB130" s="85"/>
      <c r="AC130" s="85">
        <f t="shared" ref="AC130" si="16">Q130*U130*X130</f>
        <v>42000</v>
      </c>
      <c r="AD130" s="64" t="s">
        <v>25</v>
      </c>
      <c r="AE130" s="17"/>
    </row>
    <row r="131" spans="1:32" s="16" customFormat="1" ht="24" customHeight="1">
      <c r="A131" s="52"/>
      <c r="B131" s="52"/>
      <c r="C131" s="52"/>
      <c r="D131" s="222"/>
      <c r="E131" s="137"/>
      <c r="F131" s="137"/>
      <c r="G131" s="137"/>
      <c r="H131" s="137"/>
      <c r="I131" s="137"/>
      <c r="J131" s="137"/>
      <c r="K131" s="137"/>
      <c r="L131" s="88"/>
      <c r="M131" s="356" t="s">
        <v>355</v>
      </c>
      <c r="N131" s="356"/>
      <c r="O131" s="356"/>
      <c r="P131" s="356"/>
      <c r="Q131" s="355">
        <v>10000</v>
      </c>
      <c r="R131" s="355"/>
      <c r="S131" s="355" t="s">
        <v>58</v>
      </c>
      <c r="T131" s="356" t="s">
        <v>59</v>
      </c>
      <c r="U131" s="355">
        <v>1</v>
      </c>
      <c r="V131" s="355" t="s">
        <v>80</v>
      </c>
      <c r="W131" s="356" t="s">
        <v>59</v>
      </c>
      <c r="X131" s="355">
        <v>5</v>
      </c>
      <c r="Y131" s="355" t="s">
        <v>57</v>
      </c>
      <c r="Z131" s="355" t="s">
        <v>54</v>
      </c>
      <c r="AA131" s="355"/>
      <c r="AB131" s="85"/>
      <c r="AC131" s="85">
        <f t="shared" ref="AC131" si="17">Q131*U131*X131</f>
        <v>50000</v>
      </c>
      <c r="AD131" s="64" t="s">
        <v>25</v>
      </c>
      <c r="AE131" s="17"/>
    </row>
    <row r="132" spans="1:32" s="16" customFormat="1" ht="24" customHeight="1">
      <c r="A132" s="52"/>
      <c r="B132" s="52"/>
      <c r="C132" s="52"/>
      <c r="D132" s="222"/>
      <c r="E132" s="137"/>
      <c r="F132" s="137"/>
      <c r="G132" s="137"/>
      <c r="H132" s="137"/>
      <c r="I132" s="137"/>
      <c r="J132" s="137"/>
      <c r="K132" s="137"/>
      <c r="L132" s="88"/>
      <c r="M132" s="356" t="s">
        <v>356</v>
      </c>
      <c r="N132" s="296"/>
      <c r="O132" s="296"/>
      <c r="P132" s="296"/>
      <c r="Q132" s="295">
        <v>10000</v>
      </c>
      <c r="R132" s="322"/>
      <c r="S132" s="295" t="s">
        <v>58</v>
      </c>
      <c r="T132" s="296" t="s">
        <v>59</v>
      </c>
      <c r="U132" s="295">
        <v>5</v>
      </c>
      <c r="V132" s="295" t="s">
        <v>80</v>
      </c>
      <c r="W132" s="296" t="s">
        <v>59</v>
      </c>
      <c r="X132" s="295">
        <v>5</v>
      </c>
      <c r="Y132" s="295" t="s">
        <v>57</v>
      </c>
      <c r="Z132" s="295" t="s">
        <v>54</v>
      </c>
      <c r="AA132" s="295"/>
      <c r="AB132" s="85"/>
      <c r="AC132" s="85">
        <f t="shared" si="15"/>
        <v>250000</v>
      </c>
      <c r="AD132" s="64" t="s">
        <v>25</v>
      </c>
      <c r="AE132" s="17"/>
    </row>
    <row r="133" spans="1:32" s="16" customFormat="1" ht="24" customHeight="1">
      <c r="A133" s="52"/>
      <c r="B133" s="52"/>
      <c r="C133" s="52"/>
      <c r="D133" s="222"/>
      <c r="E133" s="137"/>
      <c r="F133" s="137"/>
      <c r="G133" s="137"/>
      <c r="H133" s="137"/>
      <c r="I133" s="137"/>
      <c r="J133" s="137"/>
      <c r="K133" s="137"/>
      <c r="L133" s="88"/>
      <c r="M133" s="356" t="s">
        <v>360</v>
      </c>
      <c r="N133" s="356"/>
      <c r="O133" s="356"/>
      <c r="P133" s="356"/>
      <c r="Q133" s="355">
        <v>8000</v>
      </c>
      <c r="R133" s="355"/>
      <c r="S133" s="355" t="s">
        <v>58</v>
      </c>
      <c r="T133" s="356" t="s">
        <v>59</v>
      </c>
      <c r="U133" s="355">
        <v>1</v>
      </c>
      <c r="V133" s="355" t="s">
        <v>80</v>
      </c>
      <c r="W133" s="356" t="s">
        <v>59</v>
      </c>
      <c r="X133" s="355">
        <v>5</v>
      </c>
      <c r="Y133" s="355" t="s">
        <v>57</v>
      </c>
      <c r="Z133" s="355" t="s">
        <v>54</v>
      </c>
      <c r="AA133" s="355"/>
      <c r="AB133" s="85"/>
      <c r="AC133" s="85">
        <f t="shared" ref="AC133" si="18">Q133*U133*X133</f>
        <v>40000</v>
      </c>
      <c r="AD133" s="64" t="s">
        <v>25</v>
      </c>
      <c r="AE133" s="17"/>
    </row>
    <row r="134" spans="1:32" s="16" customFormat="1" ht="24" customHeight="1">
      <c r="A134" s="52"/>
      <c r="B134" s="52"/>
      <c r="C134" s="52"/>
      <c r="D134" s="219"/>
      <c r="E134" s="137"/>
      <c r="F134" s="137"/>
      <c r="G134" s="137"/>
      <c r="H134" s="137"/>
      <c r="I134" s="137"/>
      <c r="J134" s="137"/>
      <c r="K134" s="137"/>
      <c r="L134" s="88"/>
      <c r="M134" s="356" t="s">
        <v>357</v>
      </c>
      <c r="N134" s="56"/>
      <c r="O134" s="56"/>
      <c r="P134" s="56"/>
      <c r="Q134" s="295">
        <v>8000</v>
      </c>
      <c r="R134" s="322"/>
      <c r="S134" s="295" t="s">
        <v>58</v>
      </c>
      <c r="T134" s="296" t="s">
        <v>59</v>
      </c>
      <c r="U134" s="295">
        <v>5</v>
      </c>
      <c r="V134" s="295" t="s">
        <v>80</v>
      </c>
      <c r="W134" s="296" t="s">
        <v>59</v>
      </c>
      <c r="X134" s="295">
        <v>6</v>
      </c>
      <c r="Y134" s="295" t="s">
        <v>57</v>
      </c>
      <c r="Z134" s="295" t="s">
        <v>54</v>
      </c>
      <c r="AA134" s="295"/>
      <c r="AB134" s="85"/>
      <c r="AC134" s="85">
        <f t="shared" si="15"/>
        <v>240000</v>
      </c>
      <c r="AD134" s="64" t="s">
        <v>25</v>
      </c>
      <c r="AE134" s="17"/>
    </row>
    <row r="135" spans="1:32" s="16" customFormat="1" ht="24" customHeight="1">
      <c r="A135" s="52"/>
      <c r="B135" s="52"/>
      <c r="C135" s="52"/>
      <c r="D135" s="219"/>
      <c r="E135" s="137"/>
      <c r="F135" s="137"/>
      <c r="G135" s="137"/>
      <c r="H135" s="137"/>
      <c r="I135" s="137"/>
      <c r="J135" s="137"/>
      <c r="K135" s="137"/>
      <c r="L135" s="88"/>
      <c r="M135" s="356" t="s">
        <v>358</v>
      </c>
      <c r="N135" s="314"/>
      <c r="O135" s="314"/>
      <c r="P135" s="314"/>
      <c r="Q135" s="313">
        <v>0</v>
      </c>
      <c r="R135" s="322"/>
      <c r="S135" s="313" t="s">
        <v>58</v>
      </c>
      <c r="T135" s="314" t="s">
        <v>59</v>
      </c>
      <c r="U135" s="313">
        <v>3</v>
      </c>
      <c r="V135" s="313" t="s">
        <v>80</v>
      </c>
      <c r="W135" s="314" t="s">
        <v>59</v>
      </c>
      <c r="X135" s="313">
        <v>6</v>
      </c>
      <c r="Y135" s="313" t="s">
        <v>57</v>
      </c>
      <c r="Z135" s="313" t="s">
        <v>54</v>
      </c>
      <c r="AA135" s="313"/>
      <c r="AB135" s="85"/>
      <c r="AC135" s="85">
        <f t="shared" si="15"/>
        <v>0</v>
      </c>
      <c r="AD135" s="64" t="s">
        <v>25</v>
      </c>
      <c r="AE135" s="17"/>
    </row>
    <row r="136" spans="1:32" s="16" customFormat="1" ht="24" customHeight="1">
      <c r="A136" s="52"/>
      <c r="B136" s="52"/>
      <c r="C136" s="52"/>
      <c r="D136" s="219"/>
      <c r="E136" s="137"/>
      <c r="F136" s="137"/>
      <c r="G136" s="137"/>
      <c r="H136" s="137"/>
      <c r="I136" s="137"/>
      <c r="J136" s="137"/>
      <c r="K136" s="137"/>
      <c r="L136" s="88"/>
      <c r="M136" s="356" t="s">
        <v>359</v>
      </c>
      <c r="N136" s="314"/>
      <c r="O136" s="314"/>
      <c r="P136" s="314"/>
      <c r="Q136" s="313">
        <v>0</v>
      </c>
      <c r="R136" s="322"/>
      <c r="S136" s="313" t="s">
        <v>58</v>
      </c>
      <c r="T136" s="314" t="s">
        <v>59</v>
      </c>
      <c r="U136" s="313">
        <v>6</v>
      </c>
      <c r="V136" s="313" t="s">
        <v>80</v>
      </c>
      <c r="W136" s="314" t="s">
        <v>59</v>
      </c>
      <c r="X136" s="313">
        <v>6</v>
      </c>
      <c r="Y136" s="313" t="s">
        <v>57</v>
      </c>
      <c r="Z136" s="313" t="s">
        <v>54</v>
      </c>
      <c r="AA136" s="313"/>
      <c r="AB136" s="85"/>
      <c r="AC136" s="85">
        <f t="shared" si="15"/>
        <v>0</v>
      </c>
      <c r="AD136" s="64" t="s">
        <v>25</v>
      </c>
      <c r="AE136" s="17"/>
    </row>
    <row r="137" spans="1:32" s="16" customFormat="1" ht="24" customHeight="1">
      <c r="A137" s="52"/>
      <c r="B137" s="52"/>
      <c r="C137" s="52"/>
      <c r="D137" s="219"/>
      <c r="E137" s="137"/>
      <c r="F137" s="137"/>
      <c r="G137" s="137"/>
      <c r="H137" s="137"/>
      <c r="I137" s="137"/>
      <c r="J137" s="137"/>
      <c r="K137" s="137"/>
      <c r="L137" s="88"/>
      <c r="M137" s="158"/>
      <c r="N137" s="158"/>
      <c r="O137" s="158"/>
      <c r="P137" s="158"/>
      <c r="Q137" s="157"/>
      <c r="R137" s="322"/>
      <c r="S137" s="157"/>
      <c r="T137" s="158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64"/>
      <c r="AE137" s="17"/>
    </row>
    <row r="138" spans="1:32" s="16" customFormat="1" ht="24" customHeight="1">
      <c r="A138" s="52"/>
      <c r="B138" s="52"/>
      <c r="C138" s="52"/>
      <c r="D138" s="219"/>
      <c r="E138" s="137"/>
      <c r="F138" s="137"/>
      <c r="G138" s="137"/>
      <c r="H138" s="137"/>
      <c r="I138" s="137"/>
      <c r="J138" s="137"/>
      <c r="K138" s="137"/>
      <c r="L138" s="88"/>
      <c r="M138" s="89" t="s">
        <v>214</v>
      </c>
      <c r="N138" s="145"/>
      <c r="O138" s="252"/>
      <c r="P138" s="34"/>
      <c r="Q138" s="34"/>
      <c r="R138" s="34"/>
      <c r="S138" s="34"/>
      <c r="T138" s="34"/>
      <c r="U138" s="34"/>
      <c r="V138" s="246" t="s">
        <v>141</v>
      </c>
      <c r="W138" s="246"/>
      <c r="X138" s="246"/>
      <c r="Y138" s="246"/>
      <c r="Z138" s="246"/>
      <c r="AA138" s="246"/>
      <c r="AB138" s="90"/>
      <c r="AC138" s="90">
        <f>SUM(AC139:AC139)</f>
        <v>250000</v>
      </c>
      <c r="AD138" s="91" t="s">
        <v>25</v>
      </c>
      <c r="AE138" s="17"/>
    </row>
    <row r="139" spans="1:32" s="16" customFormat="1" ht="24" customHeight="1">
      <c r="A139" s="52"/>
      <c r="B139" s="52"/>
      <c r="C139" s="52"/>
      <c r="D139" s="222"/>
      <c r="E139" s="137"/>
      <c r="F139" s="137"/>
      <c r="G139" s="137"/>
      <c r="H139" s="137"/>
      <c r="I139" s="137"/>
      <c r="J139" s="137"/>
      <c r="K139" s="137"/>
      <c r="L139" s="88"/>
      <c r="M139" s="296" t="s">
        <v>215</v>
      </c>
      <c r="N139" s="251"/>
      <c r="O139" s="251"/>
      <c r="P139" s="251"/>
      <c r="Q139" s="295">
        <v>50000</v>
      </c>
      <c r="R139" s="322"/>
      <c r="S139" s="61" t="s">
        <v>58</v>
      </c>
      <c r="T139" s="61" t="s">
        <v>26</v>
      </c>
      <c r="U139" s="295">
        <v>5</v>
      </c>
      <c r="V139" s="295" t="s">
        <v>208</v>
      </c>
      <c r="W139" s="274"/>
      <c r="X139" s="172"/>
      <c r="Y139" s="93"/>
      <c r="Z139" s="257" t="s">
        <v>54</v>
      </c>
      <c r="AA139" s="295"/>
      <c r="AB139" s="295"/>
      <c r="AC139" s="295">
        <f>Q139*U139</f>
        <v>250000</v>
      </c>
      <c r="AD139" s="64" t="s">
        <v>25</v>
      </c>
      <c r="AE139" s="17"/>
    </row>
    <row r="140" spans="1:32" s="16" customFormat="1" ht="24" customHeight="1">
      <c r="A140" s="52"/>
      <c r="B140" s="52"/>
      <c r="C140" s="52"/>
      <c r="D140" s="222"/>
      <c r="E140" s="137"/>
      <c r="F140" s="137"/>
      <c r="G140" s="137"/>
      <c r="H140" s="137"/>
      <c r="I140" s="137"/>
      <c r="J140" s="137"/>
      <c r="K140" s="137"/>
      <c r="L140" s="88"/>
      <c r="M140" s="251"/>
      <c r="N140" s="251"/>
      <c r="O140" s="251"/>
      <c r="P140" s="251"/>
      <c r="Q140" s="251"/>
      <c r="R140" s="323"/>
      <c r="S140" s="250"/>
      <c r="T140" s="250"/>
      <c r="U140" s="250"/>
      <c r="V140" s="250"/>
      <c r="W140" s="250"/>
      <c r="X140" s="176"/>
      <c r="Y140" s="176"/>
      <c r="Z140" s="176"/>
      <c r="AA140" s="176"/>
      <c r="AB140" s="177"/>
      <c r="AC140" s="177"/>
      <c r="AD140" s="64"/>
      <c r="AE140" s="17"/>
      <c r="AF140" s="17"/>
    </row>
    <row r="141" spans="1:32" s="16" customFormat="1" ht="24" customHeight="1">
      <c r="A141" s="52"/>
      <c r="B141" s="52"/>
      <c r="C141" s="52"/>
      <c r="D141" s="219"/>
      <c r="E141" s="137"/>
      <c r="F141" s="137"/>
      <c r="G141" s="137"/>
      <c r="H141" s="137"/>
      <c r="I141" s="137"/>
      <c r="J141" s="137"/>
      <c r="K141" s="137"/>
      <c r="L141" s="88"/>
      <c r="M141" s="89" t="s">
        <v>216</v>
      </c>
      <c r="N141" s="145"/>
      <c r="O141" s="252"/>
      <c r="P141" s="34"/>
      <c r="Q141" s="34"/>
      <c r="R141" s="34"/>
      <c r="S141" s="34"/>
      <c r="T141" s="34"/>
      <c r="U141" s="34"/>
      <c r="V141" s="246" t="s">
        <v>141</v>
      </c>
      <c r="W141" s="246"/>
      <c r="X141" s="246"/>
      <c r="Y141" s="246"/>
      <c r="Z141" s="246"/>
      <c r="AA141" s="246"/>
      <c r="AB141" s="90"/>
      <c r="AC141" s="90">
        <f>SUM(AC142:AC145)</f>
        <v>1867150</v>
      </c>
      <c r="AD141" s="91" t="s">
        <v>25</v>
      </c>
      <c r="AE141" s="17"/>
    </row>
    <row r="142" spans="1:32" s="16" customFormat="1" ht="24" customHeight="1">
      <c r="A142" s="52"/>
      <c r="B142" s="52"/>
      <c r="C142" s="52"/>
      <c r="D142" s="219"/>
      <c r="E142" s="137"/>
      <c r="F142" s="137"/>
      <c r="G142" s="137"/>
      <c r="H142" s="137"/>
      <c r="I142" s="137"/>
      <c r="J142" s="137"/>
      <c r="K142" s="137"/>
      <c r="L142" s="88"/>
      <c r="M142" s="178" t="s">
        <v>217</v>
      </c>
      <c r="N142" s="178"/>
      <c r="O142" s="178"/>
      <c r="P142" s="178"/>
      <c r="Q142" s="295">
        <v>100000</v>
      </c>
      <c r="R142" s="322"/>
      <c r="S142" s="61" t="s">
        <v>58</v>
      </c>
      <c r="T142" s="61" t="s">
        <v>26</v>
      </c>
      <c r="U142" s="295">
        <v>6</v>
      </c>
      <c r="V142" s="295" t="s">
        <v>208</v>
      </c>
      <c r="W142" s="274"/>
      <c r="X142" s="172"/>
      <c r="Y142" s="93"/>
      <c r="Z142" s="257" t="s">
        <v>54</v>
      </c>
      <c r="AA142" s="295"/>
      <c r="AB142" s="295"/>
      <c r="AC142" s="295">
        <f>Q142*U142</f>
        <v>600000</v>
      </c>
      <c r="AD142" s="64" t="s">
        <v>25</v>
      </c>
      <c r="AE142" s="17"/>
    </row>
    <row r="143" spans="1:32" s="16" customFormat="1" ht="24" customHeight="1">
      <c r="A143" s="52"/>
      <c r="B143" s="52"/>
      <c r="C143" s="52"/>
      <c r="D143" s="219"/>
      <c r="E143" s="137"/>
      <c r="F143" s="137"/>
      <c r="G143" s="137"/>
      <c r="H143" s="137"/>
      <c r="I143" s="137"/>
      <c r="J143" s="137"/>
      <c r="K143" s="137"/>
      <c r="L143" s="88"/>
      <c r="M143" s="178" t="s">
        <v>218</v>
      </c>
      <c r="N143" s="178"/>
      <c r="O143" s="178"/>
      <c r="P143" s="178"/>
      <c r="Q143" s="295">
        <v>595250</v>
      </c>
      <c r="R143" s="322"/>
      <c r="S143" s="61" t="s">
        <v>58</v>
      </c>
      <c r="T143" s="61" t="s">
        <v>26</v>
      </c>
      <c r="U143" s="295">
        <v>1</v>
      </c>
      <c r="V143" s="295" t="s">
        <v>220</v>
      </c>
      <c r="W143" s="274"/>
      <c r="X143" s="172"/>
      <c r="Y143" s="93"/>
      <c r="Z143" s="257" t="s">
        <v>54</v>
      </c>
      <c r="AA143" s="295"/>
      <c r="AB143" s="295"/>
      <c r="AC143" s="295">
        <f>Q143*U143</f>
        <v>595250</v>
      </c>
      <c r="AD143" s="64" t="s">
        <v>25</v>
      </c>
      <c r="AE143" s="17"/>
    </row>
    <row r="144" spans="1:32" s="16" customFormat="1" ht="24" customHeight="1">
      <c r="A144" s="52"/>
      <c r="B144" s="52"/>
      <c r="C144" s="52"/>
      <c r="D144" s="219"/>
      <c r="E144" s="137"/>
      <c r="F144" s="137"/>
      <c r="G144" s="137"/>
      <c r="H144" s="137"/>
      <c r="I144" s="137"/>
      <c r="J144" s="137"/>
      <c r="K144" s="137"/>
      <c r="L144" s="88"/>
      <c r="M144" s="178" t="s">
        <v>219</v>
      </c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  <c r="AC144" s="179">
        <v>671900</v>
      </c>
      <c r="AD144" s="180" t="s">
        <v>70</v>
      </c>
      <c r="AE144" s="17"/>
    </row>
    <row r="145" spans="1:31" s="16" customFormat="1" ht="24" customHeight="1">
      <c r="A145" s="52"/>
      <c r="B145" s="52"/>
      <c r="C145" s="52"/>
      <c r="D145" s="219"/>
      <c r="E145" s="137"/>
      <c r="F145" s="137"/>
      <c r="G145" s="137"/>
      <c r="H145" s="137"/>
      <c r="I145" s="137"/>
      <c r="J145" s="137"/>
      <c r="K145" s="137"/>
      <c r="L145" s="88"/>
      <c r="M145" s="178" t="s">
        <v>252</v>
      </c>
      <c r="N145" s="178"/>
      <c r="O145" s="178"/>
      <c r="P145" s="178"/>
      <c r="Q145" s="364">
        <v>0</v>
      </c>
      <c r="R145" s="178"/>
      <c r="S145" s="178" t="s">
        <v>245</v>
      </c>
      <c r="T145" s="61" t="s">
        <v>26</v>
      </c>
      <c r="U145" s="178">
        <v>1</v>
      </c>
      <c r="V145" s="178" t="s">
        <v>253</v>
      </c>
      <c r="W145" s="178"/>
      <c r="X145" s="178"/>
      <c r="Y145" s="178"/>
      <c r="Z145" s="178" t="s">
        <v>254</v>
      </c>
      <c r="AA145" s="178"/>
      <c r="AB145" s="178"/>
      <c r="AC145" s="179">
        <f>Q145*U145</f>
        <v>0</v>
      </c>
      <c r="AD145" s="180" t="s">
        <v>247</v>
      </c>
      <c r="AE145" s="17"/>
    </row>
    <row r="146" spans="1:31" s="16" customFormat="1" ht="24" customHeight="1">
      <c r="A146" s="52"/>
      <c r="B146" s="52"/>
      <c r="C146" s="52"/>
      <c r="D146" s="219"/>
      <c r="E146" s="137"/>
      <c r="F146" s="137"/>
      <c r="G146" s="137"/>
      <c r="H146" s="137"/>
      <c r="I146" s="137"/>
      <c r="J146" s="137"/>
      <c r="K146" s="137"/>
      <c r="L146" s="8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9"/>
      <c r="AD146" s="180"/>
      <c r="AE146" s="17"/>
    </row>
    <row r="147" spans="1:31" s="16" customFormat="1" ht="24" customHeight="1">
      <c r="A147" s="52"/>
      <c r="B147" s="52"/>
      <c r="C147" s="52"/>
      <c r="D147" s="219"/>
      <c r="E147" s="137"/>
      <c r="F147" s="137"/>
      <c r="G147" s="137"/>
      <c r="H147" s="137"/>
      <c r="I147" s="137"/>
      <c r="J147" s="137"/>
      <c r="K147" s="137"/>
      <c r="L147" s="88"/>
      <c r="M147" s="89" t="s">
        <v>221</v>
      </c>
      <c r="N147" s="145"/>
      <c r="O147" s="252"/>
      <c r="P147" s="34"/>
      <c r="Q147" s="34"/>
      <c r="R147" s="34"/>
      <c r="S147" s="34"/>
      <c r="T147" s="34"/>
      <c r="U147" s="34"/>
      <c r="V147" s="246" t="s">
        <v>141</v>
      </c>
      <c r="W147" s="246"/>
      <c r="X147" s="246"/>
      <c r="Y147" s="246"/>
      <c r="Z147" s="246"/>
      <c r="AA147" s="246"/>
      <c r="AB147" s="90"/>
      <c r="AC147" s="90">
        <f>SUM(AC148:AC151)</f>
        <v>770900</v>
      </c>
      <c r="AD147" s="91" t="s">
        <v>25</v>
      </c>
      <c r="AE147" s="17"/>
    </row>
    <row r="148" spans="1:31" s="16" customFormat="1" ht="24" customHeight="1">
      <c r="A148" s="52"/>
      <c r="B148" s="52"/>
      <c r="C148" s="52"/>
      <c r="D148" s="219"/>
      <c r="E148" s="137"/>
      <c r="F148" s="137"/>
      <c r="G148" s="137"/>
      <c r="H148" s="137"/>
      <c r="I148" s="137"/>
      <c r="J148" s="137"/>
      <c r="K148" s="137"/>
      <c r="L148" s="88"/>
      <c r="M148" s="178" t="s">
        <v>361</v>
      </c>
      <c r="N148" s="178"/>
      <c r="O148" s="178"/>
      <c r="P148" s="178"/>
      <c r="Q148" s="355">
        <v>13600</v>
      </c>
      <c r="R148" s="355"/>
      <c r="S148" s="355" t="s">
        <v>58</v>
      </c>
      <c r="T148" s="356" t="s">
        <v>59</v>
      </c>
      <c r="U148" s="355">
        <v>5</v>
      </c>
      <c r="V148" s="355" t="s">
        <v>57</v>
      </c>
      <c r="W148" s="356" t="s">
        <v>59</v>
      </c>
      <c r="X148" s="355">
        <v>1</v>
      </c>
      <c r="Y148" s="355" t="s">
        <v>80</v>
      </c>
      <c r="Z148" s="355" t="s">
        <v>54</v>
      </c>
      <c r="AA148" s="355"/>
      <c r="AB148" s="85"/>
      <c r="AC148" s="85">
        <f t="shared" ref="AC148" si="19">Q148*U148*X148</f>
        <v>68000</v>
      </c>
      <c r="AD148" s="64" t="s">
        <v>25</v>
      </c>
      <c r="AE148" s="17"/>
    </row>
    <row r="149" spans="1:31" s="16" customFormat="1" ht="24" customHeight="1">
      <c r="A149" s="52"/>
      <c r="B149" s="52"/>
      <c r="C149" s="52"/>
      <c r="D149" s="219"/>
      <c r="E149" s="137"/>
      <c r="F149" s="137"/>
      <c r="G149" s="137"/>
      <c r="H149" s="137"/>
      <c r="I149" s="137"/>
      <c r="J149" s="137"/>
      <c r="K149" s="137"/>
      <c r="L149" s="88"/>
      <c r="M149" s="178" t="s">
        <v>362</v>
      </c>
      <c r="N149" s="178"/>
      <c r="O149" s="178"/>
      <c r="P149" s="178"/>
      <c r="Q149" s="295">
        <v>10000</v>
      </c>
      <c r="R149" s="322"/>
      <c r="S149" s="295" t="s">
        <v>58</v>
      </c>
      <c r="T149" s="296" t="s">
        <v>59</v>
      </c>
      <c r="U149" s="295">
        <v>5</v>
      </c>
      <c r="V149" s="295" t="s">
        <v>208</v>
      </c>
      <c r="W149" s="296" t="s">
        <v>59</v>
      </c>
      <c r="X149" s="295">
        <v>6</v>
      </c>
      <c r="Y149" s="295" t="s">
        <v>220</v>
      </c>
      <c r="Z149" s="295" t="s">
        <v>54</v>
      </c>
      <c r="AA149" s="295"/>
      <c r="AB149" s="85"/>
      <c r="AC149" s="85">
        <f t="shared" ref="AC149" si="20">Q149*U149*X149</f>
        <v>300000</v>
      </c>
      <c r="AD149" s="64" t="s">
        <v>25</v>
      </c>
      <c r="AE149" s="17"/>
    </row>
    <row r="150" spans="1:31" s="16" customFormat="1" ht="24" customHeight="1">
      <c r="A150" s="52"/>
      <c r="B150" s="52"/>
      <c r="C150" s="52"/>
      <c r="D150" s="219"/>
      <c r="E150" s="137"/>
      <c r="F150" s="137"/>
      <c r="G150" s="137"/>
      <c r="H150" s="137"/>
      <c r="I150" s="137"/>
      <c r="J150" s="137"/>
      <c r="K150" s="137"/>
      <c r="L150" s="88"/>
      <c r="M150" s="178" t="s">
        <v>363</v>
      </c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9">
        <v>212900</v>
      </c>
      <c r="AD150" s="180" t="s">
        <v>70</v>
      </c>
      <c r="AE150" s="17"/>
    </row>
    <row r="151" spans="1:31" s="16" customFormat="1" ht="24" customHeight="1">
      <c r="A151" s="52"/>
      <c r="B151" s="52"/>
      <c r="C151" s="52"/>
      <c r="D151" s="219"/>
      <c r="E151" s="137"/>
      <c r="F151" s="137"/>
      <c r="G151" s="137"/>
      <c r="H151" s="137"/>
      <c r="I151" s="137"/>
      <c r="J151" s="137"/>
      <c r="K151" s="137"/>
      <c r="L151" s="88"/>
      <c r="M151" s="178" t="s">
        <v>364</v>
      </c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9">
        <v>190000</v>
      </c>
      <c r="AD151" s="180" t="s">
        <v>70</v>
      </c>
      <c r="AE151" s="17"/>
    </row>
    <row r="152" spans="1:31" s="16" customFormat="1" ht="24" customHeight="1">
      <c r="A152" s="66"/>
      <c r="B152" s="66"/>
      <c r="C152" s="139"/>
      <c r="D152" s="220"/>
      <c r="E152" s="140"/>
      <c r="F152" s="140"/>
      <c r="G152" s="140"/>
      <c r="H152" s="140"/>
      <c r="I152" s="140"/>
      <c r="J152" s="140"/>
      <c r="K152" s="137"/>
      <c r="L152" s="88"/>
      <c r="M152" s="56"/>
      <c r="N152" s="56"/>
      <c r="O152" s="56"/>
      <c r="P152" s="56"/>
      <c r="Q152" s="56"/>
      <c r="R152" s="323"/>
      <c r="S152" s="57"/>
      <c r="T152" s="57"/>
      <c r="U152" s="57"/>
      <c r="V152" s="57"/>
      <c r="W152" s="57"/>
      <c r="X152" s="176"/>
      <c r="Y152" s="176"/>
      <c r="Z152" s="176"/>
      <c r="AA152" s="176"/>
      <c r="AB152" s="177"/>
      <c r="AC152" s="57"/>
      <c r="AD152" s="64"/>
      <c r="AE152" s="17"/>
    </row>
    <row r="153" spans="1:31" s="12" customFormat="1" ht="21" customHeight="1">
      <c r="A153" s="141" t="s">
        <v>163</v>
      </c>
      <c r="B153" s="433" t="s">
        <v>21</v>
      </c>
      <c r="C153" s="434"/>
      <c r="D153" s="239">
        <f>SUM(D154)</f>
        <v>7</v>
      </c>
      <c r="E153" s="239">
        <f>SUM(E154)</f>
        <v>6.89</v>
      </c>
      <c r="F153" s="239">
        <f t="shared" ref="F153:J153" si="21">SUM(F154)</f>
        <v>6.89</v>
      </c>
      <c r="G153" s="239">
        <f t="shared" si="21"/>
        <v>0</v>
      </c>
      <c r="H153" s="239">
        <f t="shared" si="21"/>
        <v>0</v>
      </c>
      <c r="I153" s="239">
        <v>0</v>
      </c>
      <c r="J153" s="239">
        <f t="shared" si="21"/>
        <v>0</v>
      </c>
      <c r="K153" s="239">
        <f>E153-D153</f>
        <v>-0.11000000000000032</v>
      </c>
      <c r="L153" s="240">
        <f>IF(D153=0,0,K153/D153)</f>
        <v>-1.571428571428576E-2</v>
      </c>
      <c r="M153" s="123" t="s">
        <v>166</v>
      </c>
      <c r="N153" s="241"/>
      <c r="O153" s="241"/>
      <c r="P153" s="241"/>
      <c r="Q153" s="242"/>
      <c r="R153" s="320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>
        <f>SUM(AC154)</f>
        <v>6890</v>
      </c>
      <c r="AD153" s="243" t="s">
        <v>25</v>
      </c>
      <c r="AE153" s="1"/>
    </row>
    <row r="154" spans="1:31" s="12" customFormat="1" ht="21" customHeight="1">
      <c r="A154" s="269" t="s">
        <v>165</v>
      </c>
      <c r="B154" s="52" t="s">
        <v>163</v>
      </c>
      <c r="C154" s="52" t="s">
        <v>163</v>
      </c>
      <c r="D154" s="219">
        <v>7</v>
      </c>
      <c r="E154" s="137">
        <f>AC154/1000</f>
        <v>6.89</v>
      </c>
      <c r="F154" s="137">
        <f>SUM(AC155:AC155)/1000</f>
        <v>6.89</v>
      </c>
      <c r="G154" s="137">
        <v>0</v>
      </c>
      <c r="H154" s="137">
        <v>0</v>
      </c>
      <c r="I154" s="137">
        <v>0</v>
      </c>
      <c r="J154" s="137">
        <v>0</v>
      </c>
      <c r="K154" s="137">
        <f>E154-D154</f>
        <v>-0.11000000000000032</v>
      </c>
      <c r="L154" s="88">
        <f>IF(D154=0,0,K154/D154)</f>
        <v>-1.571428571428576E-2</v>
      </c>
      <c r="M154" s="145" t="s">
        <v>167</v>
      </c>
      <c r="N154" s="38"/>
      <c r="O154" s="38"/>
      <c r="P154" s="38"/>
      <c r="Q154" s="38"/>
      <c r="R154" s="260"/>
      <c r="S154" s="39"/>
      <c r="T154" s="39"/>
      <c r="U154" s="39"/>
      <c r="V154" s="39"/>
      <c r="W154" s="39"/>
      <c r="X154" s="242" t="s">
        <v>147</v>
      </c>
      <c r="Y154" s="126"/>
      <c r="Z154" s="126"/>
      <c r="AA154" s="126"/>
      <c r="AB154" s="147"/>
      <c r="AC154" s="147">
        <f>AC155:AC155</f>
        <v>6890</v>
      </c>
      <c r="AD154" s="148" t="s">
        <v>25</v>
      </c>
      <c r="AE154" s="1"/>
    </row>
    <row r="155" spans="1:31" ht="21" customHeight="1">
      <c r="A155" s="51"/>
      <c r="B155" s="52" t="s">
        <v>164</v>
      </c>
      <c r="C155" s="52" t="s">
        <v>164</v>
      </c>
      <c r="D155" s="219"/>
      <c r="E155" s="137"/>
      <c r="F155" s="137"/>
      <c r="G155" s="137"/>
      <c r="H155" s="137"/>
      <c r="I155" s="137"/>
      <c r="J155" s="137"/>
      <c r="K155" s="137"/>
      <c r="L155" s="88"/>
      <c r="M155" s="332" t="s">
        <v>222</v>
      </c>
      <c r="N155" s="332"/>
      <c r="O155" s="332"/>
      <c r="P155" s="332"/>
      <c r="Q155" s="331"/>
      <c r="R155" s="331"/>
      <c r="S155" s="331"/>
      <c r="T155" s="331"/>
      <c r="U155" s="331"/>
      <c r="V155" s="331"/>
      <c r="W155" s="331"/>
      <c r="X155" s="331"/>
      <c r="Y155" s="331"/>
      <c r="Z155" s="331"/>
      <c r="AA155" s="331"/>
      <c r="AB155" s="331"/>
      <c r="AC155" s="331">
        <v>6890</v>
      </c>
      <c r="AD155" s="64" t="s">
        <v>25</v>
      </c>
    </row>
    <row r="156" spans="1:31" ht="21" customHeight="1" thickBot="1">
      <c r="A156" s="341"/>
      <c r="B156" s="342"/>
      <c r="C156" s="342"/>
      <c r="D156" s="343"/>
      <c r="E156" s="343"/>
      <c r="F156" s="343"/>
      <c r="G156" s="343"/>
      <c r="H156" s="343"/>
      <c r="I156" s="343"/>
      <c r="J156" s="343"/>
      <c r="K156" s="343"/>
      <c r="L156" s="344"/>
      <c r="M156" s="345"/>
      <c r="N156" s="338"/>
      <c r="O156" s="338"/>
      <c r="P156" s="338"/>
      <c r="Q156" s="339"/>
      <c r="R156" s="339"/>
      <c r="S156" s="339"/>
      <c r="T156" s="339"/>
      <c r="U156" s="339"/>
      <c r="V156" s="339"/>
      <c r="W156" s="339"/>
      <c r="X156" s="339"/>
      <c r="Y156" s="339"/>
      <c r="Z156" s="339"/>
      <c r="AA156" s="339"/>
      <c r="AB156" s="339"/>
      <c r="AC156" s="339"/>
      <c r="AD156" s="340"/>
    </row>
  </sheetData>
  <mergeCells count="14">
    <mergeCell ref="B153:C153"/>
    <mergeCell ref="B103:C103"/>
    <mergeCell ref="B88:C88"/>
    <mergeCell ref="U84:V84"/>
    <mergeCell ref="U59:V59"/>
    <mergeCell ref="U64:V64"/>
    <mergeCell ref="M2:AD3"/>
    <mergeCell ref="A1:C1"/>
    <mergeCell ref="B5:C5"/>
    <mergeCell ref="A4:C4"/>
    <mergeCell ref="K2:L2"/>
    <mergeCell ref="A2:C2"/>
    <mergeCell ref="D2:D3"/>
    <mergeCell ref="E2:J2"/>
  </mergeCells>
  <phoneticPr fontId="5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scaleWithDoc="0" alignWithMargins="0">
    <oddFooter>&amp;C&amp;P/&amp;N&amp;R&amp;9장애인공동생활가정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49"/>
  <sheetViews>
    <sheetView topLeftCell="B1" zoomScale="85" zoomScaleNormal="85" zoomScaleSheetLayoutView="85" workbookViewId="0">
      <selection activeCell="Z15" sqref="Z15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" style="10" bestFit="1" customWidth="1"/>
    <col min="8" max="8" width="6.109375" style="10" bestFit="1" customWidth="1"/>
    <col min="9" max="9" width="6.109375" style="10" customWidth="1"/>
    <col min="10" max="10" width="6.88671875" style="10" bestFit="1" customWidth="1"/>
    <col min="11" max="11" width="7.44140625" style="11" customWidth="1"/>
    <col min="12" max="12" width="6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1.33203125" style="2" bestFit="1" customWidth="1"/>
    <col min="29" max="29" width="2.77734375" style="2" customWidth="1"/>
    <col min="30" max="30" width="13.77734375" style="6"/>
    <col min="31" max="16384" width="13.77734375" style="1"/>
  </cols>
  <sheetData>
    <row r="1" spans="1:30" s="12" customFormat="1" ht="19.5" customHeight="1" thickBot="1">
      <c r="A1" s="421" t="s">
        <v>231</v>
      </c>
      <c r="B1" s="421"/>
      <c r="C1" s="421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0" s="3" customFormat="1" ht="27" customHeight="1">
      <c r="A2" s="427" t="s">
        <v>68</v>
      </c>
      <c r="B2" s="428"/>
      <c r="C2" s="428"/>
      <c r="D2" s="429" t="s">
        <v>400</v>
      </c>
      <c r="E2" s="431" t="s">
        <v>399</v>
      </c>
      <c r="F2" s="432"/>
      <c r="G2" s="432"/>
      <c r="H2" s="432"/>
      <c r="I2" s="432"/>
      <c r="J2" s="432"/>
      <c r="K2" s="426" t="s">
        <v>23</v>
      </c>
      <c r="L2" s="426"/>
      <c r="M2" s="426" t="s">
        <v>56</v>
      </c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47"/>
      <c r="AD2" s="9"/>
    </row>
    <row r="3" spans="1:30" s="3" customFormat="1" ht="45.75" customHeight="1" thickBot="1">
      <c r="A3" s="25" t="s">
        <v>1</v>
      </c>
      <c r="B3" s="26" t="s">
        <v>2</v>
      </c>
      <c r="C3" s="26" t="s">
        <v>3</v>
      </c>
      <c r="D3" s="430"/>
      <c r="E3" s="203" t="s">
        <v>134</v>
      </c>
      <c r="F3" s="275" t="s">
        <v>169</v>
      </c>
      <c r="G3" s="278" t="s">
        <v>180</v>
      </c>
      <c r="H3" s="203" t="s">
        <v>122</v>
      </c>
      <c r="I3" s="330" t="s">
        <v>312</v>
      </c>
      <c r="J3" s="203" t="s">
        <v>124</v>
      </c>
      <c r="K3" s="212" t="s">
        <v>135</v>
      </c>
      <c r="L3" s="27" t="s">
        <v>4</v>
      </c>
      <c r="M3" s="448"/>
      <c r="N3" s="448"/>
      <c r="O3" s="448"/>
      <c r="P3" s="448"/>
      <c r="Q3" s="448"/>
      <c r="R3" s="448"/>
      <c r="S3" s="448"/>
      <c r="T3" s="448"/>
      <c r="U3" s="448"/>
      <c r="V3" s="448"/>
      <c r="W3" s="448"/>
      <c r="X3" s="448"/>
      <c r="Y3" s="448"/>
      <c r="Z3" s="448"/>
      <c r="AA3" s="448"/>
      <c r="AB3" s="448"/>
      <c r="AC3" s="449"/>
      <c r="AD3" s="9"/>
    </row>
    <row r="4" spans="1:30" s="3" customFormat="1" ht="19.5" customHeight="1">
      <c r="A4" s="450" t="s">
        <v>24</v>
      </c>
      <c r="B4" s="451"/>
      <c r="C4" s="452"/>
      <c r="D4" s="28">
        <f>D5+D7+D17+D25+D31+D22</f>
        <v>65459</v>
      </c>
      <c r="E4" s="85">
        <f>(F4+G4+H4+I4+J4)</f>
        <v>65081.275999999998</v>
      </c>
      <c r="F4" s="28">
        <f>F5+F7+F17+F25+F31</f>
        <v>45849</v>
      </c>
      <c r="G4" s="28">
        <f>G5+G7+G17+G25+G31</f>
        <v>4800</v>
      </c>
      <c r="H4" s="28">
        <f>H5+H7+H17+H25+H31</f>
        <v>9413.4660000000003</v>
      </c>
      <c r="I4" s="28">
        <f>I5+I7+I17+I22+I25+I31</f>
        <v>200</v>
      </c>
      <c r="J4" s="28">
        <f>J5+J7+J17+J25+J31</f>
        <v>4818.8100000000004</v>
      </c>
      <c r="K4" s="29">
        <f>E4-D4</f>
        <v>-377.72400000000198</v>
      </c>
      <c r="L4" s="45">
        <f>IF(D4=0,0,K4/D4)</f>
        <v>-5.7703906261935252E-3</v>
      </c>
      <c r="M4" s="30" t="s">
        <v>226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SUM(AB5,AB7,AB17,AB25,AB31,AB22)</f>
        <v>65081166</v>
      </c>
      <c r="AC4" s="33" t="s">
        <v>225</v>
      </c>
      <c r="AD4" s="9"/>
    </row>
    <row r="5" spans="1:30" ht="21" customHeight="1" thickBot="1">
      <c r="A5" s="41" t="s">
        <v>61</v>
      </c>
      <c r="B5" s="42" t="s">
        <v>61</v>
      </c>
      <c r="C5" s="204" t="s">
        <v>133</v>
      </c>
      <c r="D5" s="43">
        <v>9000</v>
      </c>
      <c r="E5" s="43">
        <f>SUM(F5:J5)</f>
        <v>9000</v>
      </c>
      <c r="F5" s="43">
        <v>0</v>
      </c>
      <c r="G5" s="43">
        <v>0</v>
      </c>
      <c r="H5" s="43">
        <f>AB5/1000</f>
        <v>9000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64</v>
      </c>
      <c r="N5" s="201"/>
      <c r="O5" s="47"/>
      <c r="P5" s="47"/>
      <c r="Q5" s="47"/>
      <c r="R5" s="47"/>
      <c r="S5" s="47"/>
      <c r="T5" s="48"/>
      <c r="U5" s="48" t="s">
        <v>65</v>
      </c>
      <c r="V5" s="48"/>
      <c r="W5" s="48"/>
      <c r="X5" s="48"/>
      <c r="Y5" s="48"/>
      <c r="Z5" s="48"/>
      <c r="AA5" s="49"/>
      <c r="AB5" s="49">
        <f>AB6</f>
        <v>9000000</v>
      </c>
      <c r="AC5" s="50" t="s">
        <v>25</v>
      </c>
    </row>
    <row r="6" spans="1:30" ht="21" customHeight="1">
      <c r="A6" s="51" t="s">
        <v>62</v>
      </c>
      <c r="B6" s="52" t="s">
        <v>123</v>
      </c>
      <c r="C6" s="53" t="s">
        <v>123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66</v>
      </c>
      <c r="N6" s="60"/>
      <c r="O6" s="61"/>
      <c r="P6" s="61"/>
      <c r="Q6" s="206">
        <v>150000</v>
      </c>
      <c r="R6" s="206" t="s">
        <v>58</v>
      </c>
      <c r="S6" s="207" t="s">
        <v>59</v>
      </c>
      <c r="T6" s="206">
        <v>5</v>
      </c>
      <c r="U6" s="206" t="s">
        <v>57</v>
      </c>
      <c r="V6" s="207" t="s">
        <v>59</v>
      </c>
      <c r="W6" s="62">
        <v>12</v>
      </c>
      <c r="X6" s="202" t="s">
        <v>0</v>
      </c>
      <c r="Y6" s="202" t="s">
        <v>54</v>
      </c>
      <c r="Z6" s="202"/>
      <c r="AA6" s="206"/>
      <c r="AB6" s="206">
        <f>Q6*T6*W6</f>
        <v>9000000</v>
      </c>
      <c r="AC6" s="64" t="s">
        <v>58</v>
      </c>
    </row>
    <row r="7" spans="1:30" s="12" customFormat="1" ht="19.5" customHeight="1">
      <c r="A7" s="41" t="s">
        <v>30</v>
      </c>
      <c r="B7" s="444" t="s">
        <v>17</v>
      </c>
      <c r="C7" s="445"/>
      <c r="D7" s="254">
        <f>D8</f>
        <v>50633</v>
      </c>
      <c r="E7" s="254">
        <f t="shared" ref="E7:J7" si="0">E8</f>
        <v>50634</v>
      </c>
      <c r="F7" s="254">
        <f t="shared" si="0"/>
        <v>45834</v>
      </c>
      <c r="G7" s="254">
        <f t="shared" si="0"/>
        <v>4800</v>
      </c>
      <c r="H7" s="254">
        <f t="shared" si="0"/>
        <v>0</v>
      </c>
      <c r="I7" s="254">
        <v>0</v>
      </c>
      <c r="J7" s="254">
        <f t="shared" si="0"/>
        <v>0</v>
      </c>
      <c r="K7" s="255">
        <f>E7-D7</f>
        <v>1</v>
      </c>
      <c r="L7" s="256">
        <f>IF(D7=0,0,K7/D7)</f>
        <v>1.9749965437560483E-5</v>
      </c>
      <c r="M7" s="67" t="s">
        <v>69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50634000</v>
      </c>
      <c r="AC7" s="50" t="s">
        <v>25</v>
      </c>
      <c r="AD7" s="6"/>
    </row>
    <row r="8" spans="1:30" ht="21" customHeight="1" thickBot="1">
      <c r="A8" s="51"/>
      <c r="B8" s="42" t="s">
        <v>71</v>
      </c>
      <c r="C8" s="42" t="s">
        <v>72</v>
      </c>
      <c r="D8" s="43">
        <f>D9</f>
        <v>50633</v>
      </c>
      <c r="E8" s="43">
        <f t="shared" ref="E8:J8" si="1">E9</f>
        <v>50634</v>
      </c>
      <c r="F8" s="43">
        <f t="shared" si="1"/>
        <v>45834</v>
      </c>
      <c r="G8" s="43">
        <f t="shared" si="1"/>
        <v>4800</v>
      </c>
      <c r="H8" s="43">
        <f t="shared" si="1"/>
        <v>0</v>
      </c>
      <c r="I8" s="254">
        <v>0</v>
      </c>
      <c r="J8" s="43">
        <f t="shared" si="1"/>
        <v>0</v>
      </c>
      <c r="K8" s="44">
        <f>E8-D8</f>
        <v>1</v>
      </c>
      <c r="L8" s="45">
        <f>IF(D8=0,0,K8/D8)</f>
        <v>1.9749965437560483E-5</v>
      </c>
      <c r="M8" s="71" t="s">
        <v>73</v>
      </c>
      <c r="N8" s="72"/>
      <c r="O8" s="73"/>
      <c r="P8" s="73"/>
      <c r="Q8" s="73"/>
      <c r="R8" s="73"/>
      <c r="S8" s="73"/>
      <c r="T8" s="74"/>
      <c r="U8" s="75" t="s">
        <v>74</v>
      </c>
      <c r="V8" s="75"/>
      <c r="W8" s="75"/>
      <c r="X8" s="75"/>
      <c r="Y8" s="75"/>
      <c r="Z8" s="75"/>
      <c r="AA8" s="76"/>
      <c r="AB8" s="76">
        <f>AB9</f>
        <v>50634000</v>
      </c>
      <c r="AC8" s="77" t="s">
        <v>70</v>
      </c>
    </row>
    <row r="9" spans="1:30" ht="21" customHeight="1" thickBot="1">
      <c r="A9" s="51"/>
      <c r="B9" s="52" t="s">
        <v>75</v>
      </c>
      <c r="C9" s="42" t="s">
        <v>169</v>
      </c>
      <c r="D9" s="43">
        <v>50633</v>
      </c>
      <c r="E9" s="43">
        <f>AB9/1000</f>
        <v>50634</v>
      </c>
      <c r="F9" s="43">
        <f>(AB10+AB11)/1000</f>
        <v>45834</v>
      </c>
      <c r="G9" s="43">
        <f>SUM(AB12:AB15)/1000</f>
        <v>4800</v>
      </c>
      <c r="H9" s="43">
        <v>0</v>
      </c>
      <c r="I9" s="254">
        <v>0</v>
      </c>
      <c r="J9" s="43">
        <v>0</v>
      </c>
      <c r="K9" s="44">
        <f>E9-D9</f>
        <v>1</v>
      </c>
      <c r="L9" s="45">
        <f>IF(D9=0,0,K9/D9)</f>
        <v>1.9749965437560483E-5</v>
      </c>
      <c r="M9" s="209" t="s">
        <v>365</v>
      </c>
      <c r="N9" s="100"/>
      <c r="O9" s="101"/>
      <c r="P9" s="101"/>
      <c r="Q9" s="101"/>
      <c r="R9" s="101"/>
      <c r="S9" s="101"/>
      <c r="T9" s="102"/>
      <c r="U9" s="103" t="s">
        <v>76</v>
      </c>
      <c r="V9" s="103"/>
      <c r="W9" s="103"/>
      <c r="X9" s="103"/>
      <c r="Y9" s="103"/>
      <c r="Z9" s="103"/>
      <c r="AA9" s="104"/>
      <c r="AB9" s="104">
        <f>SUM(AB10:AB15)</f>
        <v>50634000</v>
      </c>
      <c r="AC9" s="105" t="s">
        <v>25</v>
      </c>
    </row>
    <row r="10" spans="1:30" ht="21" customHeight="1">
      <c r="A10" s="51"/>
      <c r="B10" s="52"/>
      <c r="C10" s="52"/>
      <c r="D10" s="54"/>
      <c r="E10" s="54"/>
      <c r="F10" s="54"/>
      <c r="G10" s="54"/>
      <c r="H10" s="54"/>
      <c r="I10" s="363"/>
      <c r="J10" s="54"/>
      <c r="K10" s="55"/>
      <c r="L10" s="37"/>
      <c r="M10" s="286" t="s">
        <v>366</v>
      </c>
      <c r="N10" s="284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7"/>
      <c r="AB10" s="288">
        <v>13750200</v>
      </c>
      <c r="AC10" s="289" t="s">
        <v>58</v>
      </c>
    </row>
    <row r="11" spans="1:30" ht="21" customHeight="1">
      <c r="A11" s="51"/>
      <c r="B11" s="52"/>
      <c r="C11" s="52"/>
      <c r="D11" s="54"/>
      <c r="E11" s="54"/>
      <c r="F11" s="54"/>
      <c r="G11" s="54"/>
      <c r="H11" s="54"/>
      <c r="I11" s="54"/>
      <c r="J11" s="54"/>
      <c r="K11" s="55"/>
      <c r="L11" s="37"/>
      <c r="M11" s="286" t="s">
        <v>367</v>
      </c>
      <c r="N11" s="284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7"/>
      <c r="AB11" s="288">
        <v>32083800</v>
      </c>
      <c r="AC11" s="289" t="s">
        <v>171</v>
      </c>
    </row>
    <row r="12" spans="1:30" ht="21" customHeight="1">
      <c r="A12" s="51"/>
      <c r="B12" s="52"/>
      <c r="C12" s="52"/>
      <c r="D12" s="54"/>
      <c r="E12" s="54"/>
      <c r="F12" s="54"/>
      <c r="G12" s="54"/>
      <c r="H12" s="54"/>
      <c r="I12" s="54"/>
      <c r="J12" s="54"/>
      <c r="K12" s="55"/>
      <c r="L12" s="37"/>
      <c r="M12" s="286" t="s">
        <v>371</v>
      </c>
      <c r="N12" s="284"/>
      <c r="O12" s="285"/>
      <c r="P12" s="285"/>
      <c r="Q12" s="276">
        <v>45000</v>
      </c>
      <c r="R12" s="276" t="s">
        <v>58</v>
      </c>
      <c r="S12" s="277" t="s">
        <v>59</v>
      </c>
      <c r="T12" s="276">
        <v>1</v>
      </c>
      <c r="U12" s="276" t="s">
        <v>57</v>
      </c>
      <c r="V12" s="277" t="s">
        <v>59</v>
      </c>
      <c r="W12" s="276">
        <v>12</v>
      </c>
      <c r="X12" s="276" t="s">
        <v>0</v>
      </c>
      <c r="Y12" s="276" t="s">
        <v>54</v>
      </c>
      <c r="Z12" s="276"/>
      <c r="AA12" s="85"/>
      <c r="AB12" s="85">
        <f>ROUNDUP(Q12*T12*W12,-3)</f>
        <v>540000</v>
      </c>
      <c r="AC12" s="64" t="s">
        <v>58</v>
      </c>
    </row>
    <row r="13" spans="1:30" ht="21" customHeight="1">
      <c r="A13" s="51"/>
      <c r="B13" s="52"/>
      <c r="C13" s="52"/>
      <c r="D13" s="54"/>
      <c r="E13" s="54"/>
      <c r="F13" s="54"/>
      <c r="G13" s="54"/>
      <c r="H13" s="54"/>
      <c r="I13" s="54"/>
      <c r="J13" s="54"/>
      <c r="K13" s="55"/>
      <c r="L13" s="37"/>
      <c r="M13" s="286" t="s">
        <v>370</v>
      </c>
      <c r="N13" s="284"/>
      <c r="O13" s="285"/>
      <c r="P13" s="285"/>
      <c r="Q13" s="357">
        <v>105000</v>
      </c>
      <c r="R13" s="357" t="s">
        <v>58</v>
      </c>
      <c r="S13" s="358" t="s">
        <v>59</v>
      </c>
      <c r="T13" s="357">
        <v>1</v>
      </c>
      <c r="U13" s="357" t="s">
        <v>57</v>
      </c>
      <c r="V13" s="358" t="s">
        <v>59</v>
      </c>
      <c r="W13" s="357">
        <v>12</v>
      </c>
      <c r="X13" s="357" t="s">
        <v>372</v>
      </c>
      <c r="Y13" s="357" t="s">
        <v>54</v>
      </c>
      <c r="Z13" s="357"/>
      <c r="AA13" s="85"/>
      <c r="AB13" s="85">
        <f>ROUNDUP(Q13*T13*W13,-3)</f>
        <v>1260000</v>
      </c>
      <c r="AC13" s="64" t="s">
        <v>58</v>
      </c>
    </row>
    <row r="14" spans="1:30" ht="21" customHeight="1">
      <c r="A14" s="51"/>
      <c r="B14" s="52"/>
      <c r="C14" s="52"/>
      <c r="D14" s="54"/>
      <c r="E14" s="54"/>
      <c r="F14" s="54"/>
      <c r="G14" s="54"/>
      <c r="H14" s="54"/>
      <c r="I14" s="54"/>
      <c r="J14" s="54"/>
      <c r="K14" s="55"/>
      <c r="L14" s="37"/>
      <c r="M14" s="286" t="s">
        <v>369</v>
      </c>
      <c r="N14" s="290"/>
      <c r="O14" s="291"/>
      <c r="P14" s="291"/>
      <c r="Q14" s="276"/>
      <c r="R14" s="276"/>
      <c r="S14" s="277"/>
      <c r="T14" s="276"/>
      <c r="U14" s="276"/>
      <c r="V14" s="277"/>
      <c r="W14" s="276"/>
      <c r="X14" s="276"/>
      <c r="Y14" s="276"/>
      <c r="Z14" s="276"/>
      <c r="AA14" s="85"/>
      <c r="AB14" s="85">
        <v>900000</v>
      </c>
      <c r="AC14" s="64" t="s">
        <v>170</v>
      </c>
    </row>
    <row r="15" spans="1:30" ht="21" customHeight="1">
      <c r="A15" s="51"/>
      <c r="B15" s="52"/>
      <c r="C15" s="52"/>
      <c r="D15" s="54"/>
      <c r="E15" s="54"/>
      <c r="F15" s="54"/>
      <c r="G15" s="54"/>
      <c r="H15" s="54"/>
      <c r="I15" s="54"/>
      <c r="J15" s="54"/>
      <c r="K15" s="55"/>
      <c r="L15" s="37"/>
      <c r="M15" s="286" t="s">
        <v>368</v>
      </c>
      <c r="N15" s="290"/>
      <c r="O15" s="291"/>
      <c r="P15" s="291"/>
      <c r="Q15" s="357"/>
      <c r="R15" s="357"/>
      <c r="S15" s="358"/>
      <c r="T15" s="357"/>
      <c r="U15" s="357"/>
      <c r="V15" s="358"/>
      <c r="W15" s="357"/>
      <c r="X15" s="357"/>
      <c r="Y15" s="357"/>
      <c r="Z15" s="357"/>
      <c r="AA15" s="85"/>
      <c r="AB15" s="85">
        <v>2100000</v>
      </c>
      <c r="AC15" s="64" t="s">
        <v>58</v>
      </c>
    </row>
    <row r="16" spans="1:30" s="12" customFormat="1" ht="19.5" customHeight="1">
      <c r="A16" s="65"/>
      <c r="B16" s="66"/>
      <c r="C16" s="52"/>
      <c r="D16" s="54"/>
      <c r="E16" s="54"/>
      <c r="F16" s="54"/>
      <c r="G16" s="54"/>
      <c r="H16" s="54"/>
      <c r="I16" s="54"/>
      <c r="J16" s="54"/>
      <c r="K16" s="55"/>
      <c r="L16" s="88"/>
      <c r="M16" s="89"/>
      <c r="N16" s="98"/>
      <c r="O16" s="107"/>
      <c r="P16" s="107"/>
      <c r="Q16" s="98"/>
      <c r="R16" s="98"/>
      <c r="S16" s="98"/>
      <c r="T16" s="98"/>
      <c r="U16" s="98"/>
      <c r="V16" s="99"/>
      <c r="W16" s="99"/>
      <c r="X16" s="99"/>
      <c r="Y16" s="99"/>
      <c r="Z16" s="99"/>
      <c r="AA16" s="99"/>
      <c r="AB16" s="98"/>
      <c r="AC16" s="91"/>
      <c r="AD16" s="6"/>
    </row>
    <row r="17" spans="1:31" ht="21" customHeight="1" thickBot="1">
      <c r="A17" s="41" t="s">
        <v>81</v>
      </c>
      <c r="B17" s="42" t="s">
        <v>13</v>
      </c>
      <c r="C17" s="42" t="s">
        <v>127</v>
      </c>
      <c r="D17" s="43">
        <v>4819</v>
      </c>
      <c r="E17" s="43">
        <f>SUM(F17:J17)</f>
        <v>4818.8100000000004</v>
      </c>
      <c r="F17" s="43">
        <v>0</v>
      </c>
      <c r="G17" s="43">
        <v>0</v>
      </c>
      <c r="H17" s="43">
        <v>0</v>
      </c>
      <c r="I17" s="43">
        <v>0</v>
      </c>
      <c r="J17" s="43">
        <f>AB17/1000</f>
        <v>4818.8100000000004</v>
      </c>
      <c r="K17" s="44">
        <f>E17-D17</f>
        <v>-0.18999999999959982</v>
      </c>
      <c r="L17" s="45">
        <f>IF(D17=0,0,K17/D17)</f>
        <v>-3.942726706777336E-5</v>
      </c>
      <c r="M17" s="46" t="s">
        <v>31</v>
      </c>
      <c r="N17" s="114"/>
      <c r="O17" s="36"/>
      <c r="P17" s="36"/>
      <c r="Q17" s="36"/>
      <c r="R17" s="36"/>
      <c r="S17" s="36"/>
      <c r="T17" s="36"/>
      <c r="U17" s="115" t="s">
        <v>76</v>
      </c>
      <c r="V17" s="115"/>
      <c r="W17" s="115"/>
      <c r="X17" s="115"/>
      <c r="Y17" s="115"/>
      <c r="Z17" s="115"/>
      <c r="AA17" s="116"/>
      <c r="AB17" s="116">
        <f>SUM(AB18:AB20)</f>
        <v>4818810</v>
      </c>
      <c r="AC17" s="117" t="s">
        <v>25</v>
      </c>
      <c r="AD17" s="23"/>
      <c r="AE17" s="24"/>
    </row>
    <row r="18" spans="1:31" ht="21" customHeight="1">
      <c r="A18" s="51"/>
      <c r="B18" s="52"/>
      <c r="C18" s="52" t="s">
        <v>128</v>
      </c>
      <c r="D18" s="54"/>
      <c r="E18" s="54"/>
      <c r="F18" s="54"/>
      <c r="G18" s="54"/>
      <c r="H18" s="54"/>
      <c r="I18" s="54"/>
      <c r="J18" s="54"/>
      <c r="K18" s="55"/>
      <c r="L18" s="35"/>
      <c r="M18" s="277" t="s">
        <v>172</v>
      </c>
      <c r="N18" s="314" t="s">
        <v>229</v>
      </c>
      <c r="O18" s="276"/>
      <c r="P18" s="276"/>
      <c r="Q18" s="86">
        <v>1999000</v>
      </c>
      <c r="R18" s="87" t="s">
        <v>173</v>
      </c>
      <c r="S18" s="292">
        <v>25</v>
      </c>
      <c r="T18" s="92" t="s">
        <v>173</v>
      </c>
      <c r="U18" s="293">
        <v>1</v>
      </c>
      <c r="V18" s="294">
        <v>1.5</v>
      </c>
      <c r="W18" s="274" t="s">
        <v>174</v>
      </c>
      <c r="X18" s="274">
        <v>209</v>
      </c>
      <c r="Y18" s="274" t="s">
        <v>175</v>
      </c>
      <c r="Z18" s="276"/>
      <c r="AA18" s="85"/>
      <c r="AB18" s="85">
        <f>ROUNDDOWN(Q18*S18*V18/X18,-1)*U18</f>
        <v>358670</v>
      </c>
      <c r="AC18" s="64" t="s">
        <v>176</v>
      </c>
      <c r="AD18" s="23"/>
      <c r="AE18" s="24"/>
    </row>
    <row r="19" spans="1:31" ht="21" customHeight="1">
      <c r="A19" s="51"/>
      <c r="B19" s="52"/>
      <c r="C19" s="52"/>
      <c r="D19" s="54"/>
      <c r="E19" s="54"/>
      <c r="F19" s="54"/>
      <c r="G19" s="54"/>
      <c r="H19" s="54"/>
      <c r="I19" s="54"/>
      <c r="J19" s="54"/>
      <c r="K19" s="55"/>
      <c r="L19" s="35"/>
      <c r="M19" s="260"/>
      <c r="N19" s="314" t="s">
        <v>230</v>
      </c>
      <c r="O19" s="259"/>
      <c r="P19" s="259"/>
      <c r="Q19" s="86">
        <v>2072000</v>
      </c>
      <c r="R19" s="87" t="s">
        <v>173</v>
      </c>
      <c r="S19" s="292">
        <v>25</v>
      </c>
      <c r="T19" s="92" t="s">
        <v>173</v>
      </c>
      <c r="U19" s="293">
        <v>11</v>
      </c>
      <c r="V19" s="294">
        <v>1.5</v>
      </c>
      <c r="W19" s="274" t="s">
        <v>174</v>
      </c>
      <c r="X19" s="274">
        <v>209</v>
      </c>
      <c r="Y19" s="274" t="s">
        <v>175</v>
      </c>
      <c r="Z19" s="276"/>
      <c r="AA19" s="85"/>
      <c r="AB19" s="85">
        <f>ROUNDDOWN(Q19*S19*V19/X19,-1)*U19</f>
        <v>4089470</v>
      </c>
      <c r="AC19" s="64" t="s">
        <v>176</v>
      </c>
      <c r="AD19" s="23"/>
      <c r="AE19" s="24"/>
    </row>
    <row r="20" spans="1:31" ht="21" customHeight="1">
      <c r="A20" s="51"/>
      <c r="B20" s="52"/>
      <c r="C20" s="52"/>
      <c r="D20" s="54"/>
      <c r="E20" s="54"/>
      <c r="F20" s="54"/>
      <c r="G20" s="54"/>
      <c r="H20" s="54"/>
      <c r="I20" s="54"/>
      <c r="J20" s="54"/>
      <c r="K20" s="55"/>
      <c r="L20" s="35"/>
      <c r="M20" s="314" t="s">
        <v>228</v>
      </c>
      <c r="N20" s="260"/>
      <c r="O20" s="259"/>
      <c r="P20" s="259"/>
      <c r="Q20" s="86">
        <f>AB18+AB19</f>
        <v>4448140</v>
      </c>
      <c r="R20" s="87" t="s">
        <v>59</v>
      </c>
      <c r="S20" s="292">
        <v>1</v>
      </c>
      <c r="T20" s="92" t="s">
        <v>59</v>
      </c>
      <c r="U20" s="293">
        <v>1</v>
      </c>
      <c r="V20" s="294">
        <v>1</v>
      </c>
      <c r="W20" s="274" t="s">
        <v>78</v>
      </c>
      <c r="X20" s="274">
        <v>12</v>
      </c>
      <c r="Y20" s="274" t="s">
        <v>227</v>
      </c>
      <c r="Z20" s="313"/>
      <c r="AA20" s="85"/>
      <c r="AB20" s="85">
        <f>ROUNDDOWN(Q20*S20*V20/X20,-1)*U20</f>
        <v>370670</v>
      </c>
      <c r="AC20" s="64" t="s">
        <v>58</v>
      </c>
      <c r="AD20" s="23"/>
      <c r="AE20" s="24"/>
    </row>
    <row r="21" spans="1:31" ht="21" customHeight="1">
      <c r="A21" s="51"/>
      <c r="B21" s="52"/>
      <c r="C21" s="52"/>
      <c r="D21" s="54"/>
      <c r="E21" s="54"/>
      <c r="F21" s="54"/>
      <c r="G21" s="54"/>
      <c r="H21" s="54"/>
      <c r="I21" s="54"/>
      <c r="J21" s="54"/>
      <c r="K21" s="55"/>
      <c r="L21" s="35"/>
      <c r="M21" s="332"/>
      <c r="N21" s="260"/>
      <c r="O21" s="259"/>
      <c r="P21" s="259"/>
      <c r="Q21" s="86"/>
      <c r="R21" s="87"/>
      <c r="S21" s="292"/>
      <c r="T21" s="92"/>
      <c r="U21" s="293"/>
      <c r="V21" s="294"/>
      <c r="W21" s="274"/>
      <c r="X21" s="274"/>
      <c r="Y21" s="274"/>
      <c r="Z21" s="331"/>
      <c r="AA21" s="85"/>
      <c r="AB21" s="85"/>
      <c r="AC21" s="64"/>
      <c r="AD21" s="23"/>
      <c r="AE21" s="24"/>
    </row>
    <row r="22" spans="1:31" s="4" customFormat="1" ht="21" customHeight="1" thickBot="1">
      <c r="A22" s="51" t="s">
        <v>312</v>
      </c>
      <c r="B22" s="52" t="s">
        <v>312</v>
      </c>
      <c r="C22" s="52" t="s">
        <v>313</v>
      </c>
      <c r="D22" s="54">
        <v>200</v>
      </c>
      <c r="E22" s="54">
        <f>I22</f>
        <v>100</v>
      </c>
      <c r="F22" s="54"/>
      <c r="G22" s="54"/>
      <c r="H22" s="54"/>
      <c r="I22" s="54">
        <f>AB23/1000</f>
        <v>100</v>
      </c>
      <c r="J22" s="54"/>
      <c r="K22" s="44">
        <f>E22-D22</f>
        <v>-100</v>
      </c>
      <c r="L22" s="45">
        <f>IF(D22=0,0,K22/D22)</f>
        <v>-0.5</v>
      </c>
      <c r="M22" s="46" t="s">
        <v>309</v>
      </c>
      <c r="N22" s="337"/>
      <c r="O22" s="259"/>
      <c r="P22" s="259"/>
      <c r="Q22" s="86"/>
      <c r="R22" s="87"/>
      <c r="S22" s="292"/>
      <c r="T22" s="92"/>
      <c r="U22" s="115" t="s">
        <v>74</v>
      </c>
      <c r="V22" s="115"/>
      <c r="W22" s="115"/>
      <c r="X22" s="115"/>
      <c r="Y22" s="115"/>
      <c r="Z22" s="115"/>
      <c r="AA22" s="116"/>
      <c r="AB22" s="116">
        <f>SUM(AB23:AB24)</f>
        <v>100000</v>
      </c>
      <c r="AC22" s="117" t="s">
        <v>25</v>
      </c>
      <c r="AD22" s="335"/>
      <c r="AE22" s="336"/>
    </row>
    <row r="23" spans="1:31" ht="21" customHeight="1">
      <c r="A23" s="51"/>
      <c r="B23" s="52"/>
      <c r="C23" s="52" t="s">
        <v>312</v>
      </c>
      <c r="D23" s="54"/>
      <c r="E23" s="54"/>
      <c r="F23" s="54"/>
      <c r="G23" s="54"/>
      <c r="H23" s="54"/>
      <c r="I23" s="54"/>
      <c r="J23" s="54"/>
      <c r="K23" s="55"/>
      <c r="L23" s="35"/>
      <c r="M23" s="332" t="s">
        <v>311</v>
      </c>
      <c r="N23" s="260"/>
      <c r="O23" s="259"/>
      <c r="P23" s="259"/>
      <c r="Q23" s="86"/>
      <c r="R23" s="87"/>
      <c r="S23" s="292"/>
      <c r="T23" s="92"/>
      <c r="U23" s="293"/>
      <c r="V23" s="294"/>
      <c r="W23" s="274"/>
      <c r="X23" s="274"/>
      <c r="Y23" s="274"/>
      <c r="Z23" s="331"/>
      <c r="AA23" s="85"/>
      <c r="AB23" s="85">
        <v>100000</v>
      </c>
      <c r="AC23" s="64" t="s">
        <v>303</v>
      </c>
      <c r="AD23" s="23"/>
      <c r="AE23" s="24"/>
    </row>
    <row r="24" spans="1:31" s="4" customFormat="1" ht="21" customHeight="1">
      <c r="A24" s="51"/>
      <c r="B24" s="52"/>
      <c r="C24" s="52"/>
      <c r="D24" s="54"/>
      <c r="E24" s="54"/>
      <c r="F24" s="54"/>
      <c r="G24" s="54"/>
      <c r="H24" s="54"/>
      <c r="I24" s="54"/>
      <c r="J24" s="54"/>
      <c r="K24" s="55"/>
      <c r="L24" s="88"/>
      <c r="M24" s="265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265"/>
      <c r="AA24" s="56"/>
      <c r="AB24" s="118"/>
      <c r="AC24" s="64"/>
      <c r="AD24" s="7"/>
    </row>
    <row r="25" spans="1:31" ht="21" customHeight="1" thickBot="1">
      <c r="A25" s="41" t="s">
        <v>14</v>
      </c>
      <c r="B25" s="42" t="s">
        <v>14</v>
      </c>
      <c r="C25" s="42" t="s">
        <v>82</v>
      </c>
      <c r="D25" s="43">
        <v>799</v>
      </c>
      <c r="E25" s="43">
        <f>SUM(F25:J25)</f>
        <v>517.46600000000001</v>
      </c>
      <c r="F25" s="43">
        <f>ROUND(SUM(AB26),-3)/1000</f>
        <v>7</v>
      </c>
      <c r="G25" s="43">
        <v>0</v>
      </c>
      <c r="H25" s="43">
        <f>AB27/1000</f>
        <v>410.46600000000001</v>
      </c>
      <c r="I25" s="43">
        <f>AB29/1000</f>
        <v>100</v>
      </c>
      <c r="J25" s="43">
        <v>0</v>
      </c>
      <c r="K25" s="44">
        <f>E25-D25</f>
        <v>-281.53399999999999</v>
      </c>
      <c r="L25" s="45">
        <f>IF(D25=0,0,K25/D25)</f>
        <v>-0.35235794743429283</v>
      </c>
      <c r="M25" s="46" t="s">
        <v>310</v>
      </c>
      <c r="N25" s="114"/>
      <c r="O25" s="48"/>
      <c r="P25" s="48"/>
      <c r="Q25" s="48"/>
      <c r="R25" s="48"/>
      <c r="S25" s="48"/>
      <c r="T25" s="48"/>
      <c r="U25" s="115" t="s">
        <v>74</v>
      </c>
      <c r="V25" s="115"/>
      <c r="W25" s="115"/>
      <c r="X25" s="115"/>
      <c r="Y25" s="115"/>
      <c r="Z25" s="115"/>
      <c r="AA25" s="116"/>
      <c r="AB25" s="116">
        <f>SUM(AB26:AB29)</f>
        <v>517356</v>
      </c>
      <c r="AC25" s="117" t="s">
        <v>25</v>
      </c>
    </row>
    <row r="26" spans="1:31" ht="21" customHeight="1">
      <c r="A26" s="51"/>
      <c r="B26" s="52"/>
      <c r="C26" s="52" t="s">
        <v>373</v>
      </c>
      <c r="D26" s="54"/>
      <c r="E26" s="54"/>
      <c r="F26" s="54"/>
      <c r="G26" s="54"/>
      <c r="H26" s="54"/>
      <c r="I26" s="54"/>
      <c r="J26" s="54"/>
      <c r="K26" s="55"/>
      <c r="L26" s="88"/>
      <c r="M26" s="84" t="s">
        <v>179</v>
      </c>
      <c r="N26" s="183"/>
      <c r="O26" s="182"/>
      <c r="P26" s="182"/>
      <c r="Q26" s="182"/>
      <c r="R26" s="182"/>
      <c r="S26" s="182"/>
      <c r="T26" s="182"/>
      <c r="U26" s="60"/>
      <c r="V26" s="60"/>
      <c r="W26" s="60"/>
      <c r="X26" s="182"/>
      <c r="Y26" s="182"/>
      <c r="Z26" s="182"/>
      <c r="AA26" s="85"/>
      <c r="AB26" s="85">
        <v>6890</v>
      </c>
      <c r="AC26" s="64" t="s">
        <v>170</v>
      </c>
    </row>
    <row r="27" spans="1:31" ht="21" customHeight="1">
      <c r="A27" s="51"/>
      <c r="B27" s="52"/>
      <c r="C27" s="52"/>
      <c r="D27" s="54"/>
      <c r="E27" s="54"/>
      <c r="F27" s="54"/>
      <c r="G27" s="54"/>
      <c r="H27" s="54"/>
      <c r="I27" s="54"/>
      <c r="J27" s="54"/>
      <c r="K27" s="55"/>
      <c r="L27" s="88"/>
      <c r="M27" s="84" t="s">
        <v>177</v>
      </c>
      <c r="N27" s="183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>
        <v>410466</v>
      </c>
      <c r="AC27" s="64" t="s">
        <v>170</v>
      </c>
    </row>
    <row r="28" spans="1:31" ht="21" customHeight="1">
      <c r="A28" s="51"/>
      <c r="B28" s="52"/>
      <c r="C28" s="52"/>
      <c r="D28" s="54"/>
      <c r="E28" s="54"/>
      <c r="F28" s="54"/>
      <c r="G28" s="54"/>
      <c r="H28" s="54"/>
      <c r="I28" s="54"/>
      <c r="J28" s="54"/>
      <c r="K28" s="55"/>
      <c r="L28" s="88"/>
      <c r="M28" s="84" t="s">
        <v>178</v>
      </c>
      <c r="N28" s="183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>
        <v>0</v>
      </c>
      <c r="AC28" s="64" t="s">
        <v>170</v>
      </c>
    </row>
    <row r="29" spans="1:31" ht="21" customHeight="1">
      <c r="A29" s="51"/>
      <c r="B29" s="52"/>
      <c r="C29" s="52"/>
      <c r="D29" s="54"/>
      <c r="E29" s="54"/>
      <c r="F29" s="54"/>
      <c r="G29" s="54"/>
      <c r="H29" s="54"/>
      <c r="I29" s="54"/>
      <c r="J29" s="54"/>
      <c r="K29" s="55"/>
      <c r="L29" s="88"/>
      <c r="M29" s="84" t="s">
        <v>347</v>
      </c>
      <c r="N29" s="347"/>
      <c r="O29" s="346"/>
      <c r="P29" s="346"/>
      <c r="Q29" s="346"/>
      <c r="R29" s="346"/>
      <c r="S29" s="346"/>
      <c r="T29" s="346"/>
      <c r="U29" s="346"/>
      <c r="V29" s="346"/>
      <c r="W29" s="346"/>
      <c r="X29" s="346"/>
      <c r="Y29" s="346"/>
      <c r="Z29" s="346"/>
      <c r="AA29" s="346"/>
      <c r="AB29" s="346">
        <v>100000</v>
      </c>
      <c r="AC29" s="64" t="s">
        <v>58</v>
      </c>
    </row>
    <row r="30" spans="1:31" ht="21" customHeight="1">
      <c r="A30" s="51"/>
      <c r="B30" s="52"/>
      <c r="C30" s="52"/>
      <c r="D30" s="54"/>
      <c r="E30" s="54"/>
      <c r="F30" s="54"/>
      <c r="G30" s="54"/>
      <c r="H30" s="54"/>
      <c r="I30" s="54"/>
      <c r="J30" s="54"/>
      <c r="K30" s="55"/>
      <c r="L30" s="88"/>
      <c r="M30" s="84"/>
      <c r="N30" s="183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64"/>
    </row>
    <row r="31" spans="1:31" ht="21" customHeight="1">
      <c r="A31" s="51" t="s">
        <v>83</v>
      </c>
      <c r="B31" s="109" t="s">
        <v>16</v>
      </c>
      <c r="C31" s="109" t="s">
        <v>84</v>
      </c>
      <c r="D31" s="43">
        <f>SUM(D32,D34,D36)</f>
        <v>8</v>
      </c>
      <c r="E31" s="43">
        <f>SUM(E32,E34,E36)</f>
        <v>11</v>
      </c>
      <c r="F31" s="43">
        <f>SUM(F32,F34,F36)</f>
        <v>8</v>
      </c>
      <c r="G31" s="43">
        <f t="shared" ref="G31:J31" si="2">SUM(G32,G34,G36)</f>
        <v>0</v>
      </c>
      <c r="H31" s="43">
        <f t="shared" si="2"/>
        <v>3</v>
      </c>
      <c r="I31" s="43">
        <v>0</v>
      </c>
      <c r="J31" s="43">
        <f t="shared" si="2"/>
        <v>0</v>
      </c>
      <c r="K31" s="44">
        <f>E31-D31</f>
        <v>3</v>
      </c>
      <c r="L31" s="45">
        <f>IF(D31=0,0,K31/D31)</f>
        <v>0.375</v>
      </c>
      <c r="M31" s="67" t="s">
        <v>85</v>
      </c>
      <c r="N31" s="69"/>
      <c r="O31" s="48"/>
      <c r="P31" s="48"/>
      <c r="Q31" s="48"/>
      <c r="R31" s="48"/>
      <c r="S31" s="48"/>
      <c r="T31" s="48"/>
      <c r="U31" s="48" t="s">
        <v>125</v>
      </c>
      <c r="V31" s="48"/>
      <c r="W31" s="48"/>
      <c r="X31" s="48"/>
      <c r="Y31" s="48"/>
      <c r="Z31" s="48"/>
      <c r="AA31" s="49"/>
      <c r="AB31" s="49">
        <f>AB32+AB34+AB36</f>
        <v>11000</v>
      </c>
      <c r="AC31" s="50" t="s">
        <v>25</v>
      </c>
    </row>
    <row r="32" spans="1:31" ht="21" customHeight="1">
      <c r="A32" s="51"/>
      <c r="B32" s="122"/>
      <c r="C32" s="109" t="s">
        <v>132</v>
      </c>
      <c r="D32" s="43">
        <v>0</v>
      </c>
      <c r="E32" s="43">
        <f>SUM(F32:J32)</f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4">
        <f>E32-D32</f>
        <v>0</v>
      </c>
      <c r="L32" s="45"/>
      <c r="M32" s="123" t="s">
        <v>87</v>
      </c>
      <c r="N32" s="119"/>
      <c r="O32" s="111"/>
      <c r="P32" s="111"/>
      <c r="Q32" s="111"/>
      <c r="R32" s="111"/>
      <c r="S32" s="111"/>
      <c r="T32" s="111"/>
      <c r="U32" s="205" t="s">
        <v>126</v>
      </c>
      <c r="V32" s="111"/>
      <c r="W32" s="111"/>
      <c r="X32" s="111"/>
      <c r="Y32" s="111"/>
      <c r="Z32" s="111"/>
      <c r="AA32" s="120"/>
      <c r="AB32" s="120">
        <v>0</v>
      </c>
      <c r="AC32" s="121" t="s">
        <v>86</v>
      </c>
    </row>
    <row r="33" spans="1:30" s="12" customFormat="1" ht="19.5" customHeight="1">
      <c r="A33" s="70"/>
      <c r="B33" s="124"/>
      <c r="C33" s="66" t="s">
        <v>88</v>
      </c>
      <c r="D33" s="78"/>
      <c r="E33" s="78"/>
      <c r="F33" s="78"/>
      <c r="G33" s="78"/>
      <c r="H33" s="78"/>
      <c r="I33" s="78"/>
      <c r="J33" s="78"/>
      <c r="K33" s="79"/>
      <c r="L33" s="106"/>
      <c r="M33" s="89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1"/>
      <c r="AD33" s="6"/>
    </row>
    <row r="34" spans="1:30" ht="21" customHeight="1">
      <c r="A34" s="51"/>
      <c r="B34" s="52"/>
      <c r="C34" s="52" t="s">
        <v>130</v>
      </c>
      <c r="D34" s="54">
        <v>8</v>
      </c>
      <c r="E34" s="43">
        <f>SUM(F34:J34)</f>
        <v>11</v>
      </c>
      <c r="F34" s="43">
        <v>8</v>
      </c>
      <c r="G34" s="43">
        <v>0</v>
      </c>
      <c r="H34" s="43">
        <v>3</v>
      </c>
      <c r="I34" s="43">
        <v>0</v>
      </c>
      <c r="J34" s="43">
        <v>0</v>
      </c>
      <c r="K34" s="55">
        <f>E34-D34</f>
        <v>3</v>
      </c>
      <c r="L34" s="45">
        <f>IF(D34=0,0,K34/D34)</f>
        <v>0.375</v>
      </c>
      <c r="M34" s="125" t="s">
        <v>89</v>
      </c>
      <c r="N34" s="38"/>
      <c r="O34" s="39"/>
      <c r="P34" s="39"/>
      <c r="Q34" s="39"/>
      <c r="R34" s="39"/>
      <c r="S34" s="39"/>
      <c r="T34" s="39"/>
      <c r="U34" s="208" t="s">
        <v>126</v>
      </c>
      <c r="V34" s="39"/>
      <c r="W34" s="39"/>
      <c r="X34" s="39"/>
      <c r="Y34" s="39"/>
      <c r="Z34" s="39"/>
      <c r="AA34" s="58"/>
      <c r="AB34" s="58">
        <v>11000</v>
      </c>
      <c r="AC34" s="40" t="s">
        <v>25</v>
      </c>
    </row>
    <row r="35" spans="1:30" s="12" customFormat="1" ht="19.5" customHeight="1">
      <c r="A35" s="70"/>
      <c r="B35" s="112"/>
      <c r="C35" s="52" t="s">
        <v>131</v>
      </c>
      <c r="D35" s="54"/>
      <c r="E35" s="54"/>
      <c r="F35" s="54"/>
      <c r="G35" s="54"/>
      <c r="H35" s="54"/>
      <c r="I35" s="54"/>
      <c r="J35" s="54"/>
      <c r="K35" s="55"/>
      <c r="L35" s="37"/>
      <c r="M35" s="89"/>
      <c r="N35" s="98"/>
      <c r="O35" s="98"/>
      <c r="P35" s="98"/>
      <c r="Q35" s="98"/>
      <c r="R35" s="98"/>
      <c r="S35" s="98"/>
      <c r="T35" s="98"/>
      <c r="U35" s="446"/>
      <c r="V35" s="446"/>
      <c r="W35" s="98"/>
      <c r="X35" s="98"/>
      <c r="Y35" s="98"/>
      <c r="Z35" s="98"/>
      <c r="AA35" s="98"/>
      <c r="AB35" s="126"/>
      <c r="AC35" s="40" t="s">
        <v>25</v>
      </c>
      <c r="AD35" s="6"/>
    </row>
    <row r="36" spans="1:30" ht="21" customHeight="1">
      <c r="A36" s="51"/>
      <c r="B36" s="52"/>
      <c r="C36" s="42" t="s">
        <v>129</v>
      </c>
      <c r="D36" s="43">
        <v>0</v>
      </c>
      <c r="E36" s="43">
        <f>SUM(F36:J36)</f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4">
        <f>E36-D36</f>
        <v>0</v>
      </c>
      <c r="L36" s="45">
        <f>IF(D36=0,0,K36/D36)</f>
        <v>0</v>
      </c>
      <c r="M36" s="125" t="s">
        <v>32</v>
      </c>
      <c r="N36" s="119"/>
      <c r="O36" s="39"/>
      <c r="P36" s="39"/>
      <c r="Q36" s="39"/>
      <c r="R36" s="39"/>
      <c r="S36" s="39"/>
      <c r="T36" s="39"/>
      <c r="U36" s="205" t="s">
        <v>126</v>
      </c>
      <c r="V36" s="111"/>
      <c r="W36" s="111"/>
      <c r="X36" s="111"/>
      <c r="Y36" s="111"/>
      <c r="Z36" s="111"/>
      <c r="AA36" s="120"/>
      <c r="AB36" s="120">
        <f>SUM(AB37:AB37)</f>
        <v>0</v>
      </c>
      <c r="AC36" s="121" t="s">
        <v>25</v>
      </c>
    </row>
    <row r="37" spans="1:30" s="12" customFormat="1" ht="19.5" customHeight="1">
      <c r="A37" s="70"/>
      <c r="B37" s="112"/>
      <c r="C37" s="52" t="s">
        <v>16</v>
      </c>
      <c r="D37" s="54"/>
      <c r="E37" s="54"/>
      <c r="F37" s="54"/>
      <c r="G37" s="54"/>
      <c r="H37" s="54"/>
      <c r="I37" s="54"/>
      <c r="J37" s="54"/>
      <c r="K37" s="55"/>
      <c r="L37" s="37"/>
      <c r="M37" s="84"/>
      <c r="N37" s="57"/>
      <c r="O37" s="57"/>
      <c r="P37" s="57"/>
      <c r="Q37" s="57"/>
      <c r="R37" s="57"/>
      <c r="S37" s="56"/>
      <c r="T37" s="57"/>
      <c r="U37" s="56"/>
      <c r="V37" s="56"/>
      <c r="W37" s="57"/>
      <c r="X37" s="57"/>
      <c r="Y37" s="63"/>
      <c r="Z37" s="63"/>
      <c r="AA37" s="56"/>
      <c r="AB37" s="57">
        <v>0</v>
      </c>
      <c r="AC37" s="64" t="s">
        <v>90</v>
      </c>
      <c r="AD37" s="6"/>
    </row>
    <row r="38" spans="1:30" s="12" customFormat="1" ht="19.5" customHeight="1" thickBot="1">
      <c r="A38" s="127"/>
      <c r="B38" s="128"/>
      <c r="C38" s="129"/>
      <c r="D38" s="130"/>
      <c r="E38" s="130"/>
      <c r="F38" s="130"/>
      <c r="G38" s="130"/>
      <c r="H38" s="130"/>
      <c r="I38" s="130"/>
      <c r="J38" s="130"/>
      <c r="K38" s="131"/>
      <c r="L38" s="132"/>
      <c r="M38" s="80"/>
      <c r="N38" s="82"/>
      <c r="O38" s="82"/>
      <c r="P38" s="82"/>
      <c r="Q38" s="82"/>
      <c r="R38" s="82"/>
      <c r="S38" s="81"/>
      <c r="T38" s="82"/>
      <c r="U38" s="81"/>
      <c r="V38" s="81"/>
      <c r="W38" s="82"/>
      <c r="X38" s="82"/>
      <c r="Y38" s="133"/>
      <c r="Z38" s="133"/>
      <c r="AA38" s="81"/>
      <c r="AB38" s="82"/>
      <c r="AC38" s="83"/>
      <c r="AD38" s="6"/>
    </row>
    <row r="49" spans="30:30" ht="19.5" customHeight="1">
      <c r="AD49" s="6" t="s">
        <v>67</v>
      </c>
    </row>
  </sheetData>
  <mergeCells count="9">
    <mergeCell ref="B7:C7"/>
    <mergeCell ref="U35:V35"/>
    <mergeCell ref="K2:L2"/>
    <mergeCell ref="M2:AC3"/>
    <mergeCell ref="A1:C1"/>
    <mergeCell ref="A2:C2"/>
    <mergeCell ref="D2:D3"/>
    <mergeCell ref="E2:J2"/>
    <mergeCell ref="A4:C4"/>
  </mergeCells>
  <phoneticPr fontId="5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몬띠의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E10" sqref="E10"/>
    </sheetView>
  </sheetViews>
  <sheetFormatPr defaultRowHeight="13.5"/>
  <cols>
    <col min="1" max="1" width="7.5546875" customWidth="1"/>
    <col min="2" max="2" width="9.21875" customWidth="1"/>
    <col min="3" max="3" width="10.88671875" customWidth="1"/>
    <col min="4" max="4" width="10.109375" customWidth="1"/>
    <col min="5" max="5" width="8.109375" customWidth="1"/>
    <col min="6" max="6" width="7.2187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</cols>
  <sheetData>
    <row r="1" spans="1:12" ht="26.25">
      <c r="A1" s="348" t="s">
        <v>398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50" t="s">
        <v>258</v>
      </c>
    </row>
    <row r="2" spans="1:12" ht="17.25" thickBot="1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</row>
    <row r="3" spans="1:12" ht="16.5">
      <c r="A3" s="470" t="s">
        <v>259</v>
      </c>
      <c r="B3" s="471"/>
      <c r="C3" s="471"/>
      <c r="D3" s="471"/>
      <c r="E3" s="472"/>
      <c r="F3" s="472"/>
      <c r="G3" s="470" t="s">
        <v>260</v>
      </c>
      <c r="H3" s="471"/>
      <c r="I3" s="471"/>
      <c r="J3" s="471"/>
      <c r="K3" s="472"/>
      <c r="L3" s="473"/>
    </row>
    <row r="4" spans="1:12" ht="13.5" customHeight="1">
      <c r="A4" s="474" t="s">
        <v>386</v>
      </c>
      <c r="B4" s="462"/>
      <c r="C4" s="476" t="s">
        <v>387</v>
      </c>
      <c r="D4" s="476" t="s">
        <v>388</v>
      </c>
      <c r="E4" s="478" t="s">
        <v>389</v>
      </c>
      <c r="F4" s="480" t="s">
        <v>390</v>
      </c>
      <c r="G4" s="474" t="s">
        <v>386</v>
      </c>
      <c r="H4" s="462"/>
      <c r="I4" s="476" t="s">
        <v>387</v>
      </c>
      <c r="J4" s="476" t="s">
        <v>395</v>
      </c>
      <c r="K4" s="462" t="s">
        <v>391</v>
      </c>
      <c r="L4" s="464" t="s">
        <v>390</v>
      </c>
    </row>
    <row r="5" spans="1:12" ht="33.75" customHeight="1" thickBot="1">
      <c r="A5" s="475"/>
      <c r="B5" s="463"/>
      <c r="C5" s="477"/>
      <c r="D5" s="477"/>
      <c r="E5" s="479"/>
      <c r="F5" s="481"/>
      <c r="G5" s="475"/>
      <c r="H5" s="463"/>
      <c r="I5" s="477"/>
      <c r="J5" s="477"/>
      <c r="K5" s="463"/>
      <c r="L5" s="465"/>
    </row>
    <row r="6" spans="1:12" ht="14.25" thickTop="1">
      <c r="A6" s="455" t="s">
        <v>263</v>
      </c>
      <c r="B6" s="466"/>
      <c r="C6" s="367">
        <f t="shared" ref="C6:E6" si="0">SUM(C7:C15)</f>
        <v>65458400</v>
      </c>
      <c r="D6" s="367">
        <f t="shared" si="0"/>
        <v>65081166</v>
      </c>
      <c r="E6" s="368">
        <f t="shared" si="0"/>
        <v>-377234</v>
      </c>
      <c r="F6" s="369"/>
      <c r="G6" s="455" t="s">
        <v>263</v>
      </c>
      <c r="H6" s="466"/>
      <c r="I6" s="367">
        <f>SUM(I7:I19)</f>
        <v>65458400</v>
      </c>
      <c r="J6" s="367">
        <f>SUM(J7:J19)</f>
        <v>65081166</v>
      </c>
      <c r="K6" s="368">
        <f>SUM(K7:K19)</f>
        <v>-377234</v>
      </c>
      <c r="L6" s="370"/>
    </row>
    <row r="7" spans="1:12" ht="24">
      <c r="A7" s="371" t="s">
        <v>334</v>
      </c>
      <c r="B7" s="372" t="s">
        <v>334</v>
      </c>
      <c r="C7" s="373">
        <v>9000000</v>
      </c>
      <c r="D7" s="373">
        <v>9000000</v>
      </c>
      <c r="E7" s="374">
        <f>D7-C7</f>
        <v>0</v>
      </c>
      <c r="F7" s="374"/>
      <c r="G7" s="453" t="s">
        <v>318</v>
      </c>
      <c r="H7" s="372" t="s">
        <v>321</v>
      </c>
      <c r="I7" s="373">
        <v>41387020</v>
      </c>
      <c r="J7" s="373">
        <v>40008440</v>
      </c>
      <c r="K7" s="375">
        <f>J7-I7</f>
        <v>-1378580</v>
      </c>
      <c r="L7" s="376" t="s">
        <v>394</v>
      </c>
    </row>
    <row r="8" spans="1:12" ht="35.25" customHeight="1">
      <c r="A8" s="467" t="s">
        <v>341</v>
      </c>
      <c r="B8" s="372" t="s">
        <v>403</v>
      </c>
      <c r="C8" s="373">
        <v>15189900</v>
      </c>
      <c r="D8" s="373">
        <v>15190185</v>
      </c>
      <c r="E8" s="374">
        <f t="shared" ref="E8:E15" si="1">D8-C8</f>
        <v>285</v>
      </c>
      <c r="F8" s="377"/>
      <c r="G8" s="454"/>
      <c r="H8" s="372" t="s">
        <v>322</v>
      </c>
      <c r="I8" s="373">
        <v>80000</v>
      </c>
      <c r="J8" s="373">
        <v>70080</v>
      </c>
      <c r="K8" s="375">
        <f>J8-I8</f>
        <v>-9920</v>
      </c>
      <c r="L8" s="378"/>
    </row>
    <row r="9" spans="1:12" ht="30" customHeight="1">
      <c r="A9" s="468"/>
      <c r="B9" s="372" t="s">
        <v>404</v>
      </c>
      <c r="C9" s="373">
        <v>35443100</v>
      </c>
      <c r="D9" s="373">
        <v>35443815</v>
      </c>
      <c r="E9" s="374">
        <f t="shared" si="1"/>
        <v>715</v>
      </c>
      <c r="F9" s="374"/>
      <c r="G9" s="455"/>
      <c r="H9" s="372" t="s">
        <v>323</v>
      </c>
      <c r="I9" s="373">
        <v>5441990</v>
      </c>
      <c r="J9" s="379">
        <v>5549846</v>
      </c>
      <c r="K9" s="375">
        <f>J9-I9</f>
        <v>107856</v>
      </c>
      <c r="L9" s="378" t="s">
        <v>396</v>
      </c>
    </row>
    <row r="10" spans="1:12" ht="32.25" customHeight="1">
      <c r="A10" s="469"/>
      <c r="B10" s="372" t="s">
        <v>335</v>
      </c>
      <c r="C10" s="373">
        <v>0</v>
      </c>
      <c r="D10" s="373">
        <v>0</v>
      </c>
      <c r="E10" s="374">
        <f t="shared" si="1"/>
        <v>0</v>
      </c>
      <c r="F10" s="377"/>
      <c r="G10" s="467" t="s">
        <v>317</v>
      </c>
      <c r="H10" s="372" t="s">
        <v>324</v>
      </c>
      <c r="I10" s="373">
        <v>0</v>
      </c>
      <c r="J10" s="373">
        <v>0</v>
      </c>
      <c r="K10" s="375">
        <f t="shared" ref="K10:K19" si="2">J10-I10</f>
        <v>0</v>
      </c>
      <c r="L10" s="378"/>
    </row>
    <row r="11" spans="1:12" ht="24">
      <c r="A11" s="467" t="s">
        <v>342</v>
      </c>
      <c r="B11" s="372" t="s">
        <v>336</v>
      </c>
      <c r="C11" s="373">
        <v>200000</v>
      </c>
      <c r="D11" s="373">
        <v>100000</v>
      </c>
      <c r="E11" s="374">
        <f t="shared" si="1"/>
        <v>-100000</v>
      </c>
      <c r="F11" s="374"/>
      <c r="G11" s="468"/>
      <c r="H11" s="372" t="s">
        <v>326</v>
      </c>
      <c r="I11" s="373">
        <v>1350000</v>
      </c>
      <c r="J11" s="373">
        <v>1394000</v>
      </c>
      <c r="K11" s="375">
        <f t="shared" ref="K11:K16" si="3">J11-I11</f>
        <v>44000</v>
      </c>
      <c r="L11" s="378" t="s">
        <v>316</v>
      </c>
    </row>
    <row r="12" spans="1:12" ht="24">
      <c r="A12" s="469"/>
      <c r="B12" s="372" t="s">
        <v>337</v>
      </c>
      <c r="C12" s="373">
        <v>0</v>
      </c>
      <c r="D12" s="373">
        <v>0</v>
      </c>
      <c r="E12" s="374">
        <f t="shared" si="1"/>
        <v>0</v>
      </c>
      <c r="F12" s="374"/>
      <c r="G12" s="469"/>
      <c r="H12" s="372" t="s">
        <v>325</v>
      </c>
      <c r="I12" s="373">
        <v>1960000</v>
      </c>
      <c r="J12" s="373">
        <v>2114000</v>
      </c>
      <c r="K12" s="375">
        <f t="shared" si="3"/>
        <v>154000</v>
      </c>
      <c r="L12" s="378" t="s">
        <v>393</v>
      </c>
    </row>
    <row r="13" spans="1:12" ht="28.5" customHeight="1">
      <c r="A13" s="380" t="s">
        <v>343</v>
      </c>
      <c r="B13" s="372" t="s">
        <v>338</v>
      </c>
      <c r="C13" s="373">
        <v>4818810</v>
      </c>
      <c r="D13" s="373">
        <v>4818810</v>
      </c>
      <c r="E13" s="374">
        <f t="shared" si="1"/>
        <v>0</v>
      </c>
      <c r="F13" s="377"/>
      <c r="G13" s="453" t="s">
        <v>319</v>
      </c>
      <c r="H13" s="372" t="s">
        <v>327</v>
      </c>
      <c r="I13" s="373">
        <v>8939000</v>
      </c>
      <c r="J13" s="373">
        <v>11155740</v>
      </c>
      <c r="K13" s="375">
        <f t="shared" si="3"/>
        <v>2216740</v>
      </c>
      <c r="L13" s="378" t="s">
        <v>397</v>
      </c>
    </row>
    <row r="14" spans="1:12" ht="67.5">
      <c r="A14" s="380" t="s">
        <v>344</v>
      </c>
      <c r="B14" s="372" t="s">
        <v>339</v>
      </c>
      <c r="C14" s="373">
        <v>798590</v>
      </c>
      <c r="D14" s="373">
        <v>517356</v>
      </c>
      <c r="E14" s="374">
        <f t="shared" si="1"/>
        <v>-281234</v>
      </c>
      <c r="F14" s="377" t="s">
        <v>392</v>
      </c>
      <c r="G14" s="454"/>
      <c r="H14" s="372" t="s">
        <v>328</v>
      </c>
      <c r="I14" s="373">
        <v>636000</v>
      </c>
      <c r="J14" s="373">
        <v>620820</v>
      </c>
      <c r="K14" s="375">
        <f t="shared" si="3"/>
        <v>-15180</v>
      </c>
      <c r="L14" s="381"/>
    </row>
    <row r="15" spans="1:12">
      <c r="A15" s="380" t="s">
        <v>345</v>
      </c>
      <c r="B15" s="372" t="s">
        <v>340</v>
      </c>
      <c r="C15" s="373">
        <v>8000</v>
      </c>
      <c r="D15" s="373">
        <v>11000</v>
      </c>
      <c r="E15" s="374">
        <f t="shared" si="1"/>
        <v>3000</v>
      </c>
      <c r="F15" s="374"/>
      <c r="G15" s="454"/>
      <c r="H15" s="372" t="s">
        <v>329</v>
      </c>
      <c r="I15" s="373">
        <v>500000</v>
      </c>
      <c r="J15" s="373">
        <v>125000</v>
      </c>
      <c r="K15" s="375">
        <f t="shared" si="3"/>
        <v>-375000</v>
      </c>
      <c r="L15" s="378" t="s">
        <v>384</v>
      </c>
    </row>
    <row r="16" spans="1:12">
      <c r="A16" s="456"/>
      <c r="B16" s="457"/>
      <c r="C16" s="457"/>
      <c r="D16" s="457"/>
      <c r="E16" s="457"/>
      <c r="F16" s="457"/>
      <c r="G16" s="454"/>
      <c r="H16" s="372" t="s">
        <v>330</v>
      </c>
      <c r="I16" s="373">
        <v>400000</v>
      </c>
      <c r="J16" s="373">
        <v>237100</v>
      </c>
      <c r="K16" s="375">
        <f t="shared" si="3"/>
        <v>-162900</v>
      </c>
      <c r="L16" s="378" t="s">
        <v>385</v>
      </c>
    </row>
    <row r="17" spans="1:12">
      <c r="A17" s="458"/>
      <c r="B17" s="459"/>
      <c r="C17" s="459"/>
      <c r="D17" s="459"/>
      <c r="E17" s="459"/>
      <c r="F17" s="459"/>
      <c r="G17" s="454"/>
      <c r="H17" s="372" t="s">
        <v>331</v>
      </c>
      <c r="I17" s="373">
        <v>84000</v>
      </c>
      <c r="J17" s="373">
        <v>79200</v>
      </c>
      <c r="K17" s="375">
        <f t="shared" si="2"/>
        <v>-4800</v>
      </c>
      <c r="L17" s="378"/>
    </row>
    <row r="18" spans="1:12" ht="24">
      <c r="A18" s="458"/>
      <c r="B18" s="459"/>
      <c r="C18" s="459"/>
      <c r="D18" s="459"/>
      <c r="E18" s="459"/>
      <c r="F18" s="459"/>
      <c r="G18" s="455"/>
      <c r="H18" s="372" t="s">
        <v>332</v>
      </c>
      <c r="I18" s="373">
        <v>4673500</v>
      </c>
      <c r="J18" s="373">
        <v>3720050</v>
      </c>
      <c r="K18" s="375">
        <f>J18-I18</f>
        <v>-953450</v>
      </c>
      <c r="L18" s="378" t="s">
        <v>315</v>
      </c>
    </row>
    <row r="19" spans="1:12" ht="30.75" customHeight="1" thickBot="1">
      <c r="A19" s="460"/>
      <c r="B19" s="461"/>
      <c r="C19" s="461"/>
      <c r="D19" s="461"/>
      <c r="E19" s="461"/>
      <c r="F19" s="461"/>
      <c r="G19" s="384" t="s">
        <v>320</v>
      </c>
      <c r="H19" s="385" t="s">
        <v>333</v>
      </c>
      <c r="I19" s="382">
        <v>6890</v>
      </c>
      <c r="J19" s="382">
        <v>6890</v>
      </c>
      <c r="K19" s="386">
        <f t="shared" si="2"/>
        <v>0</v>
      </c>
      <c r="L19" s="383"/>
    </row>
  </sheetData>
  <mergeCells count="20"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G13:G18"/>
    <mergeCell ref="A16:F19"/>
    <mergeCell ref="K4:K5"/>
    <mergeCell ref="L4:L5"/>
    <mergeCell ref="A6:B6"/>
    <mergeCell ref="G6:H6"/>
    <mergeCell ref="G7:G9"/>
    <mergeCell ref="A8:A10"/>
    <mergeCell ref="G10:G12"/>
    <mergeCell ref="A11:A1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세입세출총괄표</vt:lpstr>
      <vt:lpstr>세출</vt:lpstr>
      <vt:lpstr>세입</vt:lpstr>
      <vt:lpstr>증감사유</vt:lpstr>
      <vt:lpstr>세입!Print_Area</vt:lpstr>
      <vt:lpstr>세입!Print_Titles</vt:lpstr>
      <vt:lpstr>세출!Print_Titles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조태희</cp:lastModifiedBy>
  <cp:revision>65</cp:revision>
  <cp:lastPrinted>2013-12-09T13:51:24Z</cp:lastPrinted>
  <dcterms:created xsi:type="dcterms:W3CDTF">2003-12-18T04:11:57Z</dcterms:created>
  <dcterms:modified xsi:type="dcterms:W3CDTF">2013-12-11T12:12:14Z</dcterms:modified>
</cp:coreProperties>
</file>