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45" windowWidth="16875" windowHeight="9015"/>
  </bookViews>
  <sheets>
    <sheet name="세입세출총괄표" sheetId="18" r:id="rId1"/>
    <sheet name="세입" sheetId="4" r:id="rId2"/>
    <sheet name="세출" sheetId="5" r:id="rId3"/>
    <sheet name="추경세입명세서" sheetId="22" r:id="rId4"/>
    <sheet name="추경세출명세서" sheetId="23" r:id="rId5"/>
  </sheets>
  <externalReferences>
    <externalReference r:id="rId6"/>
  </externalReferences>
  <definedNames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4">세입!#REF!</definedName>
    <definedName name="가계보조수당">세입!#REF!</definedName>
    <definedName name="가족수당" localSheetId="2">세출!$AD$25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4">세입!#REF!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4">세입!#REF!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 localSheetId="4">세입!#REF!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세출!$AD$11</definedName>
    <definedName name="기본급법인" localSheetId="2">세출!$AD$13</definedName>
    <definedName name="기본급총액" localSheetId="1">세입!#REF!</definedName>
    <definedName name="기본급총액" localSheetId="2">세출!#REF!</definedName>
    <definedName name="명절휴가비" localSheetId="2">세출!$AD$21</definedName>
    <definedName name="명절휴가비1" localSheetId="1">세입!#REF!</definedName>
    <definedName name="사회보험" localSheetId="0">[1]세입!#REF!</definedName>
    <definedName name="사회보험" localSheetId="4">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4">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4">세입!#REF!</definedName>
    <definedName name="수정제수당총액">세입!#REF!</definedName>
    <definedName name="연장근로수당" localSheetId="2">세출!$AD$29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4">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세출!$AD$84</definedName>
    <definedName name="증감사유1" localSheetId="4">[1]세입!#REF!</definedName>
    <definedName name="증감사유1">[1]세입!#REF!</definedName>
    <definedName name="직원급식비" localSheetId="0">[1]세입!#REF!</definedName>
    <definedName name="직원급식비" localSheetId="4">세입!#REF!</definedName>
    <definedName name="직원급식비">세입!#REF!</definedName>
    <definedName name="직책보조비" localSheetId="1">세입!#REF!</definedName>
    <definedName name="퇴직금" localSheetId="0">[1]세입!#REF!</definedName>
    <definedName name="퇴직금" localSheetId="4">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4">세입!#REF!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4">세입!#REF!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4">세입!#REF!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4">세입!#REF!</definedName>
    <definedName name="특수근무수당3">세입!#REF!</definedName>
    <definedName name="프로그램지원금" localSheetId="1">세입!#REF!</definedName>
    <definedName name="_xlnm.Print_Area" localSheetId="1">세입!$A$1:$Y$272</definedName>
    <definedName name="_xlnm.Print_Titles" localSheetId="1">세입!$2:$3</definedName>
    <definedName name="_xlnm.Print_Titles" localSheetId="2">세출!$2:$3</definedName>
    <definedName name="_xlnm.Print_Titles" localSheetId="3">추경세입명세서!$1:$3</definedName>
    <definedName name="_xlnm.Print_Titles" localSheetId="4">추경세출명세서!$1:$3</definedName>
  </definedNames>
  <calcPr calcId="125725"/>
</workbook>
</file>

<file path=xl/calcChain.xml><?xml version="1.0" encoding="utf-8"?>
<calcChain xmlns="http://schemas.openxmlformats.org/spreadsheetml/2006/main">
  <c r="F19" i="23"/>
  <c r="F18"/>
  <c r="F17"/>
  <c r="F16"/>
  <c r="F15"/>
  <c r="F14"/>
  <c r="F13"/>
  <c r="F12"/>
  <c r="F11"/>
  <c r="F10"/>
  <c r="F9"/>
  <c r="F8"/>
  <c r="F7"/>
  <c r="F6" l="1"/>
  <c r="F5"/>
  <c r="E4"/>
  <c r="D4"/>
  <c r="F4" i="22"/>
  <c r="E4"/>
  <c r="D4"/>
  <c r="F19"/>
  <c r="F18"/>
  <c r="F17"/>
  <c r="F16"/>
  <c r="F15"/>
  <c r="F14"/>
  <c r="F13"/>
  <c r="F11"/>
  <c r="F12"/>
  <c r="F10"/>
  <c r="F9"/>
  <c r="F8"/>
  <c r="F7"/>
  <c r="F6"/>
  <c r="J5"/>
  <c r="F5"/>
  <c r="G334" i="5"/>
  <c r="AD334"/>
  <c r="I164"/>
  <c r="I210"/>
  <c r="K164"/>
  <c r="AD211"/>
  <c r="X220" i="4"/>
  <c r="AD324" i="5"/>
  <c r="AD275"/>
  <c r="AD273"/>
  <c r="AD272" s="1"/>
  <c r="AD261"/>
  <c r="H334"/>
  <c r="F334"/>
  <c r="S46"/>
  <c r="AD46" s="1"/>
  <c r="S44"/>
  <c r="F4" i="23" l="1"/>
  <c r="AD196" i="5"/>
  <c r="AD89"/>
  <c r="J210"/>
  <c r="AD167"/>
  <c r="AD40"/>
  <c r="S50" s="1"/>
  <c r="S53"/>
  <c r="AD53" s="1"/>
  <c r="AD217"/>
  <c r="AD44"/>
  <c r="AD237"/>
  <c r="X242" i="4"/>
  <c r="X187"/>
  <c r="X186" s="1"/>
  <c r="AD39" i="5" l="1"/>
  <c r="M191" i="4"/>
  <c r="X191" s="1"/>
  <c r="X184" l="1"/>
  <c r="X150"/>
  <c r="X120" l="1"/>
  <c r="X106"/>
  <c r="X105"/>
  <c r="X104"/>
  <c r="X48"/>
  <c r="X46"/>
  <c r="X16"/>
  <c r="AD319" i="5"/>
  <c r="AD255"/>
  <c r="AD330"/>
  <c r="AD182"/>
  <c r="AD87"/>
  <c r="AD92"/>
  <c r="AD91"/>
  <c r="X205" i="4"/>
  <c r="X199"/>
  <c r="X114" l="1"/>
  <c r="AD115" i="5" l="1"/>
  <c r="L352"/>
  <c r="K352"/>
  <c r="J352"/>
  <c r="I352"/>
  <c r="H352"/>
  <c r="G352"/>
  <c r="F352"/>
  <c r="I7" i="18"/>
  <c r="D7"/>
  <c r="X53" i="4" l="1"/>
  <c r="X89"/>
  <c r="X82" l="1"/>
  <c r="X21"/>
  <c r="D248" i="5"/>
  <c r="D351"/>
  <c r="D347"/>
  <c r="D333"/>
  <c r="D186"/>
  <c r="D185" s="1"/>
  <c r="E216" i="4"/>
  <c r="E265"/>
  <c r="E253"/>
  <c r="E250"/>
  <c r="H247"/>
  <c r="E246"/>
  <c r="H246" s="1"/>
  <c r="E241"/>
  <c r="E167"/>
  <c r="E171"/>
  <c r="E147"/>
  <c r="E156"/>
  <c r="E143"/>
  <c r="E78"/>
  <c r="E166" l="1"/>
  <c r="E146"/>
  <c r="E249"/>
  <c r="E215"/>
  <c r="E17"/>
  <c r="H251"/>
  <c r="H250"/>
  <c r="H168"/>
  <c r="H167"/>
  <c r="H164"/>
  <c r="H161"/>
  <c r="H144"/>
  <c r="H143"/>
  <c r="E12"/>
  <c r="X212"/>
  <c r="X210"/>
  <c r="X209"/>
  <c r="X208"/>
  <c r="X203"/>
  <c r="X198"/>
  <c r="X197"/>
  <c r="X196"/>
  <c r="X195"/>
  <c r="X194"/>
  <c r="X183"/>
  <c r="X182" s="1"/>
  <c r="X174"/>
  <c r="M180" s="1"/>
  <c r="X180" s="1"/>
  <c r="X155"/>
  <c r="X154" s="1"/>
  <c r="F154" s="1"/>
  <c r="G154" s="1"/>
  <c r="H154" s="1"/>
  <c r="X270"/>
  <c r="X269"/>
  <c r="X268"/>
  <c r="X267"/>
  <c r="E11" l="1"/>
  <c r="X266"/>
  <c r="F266" s="1"/>
  <c r="F265" s="1"/>
  <c r="G265" s="1"/>
  <c r="H265" s="1"/>
  <c r="X202"/>
  <c r="X207"/>
  <c r="X193"/>
  <c r="M175"/>
  <c r="X175" s="1"/>
  <c r="M176"/>
  <c r="X176" s="1"/>
  <c r="M177" s="1"/>
  <c r="X177" s="1"/>
  <c r="M178"/>
  <c r="X178" s="1"/>
  <c r="M179"/>
  <c r="X179" s="1"/>
  <c r="M190" l="1"/>
  <c r="X190" s="1"/>
  <c r="X189" s="1"/>
  <c r="G266"/>
  <c r="H266" s="1"/>
  <c r="X173"/>
  <c r="X172" l="1"/>
  <c r="F172" s="1"/>
  <c r="F171" s="1"/>
  <c r="G171" s="1"/>
  <c r="H171" s="1"/>
  <c r="X254"/>
  <c r="F254" s="1"/>
  <c r="X241"/>
  <c r="X237"/>
  <c r="F237" s="1"/>
  <c r="G237" s="1"/>
  <c r="H237" s="1"/>
  <c r="X233"/>
  <c r="F233" s="1"/>
  <c r="G233" s="1"/>
  <c r="H233" s="1"/>
  <c r="F220"/>
  <c r="G220" s="1"/>
  <c r="H220" s="1"/>
  <c r="X217"/>
  <c r="F217" s="1"/>
  <c r="G217" s="1"/>
  <c r="H217" s="1"/>
  <c r="E163"/>
  <c r="H163" s="1"/>
  <c r="E160"/>
  <c r="H160" s="1"/>
  <c r="X163"/>
  <c r="X161"/>
  <c r="X160" s="1"/>
  <c r="F164"/>
  <c r="F161"/>
  <c r="X141"/>
  <c r="X137"/>
  <c r="X76"/>
  <c r="X75" s="1"/>
  <c r="F75" s="1"/>
  <c r="G75" s="1"/>
  <c r="H75" s="1"/>
  <c r="X134"/>
  <c r="X133"/>
  <c r="X132"/>
  <c r="X131"/>
  <c r="X73"/>
  <c r="X72"/>
  <c r="X71"/>
  <c r="X70"/>
  <c r="M122"/>
  <c r="M128" s="1"/>
  <c r="X128" s="1"/>
  <c r="X119"/>
  <c r="X118"/>
  <c r="X117"/>
  <c r="X115"/>
  <c r="X59"/>
  <c r="X54"/>
  <c r="M61"/>
  <c r="M67" s="1"/>
  <c r="X67" s="1"/>
  <c r="X58"/>
  <c r="X57"/>
  <c r="X56"/>
  <c r="X107"/>
  <c r="X43"/>
  <c r="X109"/>
  <c r="X44"/>
  <c r="X45"/>
  <c r="X101"/>
  <c r="X100"/>
  <c r="X40"/>
  <c r="X39"/>
  <c r="X87"/>
  <c r="M91"/>
  <c r="X88"/>
  <c r="X85"/>
  <c r="M30"/>
  <c r="X30" s="1"/>
  <c r="X28"/>
  <c r="X27"/>
  <c r="X26"/>
  <c r="G172" l="1"/>
  <c r="H172" s="1"/>
  <c r="M97"/>
  <c r="X97" s="1"/>
  <c r="X91"/>
  <c r="X90" s="1"/>
  <c r="M36"/>
  <c r="X36" s="1"/>
  <c r="X29"/>
  <c r="F163"/>
  <c r="G163" s="1"/>
  <c r="G164"/>
  <c r="F253"/>
  <c r="G253" s="1"/>
  <c r="H253" s="1"/>
  <c r="G254"/>
  <c r="H254" s="1"/>
  <c r="F160"/>
  <c r="G160" s="1"/>
  <c r="G161"/>
  <c r="X69"/>
  <c r="X25"/>
  <c r="X136"/>
  <c r="F136" s="1"/>
  <c r="G136" s="1"/>
  <c r="H136" s="1"/>
  <c r="X38"/>
  <c r="F38" s="1"/>
  <c r="G38" s="1"/>
  <c r="H38" s="1"/>
  <c r="X99"/>
  <c r="X130"/>
  <c r="X159"/>
  <c r="X216"/>
  <c r="X55"/>
  <c r="X52"/>
  <c r="F242"/>
  <c r="F216"/>
  <c r="G216" s="1"/>
  <c r="H216" s="1"/>
  <c r="E159"/>
  <c r="X61"/>
  <c r="X60" s="1"/>
  <c r="X42"/>
  <c r="F42" s="1"/>
  <c r="G42" s="1"/>
  <c r="H42" s="1"/>
  <c r="X113"/>
  <c r="X116"/>
  <c r="X122"/>
  <c r="X121" s="1"/>
  <c r="M124"/>
  <c r="X124" s="1"/>
  <c r="M125"/>
  <c r="X125" s="1"/>
  <c r="M127"/>
  <c r="X127" s="1"/>
  <c r="M63"/>
  <c r="X63" s="1"/>
  <c r="M64"/>
  <c r="X64" s="1"/>
  <c r="M65" s="1"/>
  <c r="X65" s="1"/>
  <c r="M66"/>
  <c r="X66" s="1"/>
  <c r="X103"/>
  <c r="F103" s="1"/>
  <c r="G103" s="1"/>
  <c r="H103" s="1"/>
  <c r="X86"/>
  <c r="M93"/>
  <c r="X93" s="1"/>
  <c r="M94"/>
  <c r="M96"/>
  <c r="X96" s="1"/>
  <c r="M32"/>
  <c r="X32" s="1"/>
  <c r="M35"/>
  <c r="X35" s="1"/>
  <c r="M33"/>
  <c r="X33" s="1"/>
  <c r="X94" l="1"/>
  <c r="M95" s="1"/>
  <c r="X95" s="1"/>
  <c r="X92" s="1"/>
  <c r="X84" s="1"/>
  <c r="F84" s="1"/>
  <c r="G84" s="1"/>
  <c r="H84" s="1"/>
  <c r="F159"/>
  <c r="G159" s="1"/>
  <c r="E4"/>
  <c r="H159"/>
  <c r="F241"/>
  <c r="G241" s="1"/>
  <c r="H241" s="1"/>
  <c r="G242"/>
  <c r="H242" s="1"/>
  <c r="M126"/>
  <c r="X126" s="1"/>
  <c r="X62"/>
  <c r="X51" s="1"/>
  <c r="X50" s="1"/>
  <c r="F50" s="1"/>
  <c r="G50" s="1"/>
  <c r="H50" s="1"/>
  <c r="X123" l="1"/>
  <c r="X112" s="1"/>
  <c r="X111" s="1"/>
  <c r="F111" l="1"/>
  <c r="G111" s="1"/>
  <c r="H111" s="1"/>
  <c r="X24" l="1"/>
  <c r="M34" l="1"/>
  <c r="X34" l="1"/>
  <c r="X31" s="1"/>
  <c r="X23" s="1"/>
  <c r="F23" s="1"/>
  <c r="G23" s="1"/>
  <c r="H23" s="1"/>
  <c r="X19" l="1"/>
  <c r="X14"/>
  <c r="X9"/>
  <c r="X15"/>
  <c r="X20"/>
  <c r="F144"/>
  <c r="X265"/>
  <c r="X253"/>
  <c r="X252"/>
  <c r="X251" s="1"/>
  <c r="F251" s="1"/>
  <c r="X247"/>
  <c r="X171"/>
  <c r="X168"/>
  <c r="X143"/>
  <c r="F99" s="1"/>
  <c r="G99" s="1"/>
  <c r="H99" s="1"/>
  <c r="X81"/>
  <c r="X80"/>
  <c r="F250" l="1"/>
  <c r="G251"/>
  <c r="F143"/>
  <c r="G143" s="1"/>
  <c r="G144"/>
  <c r="X167"/>
  <c r="F168"/>
  <c r="X246"/>
  <c r="X215" s="1"/>
  <c r="F247"/>
  <c r="X13"/>
  <c r="X79"/>
  <c r="X18"/>
  <c r="X17" s="1"/>
  <c r="X250"/>
  <c r="X249" s="1"/>
  <c r="X166"/>
  <c r="F249" l="1"/>
  <c r="G249" s="1"/>
  <c r="H249" s="1"/>
  <c r="G250"/>
  <c r="F246"/>
  <c r="G247"/>
  <c r="F167"/>
  <c r="G168"/>
  <c r="F79"/>
  <c r="X78"/>
  <c r="F13"/>
  <c r="X12"/>
  <c r="F18"/>
  <c r="F9"/>
  <c r="G9" s="1"/>
  <c r="H9"/>
  <c r="X7"/>
  <c r="X11" l="1"/>
  <c r="F166"/>
  <c r="G166" s="1"/>
  <c r="H166" s="1"/>
  <c r="G167"/>
  <c r="F215"/>
  <c r="G215" s="1"/>
  <c r="H215" s="1"/>
  <c r="G246"/>
  <c r="F78"/>
  <c r="G78" s="1"/>
  <c r="H78" s="1"/>
  <c r="G79"/>
  <c r="H79" s="1"/>
  <c r="F17"/>
  <c r="G17" s="1"/>
  <c r="H17" s="1"/>
  <c r="G18"/>
  <c r="H18" s="1"/>
  <c r="F12"/>
  <c r="G12" s="1"/>
  <c r="H12" s="1"/>
  <c r="G13"/>
  <c r="H13" s="1"/>
  <c r="F7"/>
  <c r="G7" s="1"/>
  <c r="H7" s="1"/>
  <c r="K22" i="18"/>
  <c r="K21"/>
  <c r="K20"/>
  <c r="K19"/>
  <c r="K18"/>
  <c r="K17"/>
  <c r="K16"/>
  <c r="F16"/>
  <c r="K15"/>
  <c r="F15"/>
  <c r="K14"/>
  <c r="F14"/>
  <c r="K13"/>
  <c r="F13"/>
  <c r="K12"/>
  <c r="F12"/>
  <c r="K11"/>
  <c r="F11"/>
  <c r="K10"/>
  <c r="F10"/>
  <c r="K9"/>
  <c r="F9"/>
  <c r="K8"/>
  <c r="F8"/>
  <c r="J7"/>
  <c r="E7"/>
  <c r="K7" l="1"/>
  <c r="F11" i="4"/>
  <c r="G11" s="1"/>
  <c r="H11" s="1"/>
  <c r="F7" i="18"/>
  <c r="AD50" i="5"/>
  <c r="AD160"/>
  <c r="AD90"/>
  <c r="G82" s="1"/>
  <c r="AD239"/>
  <c r="AD192"/>
  <c r="I190" s="1"/>
  <c r="AD174"/>
  <c r="AD173"/>
  <c r="AD172"/>
  <c r="AD162"/>
  <c r="AD159"/>
  <c r="AD94"/>
  <c r="X157" i="4" l="1"/>
  <c r="X149"/>
  <c r="AD218" i="5"/>
  <c r="F210" s="1"/>
  <c r="AD214"/>
  <c r="AD286"/>
  <c r="AD21"/>
  <c r="D209"/>
  <c r="D208" s="1"/>
  <c r="D112"/>
  <c r="D101"/>
  <c r="S59"/>
  <c r="AD59" s="1"/>
  <c r="X148" i="4" l="1"/>
  <c r="X147" s="1"/>
  <c r="X156"/>
  <c r="F157"/>
  <c r="S64" i="5"/>
  <c r="AD64" s="1"/>
  <c r="S58"/>
  <c r="AD58" s="1"/>
  <c r="F351"/>
  <c r="G351"/>
  <c r="H351"/>
  <c r="I351"/>
  <c r="J351"/>
  <c r="K351"/>
  <c r="L351"/>
  <c r="AD352"/>
  <c r="AD351" s="1"/>
  <c r="F347"/>
  <c r="G347"/>
  <c r="H347"/>
  <c r="I347"/>
  <c r="J347"/>
  <c r="K347"/>
  <c r="L347"/>
  <c r="AD348"/>
  <c r="I333"/>
  <c r="J333"/>
  <c r="K333"/>
  <c r="L333"/>
  <c r="H333"/>
  <c r="G333"/>
  <c r="F333"/>
  <c r="F112"/>
  <c r="G112"/>
  <c r="H112"/>
  <c r="I112"/>
  <c r="J112"/>
  <c r="G248"/>
  <c r="H248"/>
  <c r="I248"/>
  <c r="J248"/>
  <c r="K248"/>
  <c r="L248"/>
  <c r="G209"/>
  <c r="K209"/>
  <c r="AD246"/>
  <c r="AD245"/>
  <c r="AD244"/>
  <c r="AD232"/>
  <c r="I231" s="1"/>
  <c r="AD224"/>
  <c r="AD221"/>
  <c r="AD201"/>
  <c r="AD200"/>
  <c r="F186"/>
  <c r="F185" s="1"/>
  <c r="G186"/>
  <c r="G185" s="1"/>
  <c r="H186"/>
  <c r="H185" s="1"/>
  <c r="I186"/>
  <c r="I185" s="1"/>
  <c r="J186"/>
  <c r="J185" s="1"/>
  <c r="K186"/>
  <c r="K185" s="1"/>
  <c r="L186"/>
  <c r="L185" s="1"/>
  <c r="AD190"/>
  <c r="AD187"/>
  <c r="E187" s="1"/>
  <c r="M187" s="1"/>
  <c r="N187" s="1"/>
  <c r="AD166"/>
  <c r="AD158"/>
  <c r="AD138"/>
  <c r="AD137"/>
  <c r="AD139"/>
  <c r="AD141"/>
  <c r="AD140"/>
  <c r="AD129"/>
  <c r="AD114"/>
  <c r="H6"/>
  <c r="J6"/>
  <c r="F101"/>
  <c r="G101"/>
  <c r="H101"/>
  <c r="I101"/>
  <c r="J101"/>
  <c r="L101"/>
  <c r="AD102"/>
  <c r="K102" s="1"/>
  <c r="AD136" l="1"/>
  <c r="S74"/>
  <c r="AD74" s="1"/>
  <c r="S69"/>
  <c r="AD69" s="1"/>
  <c r="S63"/>
  <c r="S73" s="1"/>
  <c r="S78" s="1"/>
  <c r="F156" i="4"/>
  <c r="G156" s="1"/>
  <c r="H156" s="1"/>
  <c r="G157"/>
  <c r="H157" s="1"/>
  <c r="X146"/>
  <c r="F148"/>
  <c r="E352" i="5"/>
  <c r="K208"/>
  <c r="J5"/>
  <c r="G208"/>
  <c r="H5"/>
  <c r="AD243"/>
  <c r="AD199"/>
  <c r="AD186" s="1"/>
  <c r="AD113"/>
  <c r="AD80"/>
  <c r="AD78"/>
  <c r="AD75"/>
  <c r="AD73"/>
  <c r="AD65"/>
  <c r="S70" s="1"/>
  <c r="AD70" s="1"/>
  <c r="AD63"/>
  <c r="S68" s="1"/>
  <c r="AD68" s="1"/>
  <c r="AD60"/>
  <c r="S79" l="1"/>
  <c r="AD79" s="1"/>
  <c r="F147" i="4"/>
  <c r="G148"/>
  <c r="H148" s="1"/>
  <c r="F249" i="5"/>
  <c r="AD316"/>
  <c r="J209"/>
  <c r="J208" s="1"/>
  <c r="J4" s="1"/>
  <c r="AD233"/>
  <c r="AD238"/>
  <c r="I235" s="1"/>
  <c r="I209" s="1"/>
  <c r="I208" s="1"/>
  <c r="AD306"/>
  <c r="AD297"/>
  <c r="AD293"/>
  <c r="AD251"/>
  <c r="AD249" s="1"/>
  <c r="F146" i="4" l="1"/>
  <c r="G146" s="1"/>
  <c r="H146" s="1"/>
  <c r="G147"/>
  <c r="H147" s="1"/>
  <c r="F248" i="5"/>
  <c r="H231"/>
  <c r="AD231"/>
  <c r="E231" s="1"/>
  <c r="AD248" l="1"/>
  <c r="E249"/>
  <c r="K55"/>
  <c r="F55"/>
  <c r="G55"/>
  <c r="G20"/>
  <c r="F20"/>
  <c r="AD7"/>
  <c r="E7" s="1"/>
  <c r="K7"/>
  <c r="G7"/>
  <c r="F7"/>
  <c r="E248" l="1"/>
  <c r="M249"/>
  <c r="N249" s="1"/>
  <c r="X6" i="4"/>
  <c r="X5" s="1"/>
  <c r="F5" l="1"/>
  <c r="F4" s="1"/>
  <c r="X4"/>
  <c r="M7" i="5"/>
  <c r="AD48"/>
  <c r="AD37"/>
  <c r="AD36"/>
  <c r="AD77"/>
  <c r="AD72"/>
  <c r="AD67"/>
  <c r="AD62"/>
  <c r="AD57"/>
  <c r="AD45"/>
  <c r="G42" s="1"/>
  <c r="AD29"/>
  <c r="AD35" l="1"/>
  <c r="G5" i="4"/>
  <c r="G4" s="1"/>
  <c r="H4" s="1"/>
  <c r="AD52" i="5"/>
  <c r="I42" s="1"/>
  <c r="AD55"/>
  <c r="E55" s="1"/>
  <c r="M55" s="1"/>
  <c r="N55" s="1"/>
  <c r="AD43"/>
  <c r="S49" l="1"/>
  <c r="AD49" s="1"/>
  <c r="AD47" s="1"/>
  <c r="AD42" s="1"/>
  <c r="E42" s="1"/>
  <c r="K20"/>
  <c r="F42"/>
  <c r="F6" s="1"/>
  <c r="F5" s="1"/>
  <c r="K42" l="1"/>
  <c r="AD333"/>
  <c r="AD222"/>
  <c r="L210" s="1"/>
  <c r="AD180"/>
  <c r="AD179"/>
  <c r="AD110"/>
  <c r="AD107" s="1"/>
  <c r="AD99"/>
  <c r="AD95"/>
  <c r="AD93"/>
  <c r="AD86"/>
  <c r="AD85"/>
  <c r="AD84"/>
  <c r="AD83"/>
  <c r="AD25"/>
  <c r="AD20" s="1"/>
  <c r="AD18"/>
  <c r="AD16" s="1"/>
  <c r="AD146"/>
  <c r="AD147"/>
  <c r="AD148"/>
  <c r="AD133"/>
  <c r="AD134"/>
  <c r="AD215"/>
  <c r="AD216"/>
  <c r="AD236"/>
  <c r="AD235" s="1"/>
  <c r="E235" s="1"/>
  <c r="K82" l="1"/>
  <c r="I82"/>
  <c r="I6" s="1"/>
  <c r="I5" s="1"/>
  <c r="I4" s="1"/>
  <c r="L164"/>
  <c r="L112" s="1"/>
  <c r="L82"/>
  <c r="L6" s="1"/>
  <c r="K112"/>
  <c r="L209"/>
  <c r="L208" s="1"/>
  <c r="H210"/>
  <c r="H209" s="1"/>
  <c r="H208" s="1"/>
  <c r="H4" s="1"/>
  <c r="AD210"/>
  <c r="E190"/>
  <c r="M190" s="1"/>
  <c r="N190" s="1"/>
  <c r="AD164"/>
  <c r="AD144"/>
  <c r="E144" s="1"/>
  <c r="M144" s="1"/>
  <c r="N144" s="1"/>
  <c r="K101"/>
  <c r="AD101"/>
  <c r="M42"/>
  <c r="N42" s="1"/>
  <c r="M235"/>
  <c r="N235" s="1"/>
  <c r="AD82"/>
  <c r="E82" s="1"/>
  <c r="E20"/>
  <c r="N7"/>
  <c r="E199"/>
  <c r="AD132"/>
  <c r="AD118" s="1"/>
  <c r="E102"/>
  <c r="E113"/>
  <c r="E224"/>
  <c r="M224" s="1"/>
  <c r="N224" s="1"/>
  <c r="E334"/>
  <c r="E107"/>
  <c r="M107" s="1"/>
  <c r="N107" s="1"/>
  <c r="L5" l="1"/>
  <c r="L4" s="1"/>
  <c r="AD112"/>
  <c r="M82"/>
  <c r="N82" s="1"/>
  <c r="G16"/>
  <c r="G6" s="1"/>
  <c r="G5" s="1"/>
  <c r="G4" s="1"/>
  <c r="AD6"/>
  <c r="E210"/>
  <c r="M210" s="1"/>
  <c r="N210" s="1"/>
  <c r="AD209"/>
  <c r="AD208" s="1"/>
  <c r="M113"/>
  <c r="N113" s="1"/>
  <c r="F209"/>
  <c r="F208" s="1"/>
  <c r="F4" s="1"/>
  <c r="M199"/>
  <c r="N199" s="1"/>
  <c r="E186"/>
  <c r="E185" s="1"/>
  <c r="AD185"/>
  <c r="E164"/>
  <c r="M164" s="1"/>
  <c r="N164" s="1"/>
  <c r="E158"/>
  <c r="M158" s="1"/>
  <c r="N158" s="1"/>
  <c r="K6"/>
  <c r="K5" s="1"/>
  <c r="K4" s="1"/>
  <c r="M102"/>
  <c r="N102" s="1"/>
  <c r="E136"/>
  <c r="M136" s="1"/>
  <c r="N136" s="1"/>
  <c r="M231"/>
  <c r="N231" s="1"/>
  <c r="E243"/>
  <c r="M243" s="1"/>
  <c r="N243" s="1"/>
  <c r="M334"/>
  <c r="N334" s="1"/>
  <c r="E333"/>
  <c r="D6"/>
  <c r="D5" s="1"/>
  <c r="D4" s="1"/>
  <c r="E16"/>
  <c r="M248"/>
  <c r="N248" s="1"/>
  <c r="E105"/>
  <c r="M105" s="1"/>
  <c r="N105" s="1"/>
  <c r="H5" i="4"/>
  <c r="E6" i="5" l="1"/>
  <c r="M16"/>
  <c r="N16" s="1"/>
  <c r="AD5"/>
  <c r="M333"/>
  <c r="N333" s="1"/>
  <c r="E348"/>
  <c r="AD347"/>
  <c r="E209"/>
  <c r="E208" s="1"/>
  <c r="M185"/>
  <c r="N185" s="1"/>
  <c r="M186"/>
  <c r="N186" s="1"/>
  <c r="E101"/>
  <c r="M101" s="1"/>
  <c r="N101" s="1"/>
  <c r="M20"/>
  <c r="N20" s="1"/>
  <c r="E118"/>
  <c r="M352"/>
  <c r="N352" s="1"/>
  <c r="E351"/>
  <c r="M351" s="1"/>
  <c r="N351" s="1"/>
  <c r="AD4" l="1"/>
  <c r="M209"/>
  <c r="N209" s="1"/>
  <c r="M348"/>
  <c r="N348" s="1"/>
  <c r="E347"/>
  <c r="M347" s="1"/>
  <c r="N347" s="1"/>
  <c r="M118"/>
  <c r="N118" s="1"/>
  <c r="E112"/>
  <c r="M112" s="1"/>
  <c r="N112" s="1"/>
  <c r="M6"/>
  <c r="N6" s="1"/>
  <c r="E5" l="1"/>
  <c r="E4" s="1"/>
  <c r="M208"/>
  <c r="N208" s="1"/>
  <c r="M4" l="1"/>
  <c r="N4" s="1"/>
  <c r="M5"/>
  <c r="N5" s="1"/>
</calcChain>
</file>

<file path=xl/sharedStrings.xml><?xml version="1.0" encoding="utf-8"?>
<sst xmlns="http://schemas.openxmlformats.org/spreadsheetml/2006/main" count="2569" uniqueCount="890">
  <si>
    <t>월</t>
    <phoneticPr fontId="6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</si>
  <si>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</si>
  <si>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</si>
  <si>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</si>
  <si>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</si>
  <si>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</si>
  <si>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</si>
  <si>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</si>
  <si>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</si>
  <si>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</si>
  <si>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</si>
  <si>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</si>
  <si>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</si>
  <si>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</si>
  <si>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</si>
  <si>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</si>
  <si>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</si>
  <si>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</si>
  <si>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</si>
  <si>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</si>
  <si>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</si>
  <si>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</si>
  <si>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</si>
  <si>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</si>
  <si>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</si>
  <si>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</si>
  <si>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</si>
  <si>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</si>
  <si>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</si>
  <si>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</si>
  <si>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</si>
  <si>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</si>
  <si>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</si>
  <si>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</si>
  <si>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</si>
  <si>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</si>
  <si>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</si>
  <si>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</si>
  <si>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</si>
  <si>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</si>
  <si>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</si>
  <si>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</si>
  <si>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</si>
  <si>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</si>
  <si>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</si>
  <si>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</si>
  <si>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</si>
  <si>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</si>
  <si>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</si>
  <si>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</si>
  <si>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</si>
  <si>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</si>
  <si>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</si>
  <si>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6" type="noConversion"/>
  </si>
  <si>
    <t>산              출               기              초</t>
    <phoneticPr fontId="6" type="noConversion"/>
  </si>
  <si>
    <t>산               출                기               초</t>
    <phoneticPr fontId="6" type="noConversion"/>
  </si>
  <si>
    <t>명</t>
    <phoneticPr fontId="6" type="noConversion"/>
  </si>
  <si>
    <t>원</t>
    <phoneticPr fontId="6" type="noConversion"/>
  </si>
  <si>
    <t>×</t>
    <phoneticPr fontId="6" type="noConversion"/>
  </si>
  <si>
    <t>생계비</t>
    <phoneticPr fontId="6" type="noConversion"/>
  </si>
  <si>
    <t>입  소</t>
    <phoneticPr fontId="6" type="noConversion"/>
  </si>
  <si>
    <t>비  용</t>
    <phoneticPr fontId="6" type="noConversion"/>
  </si>
  <si>
    <t xml:space="preserve"> </t>
    <phoneticPr fontId="6" type="noConversion"/>
  </si>
  <si>
    <t>합  계 :</t>
    <phoneticPr fontId="6" type="noConversion"/>
  </si>
  <si>
    <t>후원금</t>
    <phoneticPr fontId="6" type="noConversion"/>
  </si>
  <si>
    <t>잡수입</t>
    <phoneticPr fontId="6" type="noConversion"/>
  </si>
  <si>
    <t xml:space="preserve">                                                                                    </t>
    <phoneticPr fontId="6" type="noConversion"/>
  </si>
  <si>
    <t>과            목</t>
    <phoneticPr fontId="6" type="noConversion"/>
  </si>
  <si>
    <t>원</t>
    <phoneticPr fontId="6" type="noConversion"/>
  </si>
  <si>
    <t>총  계 :</t>
    <phoneticPr fontId="6" type="noConversion"/>
  </si>
  <si>
    <t>총  계 :</t>
    <phoneticPr fontId="6" type="noConversion"/>
  </si>
  <si>
    <t>원</t>
    <phoneticPr fontId="6" type="noConversion"/>
  </si>
  <si>
    <t>×</t>
    <phoneticPr fontId="6" type="noConversion"/>
  </si>
  <si>
    <t>=</t>
    <phoneticPr fontId="6" type="noConversion"/>
  </si>
  <si>
    <t>합    계 :</t>
    <phoneticPr fontId="6" type="noConversion"/>
  </si>
  <si>
    <t>소계 :</t>
    <phoneticPr fontId="6" type="noConversion"/>
  </si>
  <si>
    <t>÷</t>
    <phoneticPr fontId="6" type="noConversion"/>
  </si>
  <si>
    <t>=</t>
    <phoneticPr fontId="6" type="noConversion"/>
  </si>
  <si>
    <t>명</t>
    <phoneticPr fontId="6" type="noConversion"/>
  </si>
  <si>
    <t>회</t>
    <phoneticPr fontId="6" type="noConversion"/>
  </si>
  <si>
    <t>후원금</t>
    <phoneticPr fontId="6" type="noConversion"/>
  </si>
  <si>
    <t xml:space="preserve">  *후원금 수입</t>
    <phoneticPr fontId="6" type="noConversion"/>
  </si>
  <si>
    <t>비지정</t>
    <phoneticPr fontId="6" type="noConversion"/>
  </si>
  <si>
    <t>전입금</t>
    <phoneticPr fontId="6" type="noConversion"/>
  </si>
  <si>
    <t>* 직원경조사비</t>
    <phoneticPr fontId="6" type="noConversion"/>
  </si>
  <si>
    <t>* 상조회 지원금(상,하반기)</t>
    <phoneticPr fontId="6" type="noConversion"/>
  </si>
  <si>
    <t>회</t>
    <phoneticPr fontId="6" type="noConversion"/>
  </si>
  <si>
    <t>* 우수직원 포상금(12월)</t>
    <phoneticPr fontId="6" type="noConversion"/>
  </si>
  <si>
    <t>* 직원다이어리구입비</t>
    <phoneticPr fontId="6" type="noConversion"/>
  </si>
  <si>
    <t>* 직원동아리지원금</t>
    <phoneticPr fontId="6" type="noConversion"/>
  </si>
  <si>
    <t>잡수입</t>
    <phoneticPr fontId="6" type="noConversion"/>
  </si>
  <si>
    <t>일용잡급</t>
    <phoneticPr fontId="6" type="noConversion"/>
  </si>
  <si>
    <t>※기본급</t>
    <phoneticPr fontId="6" type="noConversion"/>
  </si>
  <si>
    <t>원</t>
    <phoneticPr fontId="6" type="noConversion"/>
  </si>
  <si>
    <t>합    계 :</t>
    <phoneticPr fontId="6" type="noConversion"/>
  </si>
  <si>
    <t>※ 일용잡급</t>
    <phoneticPr fontId="6" type="noConversion"/>
  </si>
  <si>
    <t>원</t>
    <phoneticPr fontId="6" type="noConversion"/>
  </si>
  <si>
    <t>×</t>
    <phoneticPr fontId="6" type="noConversion"/>
  </si>
  <si>
    <t>일</t>
    <phoneticPr fontId="6" type="noConversion"/>
  </si>
  <si>
    <t>명</t>
    <phoneticPr fontId="6" type="noConversion"/>
  </si>
  <si>
    <t>=</t>
    <phoneticPr fontId="6" type="noConversion"/>
  </si>
  <si>
    <t xml:space="preserve"> </t>
    <phoneticPr fontId="6" type="noConversion"/>
  </si>
  <si>
    <t>합    계 :</t>
    <phoneticPr fontId="6" type="noConversion"/>
  </si>
  <si>
    <t>원</t>
    <phoneticPr fontId="6" type="noConversion"/>
  </si>
  <si>
    <t xml:space="preserve"> </t>
    <phoneticPr fontId="6" type="noConversion"/>
  </si>
  <si>
    <t>사회보험</t>
    <phoneticPr fontId="6" type="noConversion"/>
  </si>
  <si>
    <t>기타후생</t>
    <phoneticPr fontId="6" type="noConversion"/>
  </si>
  <si>
    <t>※ 기타후생경비</t>
    <phoneticPr fontId="6" type="noConversion"/>
  </si>
  <si>
    <t>법인</t>
    <phoneticPr fontId="6" type="noConversion"/>
  </si>
  <si>
    <t>법인</t>
    <phoneticPr fontId="6" type="noConversion"/>
  </si>
  <si>
    <t>월</t>
    <phoneticPr fontId="6" type="noConversion"/>
  </si>
  <si>
    <t>회  의  비</t>
    <phoneticPr fontId="6" type="noConversion"/>
  </si>
  <si>
    <t>1. 회의관련 다과비등</t>
    <phoneticPr fontId="6" type="noConversion"/>
  </si>
  <si>
    <t>여    비</t>
    <phoneticPr fontId="6" type="noConversion"/>
  </si>
  <si>
    <t>보조</t>
    <phoneticPr fontId="6" type="noConversion"/>
  </si>
  <si>
    <t xml:space="preserve"> ① CMS 이용료</t>
    <phoneticPr fontId="6" type="noConversion"/>
  </si>
  <si>
    <t xml:space="preserve"> ② CMS 이체수수료</t>
    <phoneticPr fontId="6" type="noConversion"/>
  </si>
  <si>
    <t xml:space="preserve"> ③ 보증보험료</t>
    <phoneticPr fontId="6" type="noConversion"/>
  </si>
  <si>
    <t>1. 전화료</t>
    <phoneticPr fontId="6" type="noConversion"/>
  </si>
  <si>
    <t>2. 일반전기요금</t>
    <phoneticPr fontId="6" type="noConversion"/>
  </si>
  <si>
    <t>3. 상하수도요금</t>
    <phoneticPr fontId="6" type="noConversion"/>
  </si>
  <si>
    <t>1.협회비</t>
    <phoneticPr fontId="6" type="noConversion"/>
  </si>
  <si>
    <t xml:space="preserve"> ① 한국장애인복지시설협회비</t>
    <phoneticPr fontId="6" type="noConversion"/>
  </si>
  <si>
    <t xml:space="preserve"> ② 경기도장애인복지시설협회비</t>
    <phoneticPr fontId="6" type="noConversion"/>
  </si>
  <si>
    <t xml:space="preserve"> ③ 경장협 사무국장 협의회비</t>
    <phoneticPr fontId="6" type="noConversion"/>
  </si>
  <si>
    <t xml:space="preserve"> ④ 기타 협회비(영양사협회,방화관리자 외)</t>
    <phoneticPr fontId="6" type="noConversion"/>
  </si>
  <si>
    <t>2.보험료 및 세금</t>
    <phoneticPr fontId="6" type="noConversion"/>
  </si>
  <si>
    <t>②일반화재보험(대물)</t>
    <phoneticPr fontId="6" type="noConversion"/>
  </si>
  <si>
    <t>③영업배상책임보험(대인)</t>
    <phoneticPr fontId="6" type="noConversion"/>
  </si>
  <si>
    <t>기타운영비</t>
    <phoneticPr fontId="6" type="noConversion"/>
  </si>
  <si>
    <t>※ 직원 교육훈련비</t>
    <phoneticPr fontId="6" type="noConversion"/>
  </si>
  <si>
    <t>회</t>
    <phoneticPr fontId="6" type="noConversion"/>
  </si>
  <si>
    <t>권</t>
    <phoneticPr fontId="6" type="noConversion"/>
  </si>
  <si>
    <t>1.전기안전관리대행료</t>
    <phoneticPr fontId="6" type="noConversion"/>
  </si>
  <si>
    <t>2.방화관리(소방) 대행료</t>
    <phoneticPr fontId="6" type="noConversion"/>
  </si>
  <si>
    <t>피복비</t>
    <phoneticPr fontId="6" type="noConversion"/>
  </si>
  <si>
    <t>의료비</t>
    <phoneticPr fontId="6" type="noConversion"/>
  </si>
  <si>
    <t>연료비</t>
    <phoneticPr fontId="6" type="noConversion"/>
  </si>
  <si>
    <t>운영비</t>
    <phoneticPr fontId="6" type="noConversion"/>
  </si>
  <si>
    <t>※ 생계비</t>
    <phoneticPr fontId="6" type="noConversion"/>
  </si>
  <si>
    <t>수용기관</t>
    <phoneticPr fontId="6" type="noConversion"/>
  </si>
  <si>
    <t>※ 수용기관경비</t>
    <phoneticPr fontId="6" type="noConversion"/>
  </si>
  <si>
    <t>1. 생활용품구입비</t>
    <phoneticPr fontId="6" type="noConversion"/>
  </si>
  <si>
    <t>※ 연료비</t>
    <phoneticPr fontId="6" type="noConversion"/>
  </si>
  <si>
    <t>프로그램</t>
    <phoneticPr fontId="6" type="noConversion"/>
  </si>
  <si>
    <t>잡지출</t>
    <phoneticPr fontId="6" type="noConversion"/>
  </si>
  <si>
    <t>※ 잡지출</t>
    <phoneticPr fontId="6" type="noConversion"/>
  </si>
  <si>
    <t>3.법인지원직원 : 상담원</t>
    <phoneticPr fontId="6" type="noConversion"/>
  </si>
  <si>
    <t>1.출산휴가 대체인건비(7종)</t>
    <phoneticPr fontId="6" type="noConversion"/>
  </si>
  <si>
    <t>일</t>
    <phoneticPr fontId="6" type="noConversion"/>
  </si>
  <si>
    <t xml:space="preserve"> B.인건비지원(7종 : 운전원,조리원)</t>
    <phoneticPr fontId="6" type="noConversion"/>
  </si>
  <si>
    <t>2.국민건강보험부담금</t>
    <phoneticPr fontId="6" type="noConversion"/>
  </si>
  <si>
    <t>3.장기요양보험부담금</t>
    <phoneticPr fontId="6" type="noConversion"/>
  </si>
  <si>
    <t>4.고용보험부담금</t>
    <phoneticPr fontId="6" type="noConversion"/>
  </si>
  <si>
    <t>5.산업재해보험부담금</t>
    <phoneticPr fontId="6" type="noConversion"/>
  </si>
  <si>
    <t xml:space="preserve"> C.법인지원직원 1명(상담원)</t>
    <phoneticPr fontId="6" type="noConversion"/>
  </si>
  <si>
    <t>잡수</t>
    <phoneticPr fontId="6" type="noConversion"/>
  </si>
  <si>
    <t>1. 사무용품비(문구류 )</t>
    <phoneticPr fontId="6" type="noConversion"/>
  </si>
  <si>
    <t>4. 유선방송시청료</t>
    <phoneticPr fontId="6" type="noConversion"/>
  </si>
  <si>
    <t>①자동차보험료(32인승, 25인승, 15인승, 마티즈)</t>
    <phoneticPr fontId="6" type="noConversion"/>
  </si>
  <si>
    <t>④자동차세/환경개선부담금(시설,자동차분)</t>
  </si>
  <si>
    <t>1.외부교육</t>
    <phoneticPr fontId="6" type="noConversion"/>
  </si>
  <si>
    <t>4.사업평가 및 계획 워크샵</t>
    <phoneticPr fontId="6" type="noConversion"/>
  </si>
  <si>
    <t>5.타기관 견학 및 실습</t>
    <phoneticPr fontId="6" type="noConversion"/>
  </si>
  <si>
    <t xml:space="preserve">6. 하계직원 교육 강사료, 점심식대 등) </t>
    <phoneticPr fontId="6" type="noConversion"/>
  </si>
  <si>
    <t>2. 쓰레기봉투 구입비</t>
    <phoneticPr fontId="6" type="noConversion"/>
  </si>
  <si>
    <t>3. 정수기 임대료 및 필터교환</t>
    <phoneticPr fontId="6" type="noConversion"/>
  </si>
  <si>
    <t>1. 심야전력요금</t>
    <phoneticPr fontId="6" type="noConversion"/>
  </si>
  <si>
    <t>2. 주방가스요금</t>
    <phoneticPr fontId="6" type="noConversion"/>
  </si>
  <si>
    <t>* 직원축일·생일축하 도서상품권 구입비</t>
    <phoneticPr fontId="6" type="noConversion"/>
  </si>
  <si>
    <t>원</t>
    <phoneticPr fontId="6" type="noConversion"/>
  </si>
  <si>
    <t>월</t>
    <phoneticPr fontId="6" type="noConversion"/>
  </si>
  <si>
    <t>잡수</t>
    <phoneticPr fontId="6" type="noConversion"/>
  </si>
  <si>
    <t xml:space="preserve"> A.경상보조금 </t>
    <phoneticPr fontId="6" type="noConversion"/>
  </si>
  <si>
    <t xml:space="preserve">  가.법인지원직원 1명(상담원)</t>
    <phoneticPr fontId="6" type="noConversion"/>
  </si>
  <si>
    <t>⑤신원보증보험갱신</t>
    <phoneticPr fontId="6" type="noConversion"/>
  </si>
  <si>
    <t>5. 우편물발송료 및 택배료</t>
    <phoneticPr fontId="6" type="noConversion"/>
  </si>
  <si>
    <t>운      영      비</t>
    <phoneticPr fontId="28" type="noConversion"/>
  </si>
  <si>
    <t>재산조성비</t>
    <phoneticPr fontId="28" type="noConversion"/>
  </si>
  <si>
    <t>시      설      비</t>
    <phoneticPr fontId="28" type="noConversion"/>
  </si>
  <si>
    <t>후원금  수입</t>
    <phoneticPr fontId="28" type="noConversion"/>
  </si>
  <si>
    <t>지정      후원금</t>
    <phoneticPr fontId="28" type="noConversion"/>
  </si>
  <si>
    <t>자 산   취 득 비</t>
    <phoneticPr fontId="28" type="noConversion"/>
  </si>
  <si>
    <t>비지정   후원금</t>
    <phoneticPr fontId="28" type="noConversion"/>
  </si>
  <si>
    <t>시설장비유지비</t>
    <phoneticPr fontId="28" type="noConversion"/>
  </si>
  <si>
    <t>전    입    금</t>
    <phoneticPr fontId="28" type="noConversion"/>
  </si>
  <si>
    <t>법인      전입금</t>
    <phoneticPr fontId="28" type="noConversion"/>
  </si>
  <si>
    <t>사   업   비</t>
    <phoneticPr fontId="28" type="noConversion"/>
  </si>
  <si>
    <t>생      계      비</t>
    <phoneticPr fontId="28" type="noConversion"/>
  </si>
  <si>
    <t>이    월    금</t>
    <phoneticPr fontId="28" type="noConversion"/>
  </si>
  <si>
    <t>전년도   이월금</t>
    <phoneticPr fontId="28" type="noConversion"/>
  </si>
  <si>
    <t>수용기관   경비</t>
    <phoneticPr fontId="28" type="noConversion"/>
  </si>
  <si>
    <t>잡    수    입</t>
    <phoneticPr fontId="28" type="noConversion"/>
  </si>
  <si>
    <t>잡      수      입</t>
    <phoneticPr fontId="28" type="noConversion"/>
  </si>
  <si>
    <t>피      복      비</t>
    <phoneticPr fontId="28" type="noConversion"/>
  </si>
  <si>
    <t>의      료      비</t>
    <phoneticPr fontId="28" type="noConversion"/>
  </si>
  <si>
    <t>연      료      비</t>
    <phoneticPr fontId="28" type="noConversion"/>
  </si>
  <si>
    <t>프로그램사업비</t>
    <phoneticPr fontId="28" type="noConversion"/>
  </si>
  <si>
    <t>보조금   반납금</t>
    <phoneticPr fontId="28" type="noConversion"/>
  </si>
  <si>
    <t>잡   지   출</t>
    <phoneticPr fontId="28" type="noConversion"/>
  </si>
  <si>
    <t>잡      지      출</t>
    <phoneticPr fontId="28" type="noConversion"/>
  </si>
  <si>
    <t>예   비   비</t>
    <phoneticPr fontId="28" type="noConversion"/>
  </si>
  <si>
    <t>예      비      비</t>
    <phoneticPr fontId="28" type="noConversion"/>
  </si>
  <si>
    <t>원</t>
    <phoneticPr fontId="6" type="noConversion"/>
  </si>
  <si>
    <t>*결연 후원금 지급</t>
    <phoneticPr fontId="6" type="noConversion"/>
  </si>
  <si>
    <t>원</t>
    <phoneticPr fontId="6" type="noConversion"/>
  </si>
  <si>
    <t>2. 체험홈 전화료</t>
    <phoneticPr fontId="6" type="noConversion"/>
  </si>
  <si>
    <t>2.가족수당</t>
    <phoneticPr fontId="6" type="noConversion"/>
  </si>
  <si>
    <t>5.직책보조비(법인전입금)</t>
    <phoneticPr fontId="6" type="noConversion"/>
  </si>
  <si>
    <t>3.법인부담금</t>
    <phoneticPr fontId="6" type="noConversion"/>
  </si>
  <si>
    <t>* 주방직원 건강진단비</t>
    <phoneticPr fontId="6" type="noConversion"/>
  </si>
  <si>
    <t>* 직원독감예방접종</t>
    <phoneticPr fontId="6" type="noConversion"/>
  </si>
  <si>
    <t xml:space="preserve">  *직원후생복지 및 직원교육</t>
    <phoneticPr fontId="6" type="noConversion"/>
  </si>
  <si>
    <t>입소자
부담금</t>
    <phoneticPr fontId="6" type="noConversion"/>
  </si>
  <si>
    <t>비  용</t>
  </si>
  <si>
    <t>보조금
(4종)</t>
    <phoneticPr fontId="6" type="noConversion"/>
  </si>
  <si>
    <t>법인
전입금</t>
    <phoneticPr fontId="6" type="noConversion"/>
  </si>
  <si>
    <t>입   소</t>
    <phoneticPr fontId="6" type="noConversion"/>
  </si>
  <si>
    <t>계
(B)</t>
    <phoneticPr fontId="6" type="noConversion"/>
  </si>
  <si>
    <t>금액
(B-A)</t>
    <phoneticPr fontId="6" type="noConversion"/>
  </si>
  <si>
    <t>합  계 :</t>
    <phoneticPr fontId="6" type="noConversion"/>
  </si>
  <si>
    <t>부담금</t>
    <phoneticPr fontId="6" type="noConversion"/>
  </si>
  <si>
    <t>업   무</t>
    <phoneticPr fontId="6" type="noConversion"/>
  </si>
  <si>
    <t>경      비</t>
    <phoneticPr fontId="6" type="noConversion"/>
  </si>
  <si>
    <t>프로그램</t>
    <phoneticPr fontId="6" type="noConversion"/>
  </si>
  <si>
    <t>사업비</t>
    <phoneticPr fontId="6" type="noConversion"/>
  </si>
  <si>
    <t>※ 프로그램사업비 합계</t>
    <phoneticPr fontId="6" type="noConversion"/>
  </si>
  <si>
    <t>원</t>
    <phoneticPr fontId="6" type="noConversion"/>
  </si>
  <si>
    <t>A. 가정연계 지원사업</t>
    <phoneticPr fontId="6" type="noConversion"/>
  </si>
  <si>
    <t>소  계 :</t>
    <phoneticPr fontId="6" type="noConversion"/>
  </si>
  <si>
    <t>B. 사회적응지원사업비</t>
    <phoneticPr fontId="6" type="noConversion"/>
  </si>
  <si>
    <t>C. 원내행사 지원사업비</t>
    <phoneticPr fontId="6" type="noConversion"/>
  </si>
  <si>
    <t>5. 미귀가 이용인 프로그램</t>
    <phoneticPr fontId="6" type="noConversion"/>
  </si>
  <si>
    <t>D. 일상생활 지원사업비</t>
    <phoneticPr fontId="6" type="noConversion"/>
  </si>
  <si>
    <t>F. 지역사회연계 사업비</t>
    <phoneticPr fontId="6" type="noConversion"/>
  </si>
  <si>
    <t>1. 부활절 부활계란 나눔행사</t>
    <phoneticPr fontId="6" type="noConversion"/>
  </si>
  <si>
    <t>2. 빈자리축제</t>
    <phoneticPr fontId="6" type="noConversion"/>
  </si>
  <si>
    <t>3. 비둘기캠프</t>
    <phoneticPr fontId="6" type="noConversion"/>
  </si>
  <si>
    <t>4. 경로잔치</t>
    <phoneticPr fontId="6" type="noConversion"/>
  </si>
  <si>
    <t>G. 질보장 지원사업</t>
    <phoneticPr fontId="6" type="noConversion"/>
  </si>
  <si>
    <t>원</t>
    <phoneticPr fontId="6" type="noConversion"/>
  </si>
  <si>
    <t>소  계 :</t>
    <phoneticPr fontId="6" type="noConversion"/>
  </si>
  <si>
    <t>H. 특화사업</t>
    <phoneticPr fontId="6" type="noConversion"/>
  </si>
  <si>
    <t>I. 물리치료실 몸짱 프로그램</t>
    <phoneticPr fontId="6" type="noConversion"/>
  </si>
  <si>
    <t>=</t>
    <phoneticPr fontId="6" type="noConversion"/>
  </si>
  <si>
    <t>회</t>
    <phoneticPr fontId="6" type="noConversion"/>
  </si>
  <si>
    <t>※ 피복비</t>
  </si>
  <si>
    <t>※ 의료비</t>
    <phoneticPr fontId="6" type="noConversion"/>
  </si>
  <si>
    <t>4. 마라톤 참가비 및 식대, 간식비</t>
    <phoneticPr fontId="6" type="noConversion"/>
  </si>
  <si>
    <t>1.일반피복비(아쿠아로빅 수영복 포함)</t>
    <phoneticPr fontId="6" type="noConversion"/>
  </si>
  <si>
    <t>원</t>
    <phoneticPr fontId="6" type="noConversion"/>
  </si>
  <si>
    <t>÷</t>
  </si>
  <si>
    <t>* 공익근무요원(회식 및 감사패 등)</t>
    <phoneticPr fontId="6" type="noConversion"/>
  </si>
  <si>
    <t>추진비</t>
    <phoneticPr fontId="6" type="noConversion"/>
  </si>
  <si>
    <t>업무추진비</t>
    <phoneticPr fontId="6" type="noConversion"/>
  </si>
  <si>
    <t>※ 직책보조비</t>
    <phoneticPr fontId="6" type="noConversion"/>
  </si>
  <si>
    <t>소계:</t>
    <phoneticPr fontId="6" type="noConversion"/>
  </si>
  <si>
    <t>* 유관기관경조사비,무료봉사진료기관감사선물비등</t>
    <phoneticPr fontId="6" type="noConversion"/>
  </si>
  <si>
    <t>인건비</t>
    <phoneticPr fontId="6" type="noConversion"/>
  </si>
  <si>
    <t>사무비</t>
    <phoneticPr fontId="6" type="noConversion"/>
  </si>
  <si>
    <t>세출총계</t>
    <phoneticPr fontId="6" type="noConversion"/>
  </si>
  <si>
    <t>운영비</t>
    <phoneticPr fontId="6" type="noConversion"/>
  </si>
  <si>
    <t xml:space="preserve"> * 시설장 출장여비</t>
    <phoneticPr fontId="6" type="noConversion"/>
  </si>
  <si>
    <t>법인</t>
    <phoneticPr fontId="6" type="noConversion"/>
  </si>
  <si>
    <t>명</t>
  </si>
  <si>
    <t>2. 복사용지 구입</t>
    <phoneticPr fontId="6" type="noConversion"/>
  </si>
  <si>
    <t>3. 프린터 터너, 잉크 등</t>
    <phoneticPr fontId="6" type="noConversion"/>
  </si>
  <si>
    <t>4. 인쇄비(회지, 사업계획 및 평가서 등)</t>
    <phoneticPr fontId="6" type="noConversion"/>
  </si>
  <si>
    <t>5. 소규모수선비(시설잡자재, 전산장비 등)</t>
    <phoneticPr fontId="6" type="noConversion"/>
  </si>
  <si>
    <t>6. 주차료, 통행료, 택배료, 김장 운송비 등</t>
    <phoneticPr fontId="6" type="noConversion"/>
  </si>
  <si>
    <t>7.주방 소모품비</t>
    <phoneticPr fontId="6" type="noConversion"/>
  </si>
  <si>
    <t>8.주방식기세척기 린스, 세제, 유지방분해제 구입비</t>
    <phoneticPr fontId="6" type="noConversion"/>
  </si>
  <si>
    <t>9.홈페이지 유지관리(도메인/호스트/ 유지보수비)</t>
    <phoneticPr fontId="6" type="noConversion"/>
  </si>
  <si>
    <t>10. 기타 수용비 및 수수료</t>
    <phoneticPr fontId="6" type="noConversion"/>
  </si>
  <si>
    <t>11. 체험홈 APT관리비</t>
    <phoneticPr fontId="6" type="noConversion"/>
  </si>
  <si>
    <t>12. 크리스마스 트리장식</t>
    <phoneticPr fontId="6" type="noConversion"/>
  </si>
  <si>
    <t>14. CMS가입비,보증보험료,이용료</t>
    <phoneticPr fontId="6" type="noConversion"/>
  </si>
  <si>
    <t>2.차량검사비</t>
    <phoneticPr fontId="6" type="noConversion"/>
  </si>
  <si>
    <t xml:space="preserve"> 1)국립재활원, 한장협, 경장협, 등 </t>
    <phoneticPr fontId="6" type="noConversion"/>
  </si>
  <si>
    <t>7.직무관련교재구입</t>
    <phoneticPr fontId="6" type="noConversion"/>
  </si>
  <si>
    <t>재산조성비</t>
    <phoneticPr fontId="6" type="noConversion"/>
  </si>
  <si>
    <t>계</t>
    <phoneticPr fontId="6" type="noConversion"/>
  </si>
  <si>
    <t>시설비</t>
    <phoneticPr fontId="6" type="noConversion"/>
  </si>
  <si>
    <t>수수료</t>
    <phoneticPr fontId="6" type="noConversion"/>
  </si>
  <si>
    <t>사업비</t>
    <phoneticPr fontId="6" type="noConversion"/>
  </si>
  <si>
    <t>계</t>
    <phoneticPr fontId="6" type="noConversion"/>
  </si>
  <si>
    <t>경비</t>
    <phoneticPr fontId="6" type="noConversion"/>
  </si>
  <si>
    <t>3. 체험홈 취사용 가스 등</t>
    <phoneticPr fontId="6" type="noConversion"/>
  </si>
  <si>
    <t>조성비</t>
    <phoneticPr fontId="6" type="noConversion"/>
  </si>
  <si>
    <t>보조금</t>
    <phoneticPr fontId="6" type="noConversion"/>
  </si>
  <si>
    <t>반환금</t>
    <phoneticPr fontId="6" type="noConversion"/>
  </si>
  <si>
    <t>반환금</t>
    <phoneticPr fontId="6" type="noConversion"/>
  </si>
  <si>
    <t>보조금 반환금</t>
    <phoneticPr fontId="6" type="noConversion"/>
  </si>
  <si>
    <t>1. 부모회의(교육 및 다과비)</t>
    <phoneticPr fontId="6" type="noConversion"/>
  </si>
  <si>
    <t>4.자부담금(후원금)</t>
    <phoneticPr fontId="6" type="noConversion"/>
  </si>
  <si>
    <t>후원</t>
    <phoneticPr fontId="6" type="noConversion"/>
  </si>
  <si>
    <t>3.차량정비 및  관리비, 소모품</t>
    <phoneticPr fontId="6" type="noConversion"/>
  </si>
  <si>
    <t>6. 몸짱 나들이</t>
    <phoneticPr fontId="6" type="noConversion"/>
  </si>
  <si>
    <t>보조금
(운영/생계)</t>
    <phoneticPr fontId="6" type="noConversion"/>
  </si>
  <si>
    <t>보조금
(7종/재활)</t>
    <phoneticPr fontId="6" type="noConversion"/>
  </si>
  <si>
    <t>유지비</t>
    <phoneticPr fontId="6" type="noConversion"/>
  </si>
  <si>
    <t>보조금반환</t>
    <phoneticPr fontId="28" type="noConversion"/>
  </si>
  <si>
    <t>※ 입소비용수입</t>
    <phoneticPr fontId="6" type="noConversion"/>
  </si>
  <si>
    <t>※ 총 계</t>
    <phoneticPr fontId="6" type="noConversion"/>
  </si>
  <si>
    <t>원</t>
    <phoneticPr fontId="6" type="noConversion"/>
  </si>
  <si>
    <t>5. 재활승마(수원시 보조금으로 진행 \2,000,000)</t>
    <phoneticPr fontId="6" type="noConversion"/>
  </si>
  <si>
    <t>월</t>
    <phoneticPr fontId="6" type="noConversion"/>
  </si>
  <si>
    <t xml:space="preserve">  나.직책보조비</t>
    <phoneticPr fontId="6" type="noConversion"/>
  </si>
  <si>
    <t>* 직원 연찬회(2월,4월,6월,8월,10월,12월)</t>
    <phoneticPr fontId="6" type="noConversion"/>
  </si>
  <si>
    <t>* 조리원 위생복</t>
    <phoneticPr fontId="6" type="noConversion"/>
  </si>
  <si>
    <t xml:space="preserve"> 1)직장내 성희롱 예방교육</t>
    <phoneticPr fontId="6" type="noConversion"/>
  </si>
  <si>
    <t xml:space="preserve"> 2)장애인 인권보장교육</t>
    <phoneticPr fontId="6" type="noConversion"/>
  </si>
  <si>
    <t>보조</t>
    <phoneticPr fontId="6" type="noConversion"/>
  </si>
  <si>
    <t xml:space="preserve"> 3)개인정보보호교육</t>
    <phoneticPr fontId="6" type="noConversion"/>
  </si>
  <si>
    <t xml:space="preserve"> 4)직무교육(개인별 교육계획서 6회)</t>
    <phoneticPr fontId="6" type="noConversion"/>
  </si>
  <si>
    <t>대</t>
    <phoneticPr fontId="6" type="noConversion"/>
  </si>
  <si>
    <t>원</t>
    <phoneticPr fontId="6" type="noConversion"/>
  </si>
  <si>
    <t>2.사무실 노후 컴퓨터 교체</t>
    <phoneticPr fontId="6" type="noConversion"/>
  </si>
  <si>
    <t>1. 봉사동아리(사랑담아)</t>
    <phoneticPr fontId="6" type="noConversion"/>
  </si>
  <si>
    <t>1. 몸짱 원내 프로그램</t>
    <phoneticPr fontId="6" type="noConversion"/>
  </si>
  <si>
    <t>법인</t>
    <phoneticPr fontId="6" type="noConversion"/>
  </si>
  <si>
    <t>보조</t>
    <phoneticPr fontId="6" type="noConversion"/>
  </si>
  <si>
    <t>1.차량유류대(운영비)</t>
    <phoneticPr fontId="6" type="noConversion"/>
  </si>
  <si>
    <t xml:space="preserve">                (7종)</t>
    <phoneticPr fontId="6" type="noConversion"/>
  </si>
  <si>
    <t>잡수</t>
    <phoneticPr fontId="6" type="noConversion"/>
  </si>
  <si>
    <t>3.입소자 부식비(4종)</t>
    <phoneticPr fontId="6" type="noConversion"/>
  </si>
  <si>
    <t>4.입소자 간식비(4종)</t>
    <phoneticPr fontId="6" type="noConversion"/>
  </si>
  <si>
    <t>5.입소자 구료비(특별급식비:4종)</t>
    <phoneticPr fontId="6" type="noConversion"/>
  </si>
  <si>
    <t>4. 가을여행</t>
    <phoneticPr fontId="6" type="noConversion"/>
  </si>
  <si>
    <t>보조</t>
    <phoneticPr fontId="6" type="noConversion"/>
  </si>
  <si>
    <t>(단위:원)</t>
    <phoneticPr fontId="28" type="noConversion"/>
  </si>
  <si>
    <t>세       입</t>
    <phoneticPr fontId="28" type="noConversion"/>
  </si>
  <si>
    <t>세       출</t>
    <phoneticPr fontId="28" type="noConversion"/>
  </si>
  <si>
    <t>구        분</t>
    <phoneticPr fontId="28" type="noConversion"/>
  </si>
  <si>
    <t>증감</t>
    <phoneticPr fontId="28" type="noConversion"/>
  </si>
  <si>
    <t>합        계</t>
    <phoneticPr fontId="28" type="noConversion"/>
  </si>
  <si>
    <t>입소비용수입</t>
    <phoneticPr fontId="28" type="noConversion"/>
  </si>
  <si>
    <t>입소비용   수입</t>
    <phoneticPr fontId="28" type="noConversion"/>
  </si>
  <si>
    <t>사   무   비</t>
    <phoneticPr fontId="28" type="noConversion"/>
  </si>
  <si>
    <t>인      건      비</t>
    <phoneticPr fontId="28" type="noConversion"/>
  </si>
  <si>
    <t>보조금  수입</t>
    <phoneticPr fontId="28" type="noConversion"/>
  </si>
  <si>
    <t>업 무   추 진 비</t>
    <phoneticPr fontId="28" type="noConversion"/>
  </si>
  <si>
    <t>목</t>
    <phoneticPr fontId="6" type="noConversion"/>
  </si>
  <si>
    <t>세목</t>
    <phoneticPr fontId="6" type="noConversion"/>
  </si>
  <si>
    <t>사 업</t>
    <phoneticPr fontId="6" type="noConversion"/>
  </si>
  <si>
    <t>수 입</t>
    <phoneticPr fontId="6" type="noConversion"/>
  </si>
  <si>
    <t>사 업</t>
    <phoneticPr fontId="6" type="noConversion"/>
  </si>
  <si>
    <t>수 입</t>
    <phoneticPr fontId="6" type="noConversion"/>
  </si>
  <si>
    <t>※ 사업수입</t>
    <phoneticPr fontId="6" type="noConversion"/>
  </si>
  <si>
    <t>보조금</t>
    <phoneticPr fontId="6" type="noConversion"/>
  </si>
  <si>
    <t>과년도</t>
    <phoneticPr fontId="6" type="noConversion"/>
  </si>
  <si>
    <t>수  입</t>
    <phoneticPr fontId="6" type="noConversion"/>
  </si>
  <si>
    <t>과년도</t>
    <phoneticPr fontId="6" type="noConversion"/>
  </si>
  <si>
    <t>국 고</t>
    <phoneticPr fontId="6" type="noConversion"/>
  </si>
  <si>
    <t>계</t>
    <phoneticPr fontId="6" type="noConversion"/>
  </si>
  <si>
    <t xml:space="preserve"> &lt;국고 보조금 합계&gt;</t>
    <phoneticPr fontId="6" type="noConversion"/>
  </si>
  <si>
    <t>원</t>
    <phoneticPr fontId="6" type="noConversion"/>
  </si>
  <si>
    <t>시 도</t>
    <phoneticPr fontId="6" type="noConversion"/>
  </si>
  <si>
    <t>보조금</t>
    <phoneticPr fontId="6" type="noConversion"/>
  </si>
  <si>
    <t>회</t>
  </si>
  <si>
    <t>*월동대책비(10월신청)</t>
  </si>
  <si>
    <t>*특별위로금(설날,추석)</t>
  </si>
  <si>
    <t>원</t>
    <phoneticPr fontId="6" type="noConversion"/>
  </si>
  <si>
    <t>시군구</t>
    <phoneticPr fontId="6" type="noConversion"/>
  </si>
  <si>
    <t xml:space="preserve"> &lt;시군구 보조금 합계&gt;</t>
    <phoneticPr fontId="6" type="noConversion"/>
  </si>
  <si>
    <t>기 타</t>
    <phoneticPr fontId="6" type="noConversion"/>
  </si>
  <si>
    <t>기타 보조금</t>
    <phoneticPr fontId="6" type="noConversion"/>
  </si>
  <si>
    <t>지 정</t>
    <phoneticPr fontId="6" type="noConversion"/>
  </si>
  <si>
    <t>후원금</t>
    <phoneticPr fontId="6" type="noConversion"/>
  </si>
  <si>
    <t>지정 후원금</t>
    <phoneticPr fontId="6" type="noConversion"/>
  </si>
  <si>
    <t>&lt;지정후원금&gt;</t>
    <phoneticPr fontId="6" type="noConversion"/>
  </si>
  <si>
    <t>비지정</t>
    <phoneticPr fontId="6" type="noConversion"/>
  </si>
  <si>
    <t>비지정후원금</t>
    <phoneticPr fontId="6" type="noConversion"/>
  </si>
  <si>
    <t xml:space="preserve"> &lt;비지정 후원금 합계&gt;</t>
    <phoneticPr fontId="6" type="noConversion"/>
  </si>
  <si>
    <t>차입금</t>
    <phoneticPr fontId="6" type="noConversion"/>
  </si>
  <si>
    <t>금융</t>
    <phoneticPr fontId="6" type="noConversion"/>
  </si>
  <si>
    <t>기관</t>
    <phoneticPr fontId="6" type="noConversion"/>
  </si>
  <si>
    <t>기타 차입금</t>
    <phoneticPr fontId="6" type="noConversion"/>
  </si>
  <si>
    <t xml:space="preserve"> &lt;금융기관 차입금&gt;</t>
    <phoneticPr fontId="6" type="noConversion"/>
  </si>
  <si>
    <t xml:space="preserve">  *금융기관 차입금</t>
    <phoneticPr fontId="6" type="noConversion"/>
  </si>
  <si>
    <t>금융기관</t>
    <phoneticPr fontId="6" type="noConversion"/>
  </si>
  <si>
    <t xml:space="preserve"> &lt;기타 차입금&gt;</t>
    <phoneticPr fontId="6" type="noConversion"/>
  </si>
  <si>
    <t xml:space="preserve">  *기타 차입금</t>
    <phoneticPr fontId="6" type="noConversion"/>
  </si>
  <si>
    <t>법 인</t>
    <phoneticPr fontId="6" type="noConversion"/>
  </si>
  <si>
    <t>전입금</t>
    <phoneticPr fontId="6" type="noConversion"/>
  </si>
  <si>
    <t>법인전입금</t>
    <phoneticPr fontId="6" type="noConversion"/>
  </si>
  <si>
    <t>법인</t>
    <phoneticPr fontId="6" type="noConversion"/>
  </si>
  <si>
    <t>(후원)</t>
    <phoneticPr fontId="6" type="noConversion"/>
  </si>
  <si>
    <t>(후원금)</t>
    <phoneticPr fontId="6" type="noConversion"/>
  </si>
  <si>
    <t xml:space="preserve"> &lt;법인 전입금&gt;</t>
    <phoneticPr fontId="6" type="noConversion"/>
  </si>
  <si>
    <t xml:space="preserve">  *법인 전입금(후원금)</t>
    <phoneticPr fontId="6" type="noConversion"/>
  </si>
  <si>
    <t>전년도</t>
    <phoneticPr fontId="6" type="noConversion"/>
  </si>
  <si>
    <t>이월금</t>
    <phoneticPr fontId="6" type="noConversion"/>
  </si>
  <si>
    <t>보조금이월금</t>
    <phoneticPr fontId="6" type="noConversion"/>
  </si>
  <si>
    <t>전년도이월금</t>
    <phoneticPr fontId="6" type="noConversion"/>
  </si>
  <si>
    <t xml:space="preserve"> &lt;전년도이월금(후원금)&gt;</t>
    <phoneticPr fontId="6" type="noConversion"/>
  </si>
  <si>
    <t>이 월</t>
    <phoneticPr fontId="6" type="noConversion"/>
  </si>
  <si>
    <t>사업비</t>
    <phoneticPr fontId="6" type="noConversion"/>
  </si>
  <si>
    <t>이월사업비</t>
    <phoneticPr fontId="6" type="noConversion"/>
  </si>
  <si>
    <t xml:space="preserve"> &lt;이월 사업비&gt;</t>
    <phoneticPr fontId="6" type="noConversion"/>
  </si>
  <si>
    <t>불용품</t>
    <phoneticPr fontId="6" type="noConversion"/>
  </si>
  <si>
    <t>매각대</t>
    <phoneticPr fontId="6" type="noConversion"/>
  </si>
  <si>
    <t>불용품매각대</t>
    <phoneticPr fontId="6" type="noConversion"/>
  </si>
  <si>
    <t>기타예</t>
    <phoneticPr fontId="6" type="noConversion"/>
  </si>
  <si>
    <t>금이자</t>
    <phoneticPr fontId="6" type="noConversion"/>
  </si>
  <si>
    <t>기타예금이자</t>
    <phoneticPr fontId="6" type="noConversion"/>
  </si>
  <si>
    <t>수     입</t>
    <phoneticPr fontId="6" type="noConversion"/>
  </si>
  <si>
    <t>잡수입</t>
    <phoneticPr fontId="6" type="noConversion"/>
  </si>
  <si>
    <t>기타잡수입</t>
    <phoneticPr fontId="6" type="noConversion"/>
  </si>
  <si>
    <t xml:space="preserve"> &lt;불용품매각대&gt;</t>
    <phoneticPr fontId="6" type="noConversion"/>
  </si>
  <si>
    <t xml:space="preserve"> &lt;기타예금이자수입&gt;</t>
    <phoneticPr fontId="6" type="noConversion"/>
  </si>
  <si>
    <t>&lt;생계비&gt;</t>
    <phoneticPr fontId="6" type="noConversion"/>
  </si>
  <si>
    <t>계:</t>
    <phoneticPr fontId="6" type="noConversion"/>
  </si>
  <si>
    <t>생계비</t>
    <phoneticPr fontId="6" type="noConversion"/>
  </si>
  <si>
    <t>보조금</t>
    <phoneticPr fontId="6" type="noConversion"/>
  </si>
  <si>
    <t>수 입</t>
    <phoneticPr fontId="6" type="noConversion"/>
  </si>
  <si>
    <t>수 입</t>
    <phoneticPr fontId="6" type="noConversion"/>
  </si>
  <si>
    <t>원</t>
    <phoneticPr fontId="6" type="noConversion"/>
  </si>
  <si>
    <t>※ 과년도 수입</t>
    <phoneticPr fontId="6" type="noConversion"/>
  </si>
  <si>
    <t>소계 :</t>
    <phoneticPr fontId="6" type="noConversion"/>
  </si>
  <si>
    <t>원</t>
    <phoneticPr fontId="6" type="noConversion"/>
  </si>
  <si>
    <t xml:space="preserve"> &lt;시도 보조금 합계&gt;</t>
    <phoneticPr fontId="6" type="noConversion"/>
  </si>
  <si>
    <t>인건비</t>
    <phoneticPr fontId="6" type="noConversion"/>
  </si>
  <si>
    <t>원</t>
    <phoneticPr fontId="6" type="noConversion"/>
  </si>
  <si>
    <t xml:space="preserve"> 나.가족수당</t>
    <phoneticPr fontId="6" type="noConversion"/>
  </si>
  <si>
    <t>÷</t>
    <phoneticPr fontId="6" type="noConversion"/>
  </si>
  <si>
    <t>월</t>
    <phoneticPr fontId="6" type="noConversion"/>
  </si>
  <si>
    <t>=</t>
    <phoneticPr fontId="6" type="noConversion"/>
  </si>
  <si>
    <t>×</t>
    <phoneticPr fontId="6" type="noConversion"/>
  </si>
  <si>
    <t>=</t>
    <phoneticPr fontId="6" type="noConversion"/>
  </si>
  <si>
    <t>소계 :</t>
    <phoneticPr fontId="6" type="noConversion"/>
  </si>
  <si>
    <t>&lt;인건비 : 31명&gt;</t>
    <phoneticPr fontId="6" type="noConversion"/>
  </si>
  <si>
    <t>운영비</t>
    <phoneticPr fontId="6" type="noConversion"/>
  </si>
  <si>
    <t>&lt;운영비&gt;</t>
    <phoneticPr fontId="6" type="noConversion"/>
  </si>
  <si>
    <t xml:space="preserve"> * 시설당 기본지원</t>
    <phoneticPr fontId="6" type="noConversion"/>
  </si>
  <si>
    <t xml:space="preserve"> * 거주 장애인수 가중지원</t>
    <phoneticPr fontId="6" type="noConversion"/>
  </si>
  <si>
    <t>명</t>
    <phoneticPr fontId="6" type="noConversion"/>
  </si>
  <si>
    <t>입소자지원금</t>
    <phoneticPr fontId="6" type="noConversion"/>
  </si>
  <si>
    <t>(4종)</t>
    <phoneticPr fontId="6" type="noConversion"/>
  </si>
  <si>
    <t>&lt;입소자지원금 : 4종&gt;</t>
    <phoneticPr fontId="6" type="noConversion"/>
  </si>
  <si>
    <t>*입소자 부식비(매월신청)</t>
    <phoneticPr fontId="6" type="noConversion"/>
  </si>
  <si>
    <t>일</t>
    <phoneticPr fontId="6" type="noConversion"/>
  </si>
  <si>
    <t>*입소자 간식비(매월신청)</t>
    <phoneticPr fontId="6" type="noConversion"/>
  </si>
  <si>
    <t>*입소자 구료비(특별피복비)</t>
    <phoneticPr fontId="6" type="noConversion"/>
  </si>
  <si>
    <t>회</t>
    <phoneticPr fontId="6" type="noConversion"/>
  </si>
  <si>
    <t xml:space="preserve">              (특별급식비)</t>
    <phoneticPr fontId="6" type="noConversion"/>
  </si>
  <si>
    <t>(설날,장애인의날, 추석,연말)</t>
    <phoneticPr fontId="6" type="noConversion"/>
  </si>
  <si>
    <t>*입소자 건강진단비</t>
    <phoneticPr fontId="6" type="noConversion"/>
  </si>
  <si>
    <t>시설운영지원</t>
    <phoneticPr fontId="6" type="noConversion"/>
  </si>
  <si>
    <t>(7종)</t>
    <phoneticPr fontId="6" type="noConversion"/>
  </si>
  <si>
    <t>&lt;시설운영지원금 : 7종&gt;</t>
    <phoneticPr fontId="6" type="noConversion"/>
  </si>
  <si>
    <t>A.. 인건비 지원금</t>
    <phoneticPr fontId="6" type="noConversion"/>
  </si>
  <si>
    <t xml:space="preserve"> 1.기본급 (인건비 산출내역 참조)</t>
    <phoneticPr fontId="6" type="noConversion"/>
  </si>
  <si>
    <t xml:space="preserve"> 2.제수당</t>
    <phoneticPr fontId="6" type="noConversion"/>
  </si>
  <si>
    <t xml:space="preserve"> 3.종사자퇴직금적립금</t>
    <phoneticPr fontId="6" type="noConversion"/>
  </si>
  <si>
    <t xml:space="preserve"> 4.종사자사회보험부담금</t>
    <phoneticPr fontId="6" type="noConversion"/>
  </si>
  <si>
    <t>중계 :</t>
    <phoneticPr fontId="6" type="noConversion"/>
  </si>
  <si>
    <t>B.. 운영비 지원금</t>
    <phoneticPr fontId="6" type="noConversion"/>
  </si>
  <si>
    <t>*차량운영비</t>
    <phoneticPr fontId="6" type="noConversion"/>
  </si>
  <si>
    <t>*출산휴가 대체인건비 지원</t>
    <phoneticPr fontId="6" type="noConversion"/>
  </si>
  <si>
    <t>B.. 재활프로그램 지원금</t>
    <phoneticPr fontId="6" type="noConversion"/>
  </si>
  <si>
    <t>재활프로그램</t>
    <phoneticPr fontId="6" type="noConversion"/>
  </si>
  <si>
    <t>지원금</t>
    <phoneticPr fontId="6" type="noConversion"/>
  </si>
  <si>
    <t>계 :</t>
    <phoneticPr fontId="6" type="noConversion"/>
  </si>
  <si>
    <t xml:space="preserve"> * 경기도 재활프로그램(도예)</t>
    <phoneticPr fontId="6" type="noConversion"/>
  </si>
  <si>
    <t>&lt;재활프로그램 지원금&gt;</t>
    <phoneticPr fontId="6" type="noConversion"/>
  </si>
  <si>
    <t xml:space="preserve"> * 여름캠프 지원금</t>
    <phoneticPr fontId="6" type="noConversion"/>
  </si>
  <si>
    <t xml:space="preserve"> * 가을여행지원금</t>
    <phoneticPr fontId="6" type="noConversion"/>
  </si>
  <si>
    <t xml:space="preserve"> * 시지원 프로그램비(재활승마)</t>
    <phoneticPr fontId="6" type="noConversion"/>
  </si>
  <si>
    <t>(후원)</t>
    <phoneticPr fontId="6" type="noConversion"/>
  </si>
  <si>
    <t>(후원금)</t>
    <phoneticPr fontId="6" type="noConversion"/>
  </si>
  <si>
    <t xml:space="preserve"> *법인전입금</t>
    <phoneticPr fontId="6" type="noConversion"/>
  </si>
  <si>
    <t>원</t>
    <phoneticPr fontId="6" type="noConversion"/>
  </si>
  <si>
    <t xml:space="preserve"> * 예금이자(운영비)</t>
    <phoneticPr fontId="6" type="noConversion"/>
  </si>
  <si>
    <t xml:space="preserve"> * 예금이자(4종)</t>
    <phoneticPr fontId="6" type="noConversion"/>
  </si>
  <si>
    <t xml:space="preserve"> * 예금이자(7종)</t>
    <phoneticPr fontId="6" type="noConversion"/>
  </si>
  <si>
    <t xml:space="preserve"> * 예금이자(입소비용)</t>
    <phoneticPr fontId="6" type="noConversion"/>
  </si>
  <si>
    <t xml:space="preserve"> &lt;입소비용이월금&gt;</t>
    <phoneticPr fontId="6" type="noConversion"/>
  </si>
  <si>
    <t>입소비용이월금</t>
    <phoneticPr fontId="6" type="noConversion"/>
  </si>
  <si>
    <t xml:space="preserve"> &lt;보조금이월금&gt;</t>
    <phoneticPr fontId="6" type="noConversion"/>
  </si>
  <si>
    <t>잡수입이월금</t>
  </si>
  <si>
    <t xml:space="preserve"> * 예금이자(생계비)</t>
    <phoneticPr fontId="6" type="noConversion"/>
  </si>
  <si>
    <t>전입금이월금</t>
    <phoneticPr fontId="6" type="noConversion"/>
  </si>
  <si>
    <t xml:space="preserve"> &lt;법인전입금이월금&gt;</t>
    <phoneticPr fontId="6" type="noConversion"/>
  </si>
  <si>
    <t xml:space="preserve"> * 예금이자(법인전입금)</t>
    <phoneticPr fontId="6" type="noConversion"/>
  </si>
  <si>
    <t xml:space="preserve"> &lt;잡수입이월금&gt;</t>
    <phoneticPr fontId="6" type="noConversion"/>
  </si>
  <si>
    <t xml:space="preserve"> * 예금이자(잡수입)</t>
    <phoneticPr fontId="6" type="noConversion"/>
  </si>
  <si>
    <t xml:space="preserve"> &lt;기타예금이자 수입&gt;</t>
    <phoneticPr fontId="6" type="noConversion"/>
  </si>
  <si>
    <t xml:space="preserve"> * 예금이자(재활프로그램)</t>
    <phoneticPr fontId="6" type="noConversion"/>
  </si>
  <si>
    <t xml:space="preserve"> * 예금이자(후원금)</t>
    <phoneticPr fontId="6" type="noConversion"/>
  </si>
  <si>
    <t xml:space="preserve"> &lt;기타잡수입&gt;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</si>
  <si>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</si>
  <si>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</si>
  <si>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</si>
  <si>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월</t>
    <phoneticPr fontId="6" type="noConversion"/>
  </si>
  <si>
    <t>=</t>
    <phoneticPr fontId="6" type="noConversion"/>
  </si>
  <si>
    <t>* 직업재활 직원급식비</t>
    <phoneticPr fontId="6" type="noConversion"/>
  </si>
  <si>
    <t>* 식권 수입</t>
    <phoneticPr fontId="6" type="noConversion"/>
  </si>
  <si>
    <t>* 실습생 20명 실습비</t>
    <phoneticPr fontId="6" type="noConversion"/>
  </si>
  <si>
    <t>* 기타 잡수입(공익실습비/경장협 행사지원금 수입 등)</t>
    <phoneticPr fontId="6" type="noConversion"/>
  </si>
  <si>
    <t>* 거주시설 직원급식비</t>
    <phoneticPr fontId="6" type="noConversion"/>
  </si>
  <si>
    <t>소계 :</t>
    <phoneticPr fontId="6" type="noConversion"/>
  </si>
  <si>
    <t>결연 후원금</t>
    <phoneticPr fontId="6" type="noConversion"/>
  </si>
  <si>
    <t xml:space="preserve">  *결연후원금</t>
    <phoneticPr fontId="6" type="noConversion"/>
  </si>
  <si>
    <t>소  계</t>
    <phoneticPr fontId="6" type="noConversion"/>
  </si>
  <si>
    <t>※ 보조금수입 합계</t>
    <phoneticPr fontId="6" type="noConversion"/>
  </si>
  <si>
    <t>소  계</t>
    <phoneticPr fontId="6" type="noConversion"/>
  </si>
  <si>
    <t>※후원금수입</t>
    <phoneticPr fontId="6" type="noConversion"/>
  </si>
  <si>
    <t>※ 차 입 금</t>
    <phoneticPr fontId="6" type="noConversion"/>
  </si>
  <si>
    <t>※법인 전입금</t>
    <phoneticPr fontId="6" type="noConversion"/>
  </si>
  <si>
    <t>※이 월 금</t>
    <phoneticPr fontId="6" type="noConversion"/>
  </si>
  <si>
    <t>※ 잡 수 입</t>
    <phoneticPr fontId="6" type="noConversion"/>
  </si>
  <si>
    <t>계</t>
    <phoneticPr fontId="6" type="noConversion"/>
  </si>
  <si>
    <t xml:space="preserve"> &lt;지정 후원금 합계&gt;</t>
    <phoneticPr fontId="6" type="noConversion"/>
  </si>
  <si>
    <t xml:space="preserve"> &lt;법인 전입금&gt;</t>
    <phoneticPr fontId="6" type="noConversion"/>
  </si>
  <si>
    <t xml:space="preserve"> &lt;법인 전입금(후원금)&gt;</t>
    <phoneticPr fontId="6" type="noConversion"/>
  </si>
  <si>
    <t xml:space="preserve"> &lt;전년도 이월금&gt;</t>
    <phoneticPr fontId="6" type="noConversion"/>
  </si>
  <si>
    <t>1.법인지원 직원 인건비</t>
    <phoneticPr fontId="6" type="noConversion"/>
  </si>
  <si>
    <t>법인지원 직원 인건비 합  계 :</t>
    <phoneticPr fontId="6" type="noConversion"/>
  </si>
  <si>
    <t xml:space="preserve">  *기본급</t>
    <phoneticPr fontId="6" type="noConversion"/>
  </si>
  <si>
    <t xml:space="preserve">  *국민연금부담금</t>
    <phoneticPr fontId="6" type="noConversion"/>
  </si>
  <si>
    <t xml:space="preserve">  *건강보험부담금</t>
    <phoneticPr fontId="6" type="noConversion"/>
  </si>
  <si>
    <t xml:space="preserve">  *장기요양보험부담금</t>
    <phoneticPr fontId="6" type="noConversion"/>
  </si>
  <si>
    <t xml:space="preserve">  *고용보험부담금</t>
    <phoneticPr fontId="6" type="noConversion"/>
  </si>
  <si>
    <t xml:space="preserve">  *산재보험부담금</t>
    <phoneticPr fontId="6" type="noConversion"/>
  </si>
  <si>
    <t xml:space="preserve">  *퇴직금적립금</t>
    <phoneticPr fontId="6" type="noConversion"/>
  </si>
  <si>
    <t>2.직책보조비 지원</t>
    <phoneticPr fontId="6" type="noConversion"/>
  </si>
  <si>
    <t>직책보조비 지원금 합계 :</t>
    <phoneticPr fontId="6" type="noConversion"/>
  </si>
  <si>
    <t>법인지원 퇴직금적립금 합계 :</t>
    <phoneticPr fontId="6" type="noConversion"/>
  </si>
  <si>
    <t>* 직책보조비 퇴직금적립금</t>
    <phoneticPr fontId="6" type="noConversion"/>
  </si>
  <si>
    <t>직원 기타후생경비 합계 :</t>
    <phoneticPr fontId="6" type="noConversion"/>
  </si>
  <si>
    <t>* 직원경조사비</t>
    <phoneticPr fontId="6" type="noConversion"/>
  </si>
  <si>
    <t>* 상조회 지원금(상,하반기)</t>
    <phoneticPr fontId="6" type="noConversion"/>
  </si>
  <si>
    <t>회</t>
    <phoneticPr fontId="6" type="noConversion"/>
  </si>
  <si>
    <t>* 직원 축일/생일 축하 문화상품권</t>
    <phoneticPr fontId="6" type="noConversion"/>
  </si>
  <si>
    <t>* 직원 다이어리 구입</t>
    <phoneticPr fontId="6" type="noConversion"/>
  </si>
  <si>
    <t>* 우수직원 포상금(12월)</t>
    <phoneticPr fontId="6" type="noConversion"/>
  </si>
  <si>
    <t>직원 교육훈련비 합계 :</t>
    <phoneticPr fontId="6" type="noConversion"/>
  </si>
  <si>
    <t>* 외부전문가 자문비</t>
    <phoneticPr fontId="6" type="noConversion"/>
  </si>
  <si>
    <t>* 사업평가및계획워크샵</t>
    <phoneticPr fontId="6" type="noConversion"/>
  </si>
  <si>
    <t>기타 운영비 지원금 :</t>
    <phoneticPr fontId="6" type="noConversion"/>
  </si>
  <si>
    <t>* 기관운영비(유관기관경조사비)</t>
    <phoneticPr fontId="6" type="noConversion"/>
  </si>
  <si>
    <t>* 시설장 여비</t>
    <phoneticPr fontId="6" type="noConversion"/>
  </si>
  <si>
    <t>회의비 :</t>
    <phoneticPr fontId="6" type="noConversion"/>
  </si>
  <si>
    <t>* 회의비</t>
    <phoneticPr fontId="6" type="noConversion"/>
  </si>
  <si>
    <t>원</t>
    <phoneticPr fontId="6" type="noConversion"/>
  </si>
  <si>
    <t xml:space="preserve"> * 여름캠프 이월금</t>
    <phoneticPr fontId="6" type="noConversion"/>
  </si>
  <si>
    <t>후원</t>
    <phoneticPr fontId="6" type="noConversion"/>
  </si>
  <si>
    <t>후원</t>
    <phoneticPr fontId="6" type="noConversion"/>
  </si>
  <si>
    <t>보조</t>
    <phoneticPr fontId="6" type="noConversion"/>
  </si>
  <si>
    <t>지정</t>
    <phoneticPr fontId="6" type="noConversion"/>
  </si>
  <si>
    <t>5. 야구동아리</t>
    <phoneticPr fontId="6" type="noConversion"/>
  </si>
  <si>
    <t>2. 몸짱 수중운동 프로그램(아쿠아로빅)</t>
    <phoneticPr fontId="6" type="noConversion"/>
  </si>
  <si>
    <t>입소</t>
    <phoneticPr fontId="6" type="noConversion"/>
  </si>
  <si>
    <t>입소</t>
    <phoneticPr fontId="6" type="noConversion"/>
  </si>
  <si>
    <t>보조</t>
    <phoneticPr fontId="6" type="noConversion"/>
  </si>
  <si>
    <t>법인</t>
    <phoneticPr fontId="6" type="noConversion"/>
  </si>
  <si>
    <t>1. 예금이자(운영비)</t>
    <phoneticPr fontId="6" type="noConversion"/>
  </si>
  <si>
    <t>2. 예금이자(생계비)</t>
    <phoneticPr fontId="6" type="noConversion"/>
  </si>
  <si>
    <t>3. 예금이자(4종)</t>
    <phoneticPr fontId="6" type="noConversion"/>
  </si>
  <si>
    <t>4. 예금이자(7종)</t>
    <phoneticPr fontId="6" type="noConversion"/>
  </si>
  <si>
    <t>5. 예금이자(경기도재활프로그램)</t>
    <phoneticPr fontId="6" type="noConversion"/>
  </si>
  <si>
    <t>6. 예금이자(입소비용)</t>
    <phoneticPr fontId="6" type="noConversion"/>
  </si>
  <si>
    <t>7. 예금이자(후원금)</t>
    <phoneticPr fontId="6" type="noConversion"/>
  </si>
  <si>
    <t>8. 예금이자(법인전입금)</t>
    <phoneticPr fontId="6" type="noConversion"/>
  </si>
  <si>
    <t>9. 예금이자(잡수입)</t>
    <phoneticPr fontId="6" type="noConversion"/>
  </si>
  <si>
    <t>9.물리치료기기 수리비</t>
    <phoneticPr fontId="6" type="noConversion"/>
  </si>
  <si>
    <t>10.기타 시설물 관리 및 보수비</t>
    <phoneticPr fontId="6" type="noConversion"/>
  </si>
  <si>
    <t>합    계 :</t>
    <phoneticPr fontId="6" type="noConversion"/>
  </si>
  <si>
    <t xml:space="preserve"> </t>
    <phoneticPr fontId="6" type="noConversion"/>
  </si>
  <si>
    <t>원</t>
    <phoneticPr fontId="6" type="noConversion"/>
  </si>
  <si>
    <t>2.특별피복비(도비4종)</t>
    <phoneticPr fontId="6" type="noConversion"/>
  </si>
  <si>
    <t>후원</t>
    <phoneticPr fontId="6" type="noConversion"/>
  </si>
  <si>
    <t>후원</t>
    <phoneticPr fontId="6" type="noConversion"/>
  </si>
  <si>
    <t>4. 주방식기류 및 그릇 보강</t>
    <phoneticPr fontId="6" type="noConversion"/>
  </si>
  <si>
    <t>국고보조금</t>
    <phoneticPr fontId="28" type="noConversion"/>
  </si>
  <si>
    <t>시도보조금</t>
    <phoneticPr fontId="28" type="noConversion"/>
  </si>
  <si>
    <t>시군구보조금</t>
    <phoneticPr fontId="28" type="noConversion"/>
  </si>
  <si>
    <t>* 입소자 제작 물품판매 수입</t>
    <phoneticPr fontId="6" type="noConversion"/>
  </si>
  <si>
    <t>원</t>
    <phoneticPr fontId="6" type="noConversion"/>
  </si>
  <si>
    <t>* 직원하계수련회비용</t>
    <phoneticPr fontId="6" type="noConversion"/>
  </si>
  <si>
    <t>* 장기근속자(10년 : 김인선, 김정금)</t>
    <phoneticPr fontId="6" type="noConversion"/>
  </si>
  <si>
    <t>* 실무자 워크샵</t>
    <phoneticPr fontId="6" type="noConversion"/>
  </si>
  <si>
    <t>* 장기근속자 포상(10년 김인선, 김정금)</t>
    <phoneticPr fontId="6" type="noConversion"/>
  </si>
  <si>
    <t>보조</t>
    <phoneticPr fontId="6" type="noConversion"/>
  </si>
  <si>
    <t>지후</t>
    <phoneticPr fontId="6" type="noConversion"/>
  </si>
  <si>
    <t>1.물리치료실  및 생활실, 체험홈 저항자전거 구입</t>
    <phoneticPr fontId="6" type="noConversion"/>
  </si>
  <si>
    <t>3. 업무용 소형차량 1대</t>
    <phoneticPr fontId="6" type="noConversion"/>
  </si>
  <si>
    <t>4. 주방 김치냉장고</t>
    <phoneticPr fontId="6" type="noConversion"/>
  </si>
  <si>
    <t>8. 체험홈 환경개선 사업 및 차량구입 자금 마련 일일호프 경비</t>
    <phoneticPr fontId="6" type="noConversion"/>
  </si>
  <si>
    <t>잡수</t>
    <phoneticPr fontId="6" type="noConversion"/>
  </si>
  <si>
    <t>1. 결연후원금 지급</t>
    <phoneticPr fontId="6" type="noConversion"/>
  </si>
  <si>
    <t>보조</t>
    <phoneticPr fontId="6" type="noConversion"/>
  </si>
  <si>
    <t>보조</t>
    <phoneticPr fontId="6" type="noConversion"/>
  </si>
  <si>
    <t>지후</t>
    <phoneticPr fontId="6" type="noConversion"/>
  </si>
  <si>
    <t>지후</t>
    <phoneticPr fontId="6" type="noConversion"/>
  </si>
  <si>
    <t>2014년
본예산</t>
    <phoneticPr fontId="28" type="noConversion"/>
  </si>
  <si>
    <t xml:space="preserve">  *시설비 및 자산취득비 등</t>
    <phoneticPr fontId="6" type="noConversion"/>
  </si>
  <si>
    <t xml:space="preserve">  *역도 및 아쿠아로빅 프로그램비</t>
    <phoneticPr fontId="6" type="noConversion"/>
  </si>
  <si>
    <t xml:space="preserve">  *주임</t>
    <phoneticPr fontId="6" type="noConversion"/>
  </si>
  <si>
    <t>3. 일직근무수당 지원</t>
    <phoneticPr fontId="6" type="noConversion"/>
  </si>
  <si>
    <t xml:space="preserve">  *일직근무수당</t>
    <phoneticPr fontId="6" type="noConversion"/>
  </si>
  <si>
    <t>회</t>
    <phoneticPr fontId="6" type="noConversion"/>
  </si>
  <si>
    <t>4.법인지원 퇴직금적립금</t>
    <phoneticPr fontId="6" type="noConversion"/>
  </si>
  <si>
    <t>* 일직근무수당 퇴직금적립금</t>
    <phoneticPr fontId="6" type="noConversion"/>
  </si>
  <si>
    <t>일직근무수당 지원금 합계 :</t>
    <phoneticPr fontId="6" type="noConversion"/>
  </si>
  <si>
    <t>5.직원 기타후생경비</t>
    <phoneticPr fontId="6" type="noConversion"/>
  </si>
  <si>
    <t>6.직원 연수 및 교육훈련비</t>
    <phoneticPr fontId="6" type="noConversion"/>
  </si>
  <si>
    <t xml:space="preserve">7.기타 운영비 </t>
    <phoneticPr fontId="6" type="noConversion"/>
  </si>
  <si>
    <t>8.회의비</t>
    <phoneticPr fontId="6" type="noConversion"/>
  </si>
  <si>
    <t>보조</t>
    <phoneticPr fontId="6" type="noConversion"/>
  </si>
  <si>
    <t>3.외래진료 및 의약품비 등</t>
    <phoneticPr fontId="6" type="noConversion"/>
  </si>
  <si>
    <t>4.특수검사비</t>
    <phoneticPr fontId="6" type="noConversion"/>
  </si>
  <si>
    <t>5.이용인/직원/봉사자 등 구충제</t>
    <phoneticPr fontId="6" type="noConversion"/>
  </si>
  <si>
    <t>6.재활치료용품(치료용겔/초음파겔/테이핑 테이프 등)</t>
    <phoneticPr fontId="6" type="noConversion"/>
  </si>
  <si>
    <t>(주임)</t>
    <phoneticPr fontId="6" type="noConversion"/>
  </si>
  <si>
    <t>후원</t>
    <phoneticPr fontId="6" type="noConversion"/>
  </si>
  <si>
    <t xml:space="preserve">  다.일직근무수당</t>
    <phoneticPr fontId="6" type="noConversion"/>
  </si>
  <si>
    <t>6.일직근무수당(법인전입금)</t>
    <phoneticPr fontId="6" type="noConversion"/>
  </si>
  <si>
    <t xml:space="preserve"> * 일직근무수당</t>
    <phoneticPr fontId="6" type="noConversion"/>
  </si>
  <si>
    <t>후원</t>
    <phoneticPr fontId="6" type="noConversion"/>
  </si>
  <si>
    <t>잡수</t>
    <phoneticPr fontId="6" type="noConversion"/>
  </si>
  <si>
    <t>2.내부교육(고용보험 환급과정)</t>
    <phoneticPr fontId="6" type="noConversion"/>
  </si>
  <si>
    <t>후원</t>
    <phoneticPr fontId="6" type="noConversion"/>
  </si>
  <si>
    <t>후원</t>
    <phoneticPr fontId="6" type="noConversion"/>
  </si>
  <si>
    <t xml:space="preserve"> * 교육 및 출장여비</t>
    <phoneticPr fontId="6" type="noConversion"/>
  </si>
  <si>
    <t>회</t>
    <phoneticPr fontId="6" type="noConversion"/>
  </si>
  <si>
    <t>원</t>
    <phoneticPr fontId="6" type="noConversion"/>
  </si>
  <si>
    <t>( 보조금 100만원/ 잡수입 425만원)</t>
    <phoneticPr fontId="6" type="noConversion"/>
  </si>
  <si>
    <t>지후</t>
    <phoneticPr fontId="6" type="noConversion"/>
  </si>
  <si>
    <t>입소</t>
    <phoneticPr fontId="6" type="noConversion"/>
  </si>
  <si>
    <t>8.직원급식비(직재)</t>
    <phoneticPr fontId="6" type="noConversion"/>
  </si>
  <si>
    <t>9.식권수입</t>
    <phoneticPr fontId="6" type="noConversion"/>
  </si>
  <si>
    <t>1.입소자 건강진단비(4종)</t>
    <phoneticPr fontId="6" type="noConversion"/>
  </si>
  <si>
    <t>원</t>
    <phoneticPr fontId="6" type="noConversion"/>
  </si>
  <si>
    <t xml:space="preserve">  *부장</t>
    <phoneticPr fontId="6" type="noConversion"/>
  </si>
  <si>
    <t xml:space="preserve">                  (부장)</t>
    <phoneticPr fontId="6" type="noConversion"/>
  </si>
  <si>
    <t>2014년
본예산액
(A)
(단위:천원)</t>
    <phoneticPr fontId="6" type="noConversion"/>
  </si>
  <si>
    <t>2014년
1차추경액
(B)
(단위:천원)</t>
    <phoneticPr fontId="6" type="noConversion"/>
  </si>
  <si>
    <t>2014년
본예산액(A)
(단위:천원)</t>
    <phoneticPr fontId="6" type="noConversion"/>
  </si>
  <si>
    <t>2014년 1차 추경액(단위:천원)</t>
    <phoneticPr fontId="6" type="noConversion"/>
  </si>
  <si>
    <t>*환경개선사업비</t>
    <phoneticPr fontId="6" type="noConversion"/>
  </si>
  <si>
    <t xml:space="preserve"> * 직원 건강진단비</t>
    <phoneticPr fontId="6" type="noConversion"/>
  </si>
  <si>
    <t>* 정부지원 단체 상해공제보험</t>
    <phoneticPr fontId="6" type="noConversion"/>
  </si>
  <si>
    <t xml:space="preserve">6.기타 </t>
    <phoneticPr fontId="6" type="noConversion"/>
  </si>
  <si>
    <t>5. 정품 소프트웨어 구매</t>
    <phoneticPr fontId="6" type="noConversion"/>
  </si>
  <si>
    <t xml:space="preserve">    * MS-Window Pro 8.1</t>
    <phoneticPr fontId="6" type="noConversion"/>
  </si>
  <si>
    <t>개</t>
    <phoneticPr fontId="6" type="noConversion"/>
  </si>
  <si>
    <t>1.경상보조금 (종사자31명)</t>
    <phoneticPr fontId="6" type="noConversion"/>
  </si>
  <si>
    <t>2.인건비지원(7종) : 운전원, 조리원 2명</t>
    <phoneticPr fontId="6" type="noConversion"/>
  </si>
  <si>
    <t>1.기본급 (인건비 산출내역 참조)</t>
    <phoneticPr fontId="6" type="noConversion"/>
  </si>
  <si>
    <t>2.제수당</t>
    <phoneticPr fontId="6" type="noConversion"/>
  </si>
  <si>
    <t xml:space="preserve"> 가.명절휴가비</t>
    <phoneticPr fontId="6" type="noConversion"/>
  </si>
  <si>
    <t xml:space="preserve"> 다.연장근로수당</t>
    <phoneticPr fontId="6" type="noConversion"/>
  </si>
  <si>
    <t>3.종사자퇴직금적립금</t>
    <phoneticPr fontId="6" type="noConversion"/>
  </si>
  <si>
    <t xml:space="preserve"> *경상보조금 31명</t>
    <phoneticPr fontId="6" type="noConversion"/>
  </si>
  <si>
    <t>4.종사자사회보험부담금</t>
    <phoneticPr fontId="6" type="noConversion"/>
  </si>
  <si>
    <t xml:space="preserve"> 가.국민연금부담금</t>
    <phoneticPr fontId="6" type="noConversion"/>
  </si>
  <si>
    <t xml:space="preserve"> 나.건강보험부담금</t>
    <phoneticPr fontId="6" type="noConversion"/>
  </si>
  <si>
    <t xml:space="preserve"> 다.장기요양보험부담금</t>
    <phoneticPr fontId="6" type="noConversion"/>
  </si>
  <si>
    <t xml:space="preserve"> 라.고용보험부담금</t>
    <phoneticPr fontId="6" type="noConversion"/>
  </si>
  <si>
    <t xml:space="preserve"> 마.산재보험부담금</t>
    <phoneticPr fontId="6" type="noConversion"/>
  </si>
  <si>
    <t xml:space="preserve"> 가. 조리보조원</t>
    <phoneticPr fontId="6" type="noConversion"/>
  </si>
  <si>
    <t xml:space="preserve"> 나. 운전원</t>
    <phoneticPr fontId="6" type="noConversion"/>
  </si>
  <si>
    <t xml:space="preserve"> 가.명절휴가비</t>
    <phoneticPr fontId="6" type="noConversion"/>
  </si>
  <si>
    <t xml:space="preserve"> 나.가족수당</t>
    <phoneticPr fontId="6" type="noConversion"/>
  </si>
  <si>
    <t xml:space="preserve"> 다.연장근로수당</t>
    <phoneticPr fontId="6" type="noConversion"/>
  </si>
  <si>
    <t xml:space="preserve"> 라. 특수근무수당</t>
    <phoneticPr fontId="6" type="noConversion"/>
  </si>
  <si>
    <t xml:space="preserve"> *운전원/조리보조원(2명)</t>
    <phoneticPr fontId="6" type="noConversion"/>
  </si>
  <si>
    <t xml:space="preserve"> 가.국민연금부담금</t>
    <phoneticPr fontId="6" type="noConversion"/>
  </si>
  <si>
    <t xml:space="preserve"> 나.건강보험부담금</t>
    <phoneticPr fontId="6" type="noConversion"/>
  </si>
  <si>
    <t xml:space="preserve"> 다.장기요양보험부담금</t>
    <phoneticPr fontId="6" type="noConversion"/>
  </si>
  <si>
    <t xml:space="preserve"> 라.고용보험부담금</t>
    <phoneticPr fontId="6" type="noConversion"/>
  </si>
  <si>
    <t xml:space="preserve"> 마.산재보험부담금</t>
    <phoneticPr fontId="6" type="noConversion"/>
  </si>
  <si>
    <t>*생계비</t>
    <phoneticPr fontId="6" type="noConversion"/>
  </si>
  <si>
    <t>2.제수당</t>
    <phoneticPr fontId="6" type="noConversion"/>
  </si>
  <si>
    <t xml:space="preserve"> 가.국민연금부담금</t>
    <phoneticPr fontId="6" type="noConversion"/>
  </si>
  <si>
    <t xml:space="preserve"> 나.건강보험부담금</t>
    <phoneticPr fontId="6" type="noConversion"/>
  </si>
  <si>
    <t xml:space="preserve"> 다.장기요양보험부담금</t>
    <phoneticPr fontId="6" type="noConversion"/>
  </si>
  <si>
    <t xml:space="preserve"> 라.고용보험부담금</t>
    <phoneticPr fontId="6" type="noConversion"/>
  </si>
  <si>
    <t xml:space="preserve"> 마.산재보험부담금</t>
    <phoneticPr fontId="6" type="noConversion"/>
  </si>
  <si>
    <t xml:space="preserve"> &lt;후원금이월금&gt;</t>
    <phoneticPr fontId="6" type="noConversion"/>
  </si>
  <si>
    <t xml:space="preserve"> * 후원금이월액</t>
    <phoneticPr fontId="6" type="noConversion"/>
  </si>
  <si>
    <t xml:space="preserve"> * 생계비보조금이월액</t>
    <phoneticPr fontId="6" type="noConversion"/>
  </si>
  <si>
    <t xml:space="preserve"> * 예금이자(생계비)</t>
    <phoneticPr fontId="6" type="noConversion"/>
  </si>
  <si>
    <t xml:space="preserve"> * 운영비보조금이월액</t>
    <phoneticPr fontId="6" type="noConversion"/>
  </si>
  <si>
    <t xml:space="preserve"> * 예금이자(운영비)</t>
    <phoneticPr fontId="6" type="noConversion"/>
  </si>
  <si>
    <t xml:space="preserve"> * 4종 보조금이월액</t>
    <phoneticPr fontId="6" type="noConversion"/>
  </si>
  <si>
    <t xml:space="preserve"> * 예금이자(4종)</t>
    <phoneticPr fontId="6" type="noConversion"/>
  </si>
  <si>
    <t xml:space="preserve"> * 7종 보조금이월액</t>
    <phoneticPr fontId="6" type="noConversion"/>
  </si>
  <si>
    <t xml:space="preserve"> * 예금이자(7종)</t>
    <phoneticPr fontId="6" type="noConversion"/>
  </si>
  <si>
    <t xml:space="preserve"> * 재활프로그램(도예)이월금</t>
    <phoneticPr fontId="6" type="noConversion"/>
  </si>
  <si>
    <t xml:space="preserve"> * 예금이자(재활프로그램:도예)</t>
    <phoneticPr fontId="6" type="noConversion"/>
  </si>
  <si>
    <t xml:space="preserve"> * 입소비용이월액</t>
    <phoneticPr fontId="6" type="noConversion"/>
  </si>
  <si>
    <t xml:space="preserve"> * 예금이자(입소비용)</t>
    <phoneticPr fontId="6" type="noConversion"/>
  </si>
  <si>
    <t xml:space="preserve"> * 법인전입금이월액</t>
    <phoneticPr fontId="6" type="noConversion"/>
  </si>
  <si>
    <t xml:space="preserve"> * 예금이자(법인전입금)</t>
    <phoneticPr fontId="6" type="noConversion"/>
  </si>
  <si>
    <t xml:space="preserve"> * 잡수입이월액</t>
    <phoneticPr fontId="6" type="noConversion"/>
  </si>
  <si>
    <t xml:space="preserve"> * 예금이자(잡수입)</t>
    <phoneticPr fontId="6" type="noConversion"/>
  </si>
  <si>
    <t xml:space="preserve">  *체험홈 환경개선 사업 및 차량구입 등 자금 마련 일일호프 수익금</t>
    <phoneticPr fontId="6" type="noConversion"/>
  </si>
  <si>
    <t>1.명절휴가비</t>
    <phoneticPr fontId="6" type="noConversion"/>
  </si>
  <si>
    <t xml:space="preserve"> A.경상보조금 31명</t>
    <phoneticPr fontId="6" type="noConversion"/>
  </si>
  <si>
    <t xml:space="preserve"> B.인건비지원(7종 : 운전원,조리원)</t>
    <phoneticPr fontId="6" type="noConversion"/>
  </si>
  <si>
    <t>3.연장근로수당</t>
    <phoneticPr fontId="6" type="noConversion"/>
  </si>
  <si>
    <t xml:space="preserve"> A.경상보조금 </t>
    <phoneticPr fontId="6" type="noConversion"/>
  </si>
  <si>
    <t>4.특수근무수당(7종) : 32명</t>
    <phoneticPr fontId="6" type="noConversion"/>
  </si>
  <si>
    <t>1.경상보조금 31명</t>
    <phoneticPr fontId="6" type="noConversion"/>
  </si>
  <si>
    <t>2.인건비지원(7종)</t>
    <phoneticPr fontId="6" type="noConversion"/>
  </si>
  <si>
    <t>1.국민연금부담금</t>
    <phoneticPr fontId="6" type="noConversion"/>
  </si>
  <si>
    <t xml:space="preserve"> B.인건비지원(7종)</t>
    <phoneticPr fontId="6" type="noConversion"/>
  </si>
  <si>
    <t xml:space="preserve"> C.법인지원직원 1명(상담원)</t>
    <phoneticPr fontId="6" type="noConversion"/>
  </si>
  <si>
    <t xml:space="preserve">  가.특수근무수당</t>
    <phoneticPr fontId="6" type="noConversion"/>
  </si>
  <si>
    <t>* 직원건강검진비(순수시비)</t>
    <phoneticPr fontId="6" type="noConversion"/>
  </si>
  <si>
    <t>1.생계비</t>
    <phoneticPr fontId="6" type="noConversion"/>
  </si>
  <si>
    <t xml:space="preserve">7.월동대책비(수급자급여) </t>
    <phoneticPr fontId="6" type="noConversion"/>
  </si>
  <si>
    <t>6.특별위로금(설날,추석)</t>
    <phoneticPr fontId="6" type="noConversion"/>
  </si>
  <si>
    <t>※ 보조금 반환금(수원시)</t>
    <phoneticPr fontId="6" type="noConversion"/>
  </si>
  <si>
    <t>1.보조금 운영비 이월금</t>
    <phoneticPr fontId="6" type="noConversion"/>
  </si>
  <si>
    <t>2.보조금 운영비 예금이자</t>
    <phoneticPr fontId="6" type="noConversion"/>
  </si>
  <si>
    <t>3.보조금 생계비 이월금</t>
    <phoneticPr fontId="6" type="noConversion"/>
  </si>
  <si>
    <t>4.보조금 생계비 예금이자</t>
    <phoneticPr fontId="6" type="noConversion"/>
  </si>
  <si>
    <t>5.보조금(4종)이월금</t>
    <phoneticPr fontId="6" type="noConversion"/>
  </si>
  <si>
    <t>6.보조금(4종) 예금이자</t>
    <phoneticPr fontId="6" type="noConversion"/>
  </si>
  <si>
    <t>7.보조금(7종) 이월금</t>
    <phoneticPr fontId="6" type="noConversion"/>
  </si>
  <si>
    <t>8.보조금(7종) 예금이자</t>
    <phoneticPr fontId="6" type="noConversion"/>
  </si>
  <si>
    <t>9.재활프로그램(난타) 보조금 이월액</t>
    <phoneticPr fontId="6" type="noConversion"/>
  </si>
  <si>
    <t>10.재활프로그램(난타) 예금이자</t>
    <phoneticPr fontId="6" type="noConversion"/>
  </si>
  <si>
    <t>11.여름캠프 이월금</t>
    <phoneticPr fontId="6" type="noConversion"/>
  </si>
  <si>
    <t>□ 2014년도 세 입 · 세 출 총  괄  표(1차 추경)</t>
    <phoneticPr fontId="28" type="noConversion"/>
  </si>
  <si>
    <t>2014년
1차 주경 예산</t>
    <phoneticPr fontId="28" type="noConversion"/>
  </si>
  <si>
    <t>&lt;2014년도 1차 추경 예산 세입내역&gt;</t>
    <phoneticPr fontId="6" type="noConversion"/>
  </si>
  <si>
    <t>&lt;2014년도 1차 추경 예산 세출내역&gt;</t>
    <phoneticPr fontId="6" type="noConversion"/>
  </si>
  <si>
    <t>3. 외부전문가 자문비</t>
    <phoneticPr fontId="6" type="noConversion"/>
  </si>
  <si>
    <t>원</t>
    <phoneticPr fontId="6" type="noConversion"/>
  </si>
  <si>
    <t>잡수</t>
    <phoneticPr fontId="6" type="noConversion"/>
  </si>
  <si>
    <t>후원</t>
    <phoneticPr fontId="6" type="noConversion"/>
  </si>
  <si>
    <t>법인</t>
    <phoneticPr fontId="6" type="noConversion"/>
  </si>
  <si>
    <t>13. 퇴직연금 관리 수수료</t>
    <phoneticPr fontId="6" type="noConversion"/>
  </si>
  <si>
    <t>입소</t>
    <phoneticPr fontId="6" type="noConversion"/>
  </si>
  <si>
    <t>원</t>
    <phoneticPr fontId="6" type="noConversion"/>
  </si>
  <si>
    <t>1. 여름캠프</t>
    <phoneticPr fontId="6" type="noConversion"/>
  </si>
  <si>
    <t>2. 추석/설날 명절 행사</t>
    <phoneticPr fontId="6" type="noConversion"/>
  </si>
  <si>
    <t>3. 가을체육대회</t>
    <phoneticPr fontId="6" type="noConversion"/>
  </si>
  <si>
    <t>보조</t>
    <phoneticPr fontId="6" type="noConversion"/>
  </si>
  <si>
    <t>5. 개원기념일 행사</t>
    <phoneticPr fontId="6" type="noConversion"/>
  </si>
  <si>
    <t>6. 연말 송년회</t>
    <phoneticPr fontId="6" type="noConversion"/>
  </si>
  <si>
    <t>1. 생일잔치</t>
    <phoneticPr fontId="6" type="noConversion"/>
  </si>
  <si>
    <t>*간병인비 지원</t>
    <phoneticPr fontId="6" type="noConversion"/>
  </si>
  <si>
    <t>* 입소비용수입</t>
    <phoneticPr fontId="6" type="noConversion"/>
  </si>
  <si>
    <t>* 운영위원 참석수당</t>
    <phoneticPr fontId="6" type="noConversion"/>
  </si>
  <si>
    <t>*시설연합 행사(둘다섯 해누리)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</si>
  <si>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</si>
  <si>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</si>
  <si>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</si>
  <si>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=</t>
    <phoneticPr fontId="6" type="noConversion"/>
  </si>
  <si>
    <t>후원</t>
    <phoneticPr fontId="6" type="noConversion"/>
  </si>
  <si>
    <t>후원</t>
    <phoneticPr fontId="6" type="noConversion"/>
  </si>
  <si>
    <t>입소</t>
    <phoneticPr fontId="6" type="noConversion"/>
  </si>
  <si>
    <t>입소</t>
    <phoneticPr fontId="6" type="noConversion"/>
  </si>
  <si>
    <t>입소</t>
    <phoneticPr fontId="6" type="noConversion"/>
  </si>
  <si>
    <t>2. 작업훈련(행복공장)</t>
    <phoneticPr fontId="6" type="noConversion"/>
  </si>
  <si>
    <t>원</t>
    <phoneticPr fontId="6" type="noConversion"/>
  </si>
  <si>
    <t>후원금</t>
    <phoneticPr fontId="6" type="noConversion"/>
  </si>
  <si>
    <t>3. 난타동아리(바다울림)</t>
    <phoneticPr fontId="6" type="noConversion"/>
  </si>
  <si>
    <t>입소</t>
    <phoneticPr fontId="6" type="noConversion"/>
  </si>
  <si>
    <t>4. 경기도재활프로그램사업(도예)</t>
    <phoneticPr fontId="6" type="noConversion"/>
  </si>
  <si>
    <t>3. 몸짱등산(식대 및 간식)</t>
    <phoneticPr fontId="6" type="noConversion"/>
  </si>
  <si>
    <t>1. 이용인 성교육(체험관 이용 : 식대 및 다과비 등)</t>
    <phoneticPr fontId="6" type="noConversion"/>
  </si>
  <si>
    <t>5. 경기도장애인체육대회</t>
    <phoneticPr fontId="6" type="noConversion"/>
  </si>
  <si>
    <t>2. 어버이날 행사</t>
    <phoneticPr fontId="6" type="noConversion"/>
  </si>
  <si>
    <t>1. 하나 사회적응프로그램(렛츠고)</t>
    <phoneticPr fontId="6" type="noConversion"/>
  </si>
  <si>
    <t>2. 둘 사회적응프로그램(렛츠고)</t>
    <phoneticPr fontId="6" type="noConversion"/>
  </si>
  <si>
    <t>3. 셋 사회적응프로그램(렛츠고)</t>
    <phoneticPr fontId="6" type="noConversion"/>
  </si>
  <si>
    <t>4. 넷 사회적응프로그램(렛츠고)</t>
    <phoneticPr fontId="6" type="noConversion"/>
  </si>
  <si>
    <t>2. 생활실 환경미화</t>
    <phoneticPr fontId="6" type="noConversion"/>
  </si>
  <si>
    <t>1. 자원봉사자 교육</t>
    <phoneticPr fontId="6" type="noConversion"/>
  </si>
  <si>
    <t>2. 자원봉사자 나들이</t>
    <phoneticPr fontId="6" type="noConversion"/>
  </si>
  <si>
    <t>3. 후원/자원봉사 감사패 제작</t>
    <phoneticPr fontId="6" type="noConversion"/>
  </si>
  <si>
    <t>E. 재활프로그램 사업비</t>
    <phoneticPr fontId="6" type="noConversion"/>
  </si>
  <si>
    <t>1. 둘셋넷 여가활동(펀튀기)</t>
    <phoneticPr fontId="6" type="noConversion"/>
  </si>
  <si>
    <t>2. 원예치료(텃밭 가꾸기)</t>
    <phoneticPr fontId="6" type="noConversion"/>
  </si>
  <si>
    <t>3. 표현예술치료</t>
    <phoneticPr fontId="6" type="noConversion"/>
  </si>
  <si>
    <t>4. 이용인 자치회의</t>
    <phoneticPr fontId="6" type="noConversion"/>
  </si>
  <si>
    <t>5. 미술치료</t>
    <phoneticPr fontId="6" type="noConversion"/>
  </si>
  <si>
    <t>6. 동물매개활동</t>
    <phoneticPr fontId="6" type="noConversion"/>
  </si>
  <si>
    <t>7. 일상생활지원(하늘채)</t>
    <phoneticPr fontId="6" type="noConversion"/>
  </si>
  <si>
    <t>8. 등산(하늘채)</t>
    <phoneticPr fontId="6" type="noConversion"/>
  </si>
  <si>
    <t>1. 인권지킴이단 운영</t>
    <phoneticPr fontId="6" type="noConversion"/>
  </si>
  <si>
    <t xml:space="preserve">k. 자원봉사 및 후원 사업비 </t>
    <phoneticPr fontId="6" type="noConversion"/>
  </si>
  <si>
    <t>M. 결연사업</t>
    <phoneticPr fontId="6" type="noConversion"/>
  </si>
  <si>
    <t>J. 이용인 성교육</t>
    <phoneticPr fontId="6" type="noConversion"/>
  </si>
  <si>
    <t>L. 기타 프로그램 사업비</t>
    <phoneticPr fontId="6" type="noConversion"/>
  </si>
  <si>
    <t>1. 기타 프로그램 사업비</t>
    <phoneticPr fontId="6" type="noConversion"/>
  </si>
  <si>
    <t>2. 역도프로그램(별을들다)</t>
    <phoneticPr fontId="6" type="noConversion"/>
  </si>
  <si>
    <t xml:space="preserve"> 3)사회복지종사자 피정, 워크숍, 연찬회 등</t>
    <phoneticPr fontId="6" type="noConversion"/>
  </si>
  <si>
    <t xml:space="preserve"> 2)경기도장애인복지시설협회 국외연수 참가</t>
    <phoneticPr fontId="6" type="noConversion"/>
  </si>
  <si>
    <t>원</t>
    <phoneticPr fontId="6" type="noConversion"/>
  </si>
  <si>
    <t>보조</t>
    <phoneticPr fontId="6" type="noConversion"/>
  </si>
  <si>
    <t>후원</t>
    <phoneticPr fontId="6" type="noConversion"/>
  </si>
  <si>
    <t>3. 자립준비가정 사업비</t>
    <phoneticPr fontId="6" type="noConversion"/>
  </si>
  <si>
    <t>4. 이용인 해외여행</t>
    <phoneticPr fontId="6" type="noConversion"/>
  </si>
  <si>
    <t>2.간병인비 지원(7종)</t>
    <phoneticPr fontId="6" type="noConversion"/>
  </si>
  <si>
    <t>일</t>
    <phoneticPr fontId="6" type="noConversion"/>
  </si>
  <si>
    <t>=</t>
    <phoneticPr fontId="6" type="noConversion"/>
  </si>
  <si>
    <t>보조</t>
    <phoneticPr fontId="6" type="noConversion"/>
  </si>
  <si>
    <t>원</t>
    <phoneticPr fontId="6" type="noConversion"/>
  </si>
  <si>
    <t>2.주부식비(보충액)</t>
    <phoneticPr fontId="6" type="noConversion"/>
  </si>
  <si>
    <t>4. 체험홈 환경개선사업( 붙박이장, 도배, 장판, 주방 싱크대 교체, 에어컨 설치 등)</t>
    <phoneticPr fontId="6" type="noConversion"/>
  </si>
  <si>
    <t>3. 2층,3층 우노실 자립준비가정 만들기(7종 환경개선사업비 : 씽크대설치 등)</t>
    <phoneticPr fontId="6" type="noConversion"/>
  </si>
  <si>
    <t>2. 운영위원회 참석수당</t>
    <phoneticPr fontId="6" type="noConversion"/>
  </si>
  <si>
    <t>법인</t>
    <phoneticPr fontId="6" type="noConversion"/>
  </si>
  <si>
    <t>후원</t>
    <phoneticPr fontId="6" type="noConversion"/>
  </si>
  <si>
    <t>보조</t>
    <phoneticPr fontId="6" type="noConversion"/>
  </si>
  <si>
    <t>잡수</t>
    <phoneticPr fontId="6" type="noConversion"/>
  </si>
  <si>
    <t>후원</t>
    <phoneticPr fontId="6" type="noConversion"/>
  </si>
  <si>
    <t>원</t>
    <phoneticPr fontId="6" type="noConversion"/>
  </si>
  <si>
    <t>과  목</t>
    <phoneticPr fontId="6" type="noConversion"/>
  </si>
  <si>
    <t>관</t>
    <phoneticPr fontId="6" type="noConversion"/>
  </si>
  <si>
    <t>항</t>
    <phoneticPr fontId="6" type="noConversion"/>
  </si>
  <si>
    <t>예 산 액</t>
    <phoneticPr fontId="6" type="noConversion"/>
  </si>
  <si>
    <t>당초</t>
    <phoneticPr fontId="6" type="noConversion"/>
  </si>
  <si>
    <t>1차 추경</t>
    <phoneticPr fontId="6" type="noConversion"/>
  </si>
  <si>
    <t>내    역</t>
    <phoneticPr fontId="6" type="noConversion"/>
  </si>
  <si>
    <t>산출내역</t>
    <phoneticPr fontId="6" type="noConversion"/>
  </si>
  <si>
    <t>증, (△)감</t>
    <phoneticPr fontId="6" type="noConversion"/>
  </si>
  <si>
    <t>입소
비용</t>
    <phoneticPr fontId="6" type="noConversion"/>
  </si>
  <si>
    <t>보조금
수   입</t>
    <phoneticPr fontId="6" type="noConversion"/>
  </si>
  <si>
    <t>국   고
보조금</t>
    <phoneticPr fontId="6" type="noConversion"/>
  </si>
  <si>
    <t>&lt;인원변동&gt;
실비인원 상반기 계상인원 30명/ 실제 21명 / 1명 미납
하반기 30명 예상/ 년 평균 실비 계상인원 25명</t>
    <phoneticPr fontId="6" type="noConversion"/>
  </si>
  <si>
    <t>&lt;인원변동&gt;
수급자 인원 상반기 계상인원 24명/ 실제 30명/ 하반기 24명
년 평균 계상인원 27명</t>
    <phoneticPr fontId="6" type="noConversion"/>
  </si>
  <si>
    <t>시   도
보조금</t>
    <phoneticPr fontId="6" type="noConversion"/>
  </si>
  <si>
    <t>7종
운영비
지원</t>
    <phoneticPr fontId="6" type="noConversion"/>
  </si>
  <si>
    <t>* 7종인건비 303천원 인상/ 환경개선사업비 300만원 삭감
  간병인비 135천원 인상</t>
    <phoneticPr fontId="6" type="noConversion"/>
  </si>
  <si>
    <t>시군구
보조금</t>
    <phoneticPr fontId="6" type="noConversion"/>
  </si>
  <si>
    <t>* 7종인건비 1,703천원 인상/ 환경개선사업비 1,700만원 삭감
  간병인비 765천원 인상</t>
    <phoneticPr fontId="6" type="noConversion"/>
  </si>
  <si>
    <t>재활
프로그램
지원금</t>
    <phoneticPr fontId="6" type="noConversion"/>
  </si>
  <si>
    <t>법인
전입금
(후원금)</t>
    <phoneticPr fontId="6" type="noConversion"/>
  </si>
  <si>
    <t>* 시설연합행사(둘다섯해누리) 70만원 증액
* 운영위원 참석수당 지급인원 6명 -&gt; 4명 감원으로 40만원 감소</t>
    <phoneticPr fontId="6" type="noConversion"/>
  </si>
  <si>
    <t>전년도
이월금</t>
    <phoneticPr fontId="6" type="noConversion"/>
  </si>
  <si>
    <t>입소비용
이월금</t>
    <phoneticPr fontId="6" type="noConversion"/>
  </si>
  <si>
    <t>* 입소비용 이월잔액 증가</t>
    <phoneticPr fontId="6" type="noConversion"/>
  </si>
  <si>
    <t>보조금
이월금</t>
    <phoneticPr fontId="6" type="noConversion"/>
  </si>
  <si>
    <t>* 보조금 이월잔액 감소</t>
    <phoneticPr fontId="6" type="noConversion"/>
  </si>
  <si>
    <t>법인
전입금
이월금</t>
    <phoneticPr fontId="6" type="noConversion"/>
  </si>
  <si>
    <t>잡수입
이월금</t>
    <phoneticPr fontId="6" type="noConversion"/>
  </si>
  <si>
    <t>* 법인전입금 이월잔액 감소</t>
    <phoneticPr fontId="6" type="noConversion"/>
  </si>
  <si>
    <t>* 잡수입 이월잔액 감소</t>
    <phoneticPr fontId="6" type="noConversion"/>
  </si>
  <si>
    <t>전년도
이월금
(후원)</t>
    <phoneticPr fontId="6" type="noConversion"/>
  </si>
  <si>
    <t>전년도
이월금
(후원금)</t>
    <phoneticPr fontId="6" type="noConversion"/>
  </si>
  <si>
    <t>* 후원금 이월잔액 증가</t>
    <phoneticPr fontId="6" type="noConversion"/>
  </si>
  <si>
    <t>합     계</t>
    <phoneticPr fontId="6" type="noConversion"/>
  </si>
  <si>
    <t>2014년 1차 추경예산 세입명세서</t>
    <phoneticPr fontId="6" type="noConversion"/>
  </si>
  <si>
    <t>2014년 1차 추경예산 세출명세서</t>
    <phoneticPr fontId="6" type="noConversion"/>
  </si>
  <si>
    <t>사무비</t>
    <phoneticPr fontId="6" type="noConversion"/>
  </si>
  <si>
    <t>인건비</t>
    <phoneticPr fontId="6" type="noConversion"/>
  </si>
  <si>
    <t>급여</t>
    <phoneticPr fontId="6" type="noConversion"/>
  </si>
  <si>
    <t>* 기본급 4% 인상</t>
    <phoneticPr fontId="6" type="noConversion"/>
  </si>
  <si>
    <t>제수당</t>
    <phoneticPr fontId="6" type="noConversion"/>
  </si>
  <si>
    <t>* 명절휴가비, 연장근로 수당 4% 인상</t>
    <phoneticPr fontId="6" type="noConversion"/>
  </si>
  <si>
    <t>퇴직금
적립금</t>
    <phoneticPr fontId="6" type="noConversion"/>
  </si>
  <si>
    <t>* 기본급 인상에 따른 퇴직금적립금 3% 증가</t>
    <phoneticPr fontId="6" type="noConversion"/>
  </si>
  <si>
    <t>사회보험
부담금</t>
    <phoneticPr fontId="6" type="noConversion"/>
  </si>
  <si>
    <t>* 인건비 인상에 따른 사회보험 부담금 4% 증가</t>
    <phoneticPr fontId="6" type="noConversion"/>
  </si>
  <si>
    <t>기타
후생경비</t>
    <phoneticPr fontId="6" type="noConversion"/>
  </si>
  <si>
    <t>* 정부지원 상해보험 누락분 32만원 반영
* 직원건강진단비 1명 감소 20만원
* 시설연합행사(둘다섯해누리) 70만원 증액</t>
    <phoneticPr fontId="6" type="noConversion"/>
  </si>
  <si>
    <t>업무
추진비</t>
    <phoneticPr fontId="6" type="noConversion"/>
  </si>
  <si>
    <t>회의비</t>
    <phoneticPr fontId="6" type="noConversion"/>
  </si>
  <si>
    <t>* 운영위원 참석수당 지급인원 6명에서 4명으로 감소</t>
    <phoneticPr fontId="6" type="noConversion"/>
  </si>
  <si>
    <t>수용비 및
수수료</t>
    <phoneticPr fontId="6" type="noConversion"/>
  </si>
  <si>
    <t>* 퇴직연금 관리 수수료 증가</t>
    <phoneticPr fontId="6" type="noConversion"/>
  </si>
  <si>
    <t>기타
운영비</t>
    <phoneticPr fontId="6" type="noConversion"/>
  </si>
  <si>
    <t>* 경기도장애인복지시설 국외연수비 99만원 추가
* 외부 전문가 자문비 42천원 감액</t>
    <phoneticPr fontId="6" type="noConversion"/>
  </si>
  <si>
    <t>재산
조성비</t>
    <phoneticPr fontId="6" type="noConversion"/>
  </si>
  <si>
    <t>시설비</t>
    <phoneticPr fontId="6" type="noConversion"/>
  </si>
  <si>
    <t>자산
취득비</t>
    <phoneticPr fontId="6" type="noConversion"/>
  </si>
  <si>
    <t>* 정품 소프웨어 구매(MS- Window Pro 8.1) -&gt;컴퓨터 보안</t>
    <phoneticPr fontId="6" type="noConversion"/>
  </si>
  <si>
    <t>시설장비
유지비</t>
    <phoneticPr fontId="6" type="noConversion"/>
  </si>
  <si>
    <t>* 7종 환경개선사업비 200만원 삭감
* 자립준비가정 만들기 사업비 1,145천원 증액</t>
    <phoneticPr fontId="6" type="noConversion"/>
  </si>
  <si>
    <t>* 생계보조금 인상으로 10,584천원 증가
* 자부담(입소비용) 12,744천원 삭감
* 후원금 2,948천원 증액 / 잡수입 99만원 감액</t>
    <phoneticPr fontId="6" type="noConversion"/>
  </si>
  <si>
    <t>수용기관
경비</t>
    <phoneticPr fontId="6" type="noConversion"/>
  </si>
  <si>
    <t>* 기타수용기관경비(자립준비가정 조리도구 및 그릇) 505천원 증액</t>
    <phoneticPr fontId="6" type="noConversion"/>
  </si>
  <si>
    <t>5. 기타 수용기관경비(자립준비가정 조리도구 및 그릇 구입비 포함)</t>
    <phoneticPr fontId="6" type="noConversion"/>
  </si>
  <si>
    <t>* 간병인비 1일 단가 6만원 -&gt;7만원으로 증액(총 90만원 증가)</t>
    <phoneticPr fontId="6" type="noConversion"/>
  </si>
  <si>
    <t>프로그램
사업비</t>
    <phoneticPr fontId="6" type="noConversion"/>
  </si>
  <si>
    <t>* 자립준비가정 사업비 신설로 250만원 증액</t>
    <phoneticPr fontId="6" type="noConversion"/>
  </si>
  <si>
    <t>보조금
반환금</t>
    <phoneticPr fontId="6" type="noConversion"/>
  </si>
  <si>
    <t>보조금
반환금</t>
    <phoneticPr fontId="6" type="noConversion"/>
  </si>
  <si>
    <t>* 보조금 이월잔액 감소로 반환액 감소</t>
    <phoneticPr fontId="6" type="noConversion"/>
  </si>
  <si>
    <t>* 인건비 약 4% 인상</t>
    <phoneticPr fontId="6" type="noConversion"/>
  </si>
  <si>
    <t>* 직원 건강진단비 17명에서 16명으로 1명분 20만원 삭감</t>
    <phoneticPr fontId="6" type="noConversion"/>
  </si>
</sst>
</file>

<file path=xl/styles.xml><?xml version="1.0" encoding="utf-8"?>
<styleSheet xmlns="http://schemas.openxmlformats.org/spreadsheetml/2006/main">
  <numFmts count="23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#,##0&quot;개&quot;;[Red]#,##0\ &quot;개&quot;"/>
    <numFmt numFmtId="189" formatCode="0.000%"/>
    <numFmt numFmtId="190" formatCode="#,##0&quot;대&quot;;[Red]#,##0\ &quot;개&quot;"/>
    <numFmt numFmtId="191" formatCode="0.0%"/>
    <numFmt numFmtId="192" formatCode="&quot;×&quot;0.0%"/>
    <numFmt numFmtId="193" formatCode="#,##0;&quot;△&quot;#,##0"/>
    <numFmt numFmtId="194" formatCode="#,##0&quot;원×&quot;;\-#,##0&quot;원×&quot;"/>
    <numFmt numFmtId="195" formatCode="#,##0&quot;명×&quot;;\-#,##0"/>
    <numFmt numFmtId="196" formatCode="#,##0&quot;월=&quot;;&quot;△&quot;#,##0"/>
  </numFmts>
  <fonts count="37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indexed="30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1"/>
      <color indexed="8"/>
      <name val="돋움"/>
      <family val="3"/>
      <charset val="129"/>
    </font>
    <font>
      <b/>
      <sz val="24"/>
      <color indexed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 applyFill="0" applyAlignment="0">
      <alignment vertical="center"/>
    </xf>
    <xf numFmtId="9" fontId="5" fillId="0" borderId="0" applyFont="0" applyFill="0" applyAlignment="0" applyProtection="0">
      <alignment vertical="center"/>
    </xf>
    <xf numFmtId="41" fontId="5" fillId="0" borderId="0" applyFont="0" applyFill="0" applyAlignment="0" applyProtection="0">
      <alignment vertical="center"/>
    </xf>
    <xf numFmtId="0" fontId="5" fillId="0" borderId="0" applyFill="0" applyAlignment="0"/>
    <xf numFmtId="0" fontId="8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657">
    <xf numFmtId="0" fontId="0" fillId="0" borderId="0" xfId="0" applyFill="1" applyAlignment="1">
      <alignment vertical="center"/>
    </xf>
    <xf numFmtId="0" fontId="7" fillId="0" borderId="0" xfId="3" applyFont="1" applyFill="1" applyAlignment="1">
      <alignment vertical="center"/>
    </xf>
    <xf numFmtId="176" fontId="7" fillId="0" borderId="0" xfId="3" applyNumberFormat="1" applyFont="1" applyFill="1" applyAlignment="1">
      <alignment vertical="center"/>
    </xf>
    <xf numFmtId="0" fontId="7" fillId="0" borderId="0" xfId="3" applyFont="1" applyFill="1" applyAlignment="1">
      <alignment horizontal="center" vertical="center"/>
    </xf>
    <xf numFmtId="0" fontId="7" fillId="0" borderId="0" xfId="3" applyFont="1" applyFill="1" applyBorder="1" applyAlignment="1">
      <alignment vertical="center"/>
    </xf>
    <xf numFmtId="176" fontId="7" fillId="0" borderId="0" xfId="3" applyNumberFormat="1" applyFont="1" applyFill="1" applyBorder="1" applyAlignment="1">
      <alignment vertical="center"/>
    </xf>
    <xf numFmtId="41" fontId="7" fillId="0" borderId="0" xfId="2" applyFont="1" applyFill="1" applyAlignment="1">
      <alignment vertical="center"/>
    </xf>
    <xf numFmtId="0" fontId="7" fillId="0" borderId="0" xfId="3" applyFont="1" applyFill="1" applyAlignment="1">
      <alignment horizontal="center" vertical="center" wrapText="1"/>
    </xf>
    <xf numFmtId="41" fontId="7" fillId="0" borderId="0" xfId="2" applyFont="1" applyFill="1" applyAlignment="1">
      <alignment horizontal="center" vertical="center"/>
    </xf>
    <xf numFmtId="178" fontId="7" fillId="0" borderId="0" xfId="3" applyNumberFormat="1" applyFont="1" applyFill="1" applyAlignment="1">
      <alignment vertical="center"/>
    </xf>
    <xf numFmtId="177" fontId="7" fillId="0" borderId="0" xfId="3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9" fontId="7" fillId="0" borderId="0" xfId="3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>
      <alignment vertical="center"/>
    </xf>
    <xf numFmtId="176" fontId="7" fillId="0" borderId="0" xfId="0" applyNumberFormat="1" applyFont="1" applyFill="1">
      <alignment vertical="center"/>
    </xf>
    <xf numFmtId="176" fontId="10" fillId="0" borderId="0" xfId="3" applyNumberFormat="1" applyFont="1" applyFill="1" applyAlignment="1">
      <alignment vertical="center"/>
    </xf>
    <xf numFmtId="38" fontId="7" fillId="0" borderId="0" xfId="3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7" fillId="0" borderId="0" xfId="3" applyFont="1" applyFill="1" applyBorder="1" applyAlignment="1">
      <alignment horizontal="center" vertical="center" wrapText="1"/>
    </xf>
    <xf numFmtId="41" fontId="9" fillId="0" borderId="0" xfId="2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13" fillId="0" borderId="16" xfId="3" applyFont="1" applyFill="1" applyBorder="1" applyAlignment="1">
      <alignment horizontal="center" vertical="center" wrapText="1"/>
    </xf>
    <xf numFmtId="0" fontId="13" fillId="0" borderId="3" xfId="3" applyFont="1" applyFill="1" applyBorder="1" applyAlignment="1">
      <alignment horizontal="center" vertical="center" wrapText="1"/>
    </xf>
    <xf numFmtId="9" fontId="14" fillId="0" borderId="3" xfId="3" applyNumberFormat="1" applyFont="1" applyFill="1" applyBorder="1" applyAlignment="1">
      <alignment horizontal="center" vertical="center"/>
    </xf>
    <xf numFmtId="0" fontId="16" fillId="0" borderId="22" xfId="3" applyFont="1" applyFill="1" applyBorder="1" applyAlignment="1">
      <alignment vertical="center"/>
    </xf>
    <xf numFmtId="176" fontId="16" fillId="0" borderId="22" xfId="3" applyNumberFormat="1" applyFont="1" applyFill="1" applyBorder="1" applyAlignment="1">
      <alignment horizontal="center" vertical="center"/>
    </xf>
    <xf numFmtId="176" fontId="16" fillId="0" borderId="24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 wrapText="1"/>
    </xf>
    <xf numFmtId="9" fontId="13" fillId="0" borderId="27" xfId="3" applyNumberFormat="1" applyFont="1" applyFill="1" applyBorder="1" applyAlignment="1">
      <alignment horizontal="center" vertical="center"/>
    </xf>
    <xf numFmtId="0" fontId="15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176" fontId="15" fillId="0" borderId="5" xfId="3" applyNumberFormat="1" applyFont="1" applyFill="1" applyBorder="1" applyAlignment="1">
      <alignment vertical="center"/>
    </xf>
    <xf numFmtId="0" fontId="13" fillId="0" borderId="2" xfId="3" applyFont="1" applyFill="1" applyBorder="1" applyAlignment="1">
      <alignment horizontal="center" vertical="center" wrapText="1"/>
    </xf>
    <xf numFmtId="0" fontId="13" fillId="0" borderId="1" xfId="3" applyFont="1" applyFill="1" applyBorder="1" applyAlignment="1">
      <alignment horizontal="center" vertical="center" wrapText="1"/>
    </xf>
    <xf numFmtId="178" fontId="13" fillId="0" borderId="1" xfId="3" applyNumberFormat="1" applyFont="1" applyFill="1" applyBorder="1" applyAlignment="1">
      <alignment vertical="center"/>
    </xf>
    <xf numFmtId="177" fontId="13" fillId="0" borderId="1" xfId="3" applyNumberFormat="1" applyFont="1" applyFill="1" applyBorder="1" applyAlignment="1">
      <alignment vertical="center"/>
    </xf>
    <xf numFmtId="9" fontId="13" fillId="0" borderId="1" xfId="3" applyNumberFormat="1" applyFont="1" applyFill="1" applyBorder="1" applyAlignment="1">
      <alignment horizontal="center" vertical="center"/>
    </xf>
    <xf numFmtId="0" fontId="16" fillId="0" borderId="29" xfId="3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horizontal="right" vertical="center"/>
    </xf>
    <xf numFmtId="176" fontId="16" fillId="0" borderId="31" xfId="3" applyNumberFormat="1" applyFont="1" applyFill="1" applyBorder="1" applyAlignment="1">
      <alignment vertical="center"/>
    </xf>
    <xf numFmtId="0" fontId="13" fillId="0" borderId="32" xfId="3" applyFont="1" applyFill="1" applyBorder="1" applyAlignment="1">
      <alignment horizontal="center" vertical="center" wrapText="1"/>
    </xf>
    <xf numFmtId="0" fontId="13" fillId="0" borderId="27" xfId="3" applyFont="1" applyFill="1" applyBorder="1" applyAlignment="1">
      <alignment horizontal="center" vertical="center" wrapText="1"/>
    </xf>
    <xf numFmtId="0" fontId="13" fillId="0" borderId="26" xfId="3" applyFont="1" applyFill="1" applyBorder="1" applyAlignment="1">
      <alignment horizontal="center" vertical="center" wrapText="1"/>
    </xf>
    <xf numFmtId="178" fontId="13" fillId="0" borderId="27" xfId="3" applyNumberFormat="1" applyFont="1" applyFill="1" applyBorder="1" applyAlignment="1">
      <alignment vertical="center"/>
    </xf>
    <xf numFmtId="177" fontId="13" fillId="0" borderId="27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right" vertical="center"/>
    </xf>
    <xf numFmtId="0" fontId="13" fillId="0" borderId="33" xfId="3" applyFont="1" applyFill="1" applyBorder="1" applyAlignment="1">
      <alignment horizontal="left" vertical="center"/>
    </xf>
    <xf numFmtId="176" fontId="13" fillId="0" borderId="0" xfId="3" applyNumberFormat="1" applyFont="1" applyFill="1" applyBorder="1" applyAlignment="1">
      <alignment horizontal="left" vertical="center"/>
    </xf>
    <xf numFmtId="0" fontId="13" fillId="0" borderId="0" xfId="3" applyFont="1" applyFill="1" applyBorder="1" applyAlignment="1">
      <alignment horizontal="center" vertical="center"/>
    </xf>
    <xf numFmtId="41" fontId="13" fillId="0" borderId="0" xfId="2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5" xfId="3" applyNumberFormat="1" applyFont="1" applyFill="1" applyBorder="1" applyAlignment="1">
      <alignment vertical="center"/>
    </xf>
    <xf numFmtId="0" fontId="13" fillId="0" borderId="17" xfId="3" applyFont="1" applyFill="1" applyBorder="1" applyAlignment="1">
      <alignment horizontal="center" vertical="center" wrapText="1"/>
    </xf>
    <xf numFmtId="0" fontId="13" fillId="0" borderId="11" xfId="3" applyFont="1" applyFill="1" applyBorder="1" applyAlignment="1">
      <alignment horizontal="center" vertical="center" wrapText="1"/>
    </xf>
    <xf numFmtId="0" fontId="13" fillId="0" borderId="32" xfId="3" applyFont="1" applyFill="1" applyBorder="1" applyAlignment="1">
      <alignment vertical="center" wrapText="1"/>
    </xf>
    <xf numFmtId="178" fontId="13" fillId="0" borderId="11" xfId="3" applyNumberFormat="1" applyFont="1" applyFill="1" applyBorder="1" applyAlignment="1">
      <alignment vertical="center"/>
    </xf>
    <xf numFmtId="177" fontId="13" fillId="0" borderId="11" xfId="3" applyNumberFormat="1" applyFont="1" applyFill="1" applyBorder="1" applyAlignment="1">
      <alignment vertical="center"/>
    </xf>
    <xf numFmtId="0" fontId="13" fillId="0" borderId="38" xfId="3" applyFont="1" applyFill="1" applyBorder="1" applyAlignment="1">
      <alignment vertical="center"/>
    </xf>
    <xf numFmtId="0" fontId="13" fillId="0" borderId="13" xfId="3" applyFont="1" applyFill="1" applyBorder="1" applyAlignment="1">
      <alignment vertical="center"/>
    </xf>
    <xf numFmtId="176" fontId="13" fillId="0" borderId="13" xfId="3" applyNumberFormat="1" applyFont="1" applyFill="1" applyBorder="1" applyAlignment="1">
      <alignment vertical="center"/>
    </xf>
    <xf numFmtId="176" fontId="13" fillId="0" borderId="39" xfId="3" applyNumberFormat="1" applyFont="1" applyFill="1" applyBorder="1" applyAlignment="1">
      <alignment vertical="center"/>
    </xf>
    <xf numFmtId="0" fontId="13" fillId="0" borderId="33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right" vertical="center"/>
    </xf>
    <xf numFmtId="178" fontId="13" fillId="0" borderId="0" xfId="3" applyNumberFormat="1" applyFont="1" applyFill="1" applyBorder="1" applyAlignment="1">
      <alignment horizontal="center" vertical="center"/>
    </xf>
    <xf numFmtId="9" fontId="13" fillId="0" borderId="27" xfId="1" applyFont="1" applyFill="1" applyBorder="1" applyAlignment="1">
      <alignment horizontal="center" vertical="center"/>
    </xf>
    <xf numFmtId="0" fontId="13" fillId="0" borderId="36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horizontal="right" vertical="center"/>
    </xf>
    <xf numFmtId="176" fontId="13" fillId="0" borderId="37" xfId="3" applyNumberFormat="1" applyFont="1" applyFill="1" applyBorder="1" applyAlignment="1">
      <alignment vertical="center"/>
    </xf>
    <xf numFmtId="42" fontId="13" fillId="0" borderId="0" xfId="3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178" fontId="21" fillId="0" borderId="0" xfId="0" applyNumberFormat="1" applyFont="1" applyBorder="1">
      <alignment vertical="center"/>
    </xf>
    <xf numFmtId="181" fontId="13" fillId="0" borderId="0" xfId="1" applyNumberFormat="1" applyFont="1" applyFill="1" applyBorder="1" applyAlignment="1">
      <alignment vertical="center"/>
    </xf>
    <xf numFmtId="9" fontId="13" fillId="0" borderId="0" xfId="1" applyFont="1" applyFill="1" applyBorder="1" applyAlignment="1">
      <alignment horizontal="center" vertical="center"/>
    </xf>
    <xf numFmtId="41" fontId="13" fillId="0" borderId="0" xfId="2" applyNumberFormat="1" applyFont="1" applyFill="1" applyBorder="1" applyAlignment="1">
      <alignment horizontal="left" vertical="center"/>
    </xf>
    <xf numFmtId="10" fontId="13" fillId="0" borderId="0" xfId="1" applyNumberFormat="1" applyFont="1" applyFill="1" applyBorder="1" applyAlignment="1">
      <alignment horizontal="center" vertical="center"/>
    </xf>
    <xf numFmtId="42" fontId="22" fillId="0" borderId="0" xfId="3" applyNumberFormat="1" applyFont="1" applyFill="1" applyBorder="1" applyAlignment="1">
      <alignment horizontal="center" vertical="center"/>
    </xf>
    <xf numFmtId="180" fontId="22" fillId="0" borderId="0" xfId="2" applyNumberFormat="1" applyFont="1" applyFill="1" applyBorder="1" applyAlignment="1">
      <alignment horizontal="center" vertical="center"/>
    </xf>
    <xf numFmtId="178" fontId="23" fillId="0" borderId="0" xfId="0" applyNumberFormat="1" applyFont="1" applyBorder="1">
      <alignment vertical="center"/>
    </xf>
    <xf numFmtId="180" fontId="13" fillId="0" borderId="0" xfId="2" applyNumberFormat="1" applyFont="1" applyFill="1" applyBorder="1" applyAlignment="1">
      <alignment horizontal="center"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41" fontId="13" fillId="0" borderId="14" xfId="2" applyFont="1" applyFill="1" applyBorder="1" applyAlignment="1">
      <alignment vertical="center"/>
    </xf>
    <xf numFmtId="0" fontId="13" fillId="0" borderId="27" xfId="3" applyFont="1" applyFill="1" applyBorder="1" applyAlignment="1">
      <alignment vertical="center" wrapText="1"/>
    </xf>
    <xf numFmtId="0" fontId="13" fillId="0" borderId="11" xfId="3" applyFont="1" applyFill="1" applyBorder="1" applyAlignment="1">
      <alignment vertical="center" wrapText="1"/>
    </xf>
    <xf numFmtId="9" fontId="13" fillId="0" borderId="11" xfId="1" applyFont="1" applyFill="1" applyBorder="1" applyAlignment="1">
      <alignment horizontal="center" vertical="center"/>
    </xf>
    <xf numFmtId="0" fontId="13" fillId="0" borderId="14" xfId="3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vertical="center"/>
    </xf>
    <xf numFmtId="0" fontId="13" fillId="0" borderId="1" xfId="3" applyFont="1" applyFill="1" applyBorder="1" applyAlignment="1">
      <alignment horizontal="center" vertical="center"/>
    </xf>
    <xf numFmtId="176" fontId="13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0" fontId="13" fillId="0" borderId="27" xfId="3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179" fontId="13" fillId="0" borderId="0" xfId="1" applyNumberFormat="1" applyFont="1" applyFill="1" applyBorder="1" applyAlignment="1">
      <alignment vertical="center"/>
    </xf>
    <xf numFmtId="0" fontId="13" fillId="0" borderId="5" xfId="0" applyFont="1" applyFill="1" applyBorder="1" applyAlignment="1">
      <alignment vertical="center"/>
    </xf>
    <xf numFmtId="176" fontId="13" fillId="0" borderId="0" xfId="0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horizontal="right" vertical="center"/>
    </xf>
    <xf numFmtId="176" fontId="15" fillId="0" borderId="31" xfId="3" applyNumberFormat="1" applyFont="1" applyFill="1" applyBorder="1" applyAlignment="1">
      <alignment vertical="center"/>
    </xf>
    <xf numFmtId="0" fontId="13" fillId="0" borderId="26" xfId="3" applyFont="1" applyFill="1" applyBorder="1" applyAlignment="1">
      <alignment horizontal="center" vertical="center"/>
    </xf>
    <xf numFmtId="0" fontId="15" fillId="0" borderId="41" xfId="3" applyFont="1" applyFill="1" applyBorder="1" applyAlignment="1">
      <alignment vertical="center"/>
    </xf>
    <xf numFmtId="0" fontId="13" fillId="0" borderId="26" xfId="3" applyFont="1" applyFill="1" applyBorder="1" applyAlignment="1">
      <alignment vertical="center"/>
    </xf>
    <xf numFmtId="0" fontId="15" fillId="0" borderId="36" xfId="3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vertical="center"/>
    </xf>
    <xf numFmtId="0" fontId="13" fillId="0" borderId="6" xfId="3" applyFont="1" applyFill="1" applyBorder="1" applyAlignment="1">
      <alignment vertical="center" wrapText="1"/>
    </xf>
    <xf numFmtId="0" fontId="13" fillId="0" borderId="7" xfId="3" applyFont="1" applyFill="1" applyBorder="1" applyAlignment="1">
      <alignment horizontal="center" vertical="center"/>
    </xf>
    <xf numFmtId="0" fontId="13" fillId="0" borderId="7" xfId="3" applyFont="1" applyFill="1" applyBorder="1" applyAlignment="1">
      <alignment horizontal="center" vertical="center" wrapText="1"/>
    </xf>
    <xf numFmtId="178" fontId="13" fillId="0" borderId="7" xfId="3" applyNumberFormat="1" applyFont="1" applyFill="1" applyBorder="1" applyAlignment="1">
      <alignment vertical="center"/>
    </xf>
    <xf numFmtId="177" fontId="13" fillId="0" borderId="7" xfId="3" applyNumberFormat="1" applyFont="1" applyFill="1" applyBorder="1" applyAlignment="1">
      <alignment vertical="center"/>
    </xf>
    <xf numFmtId="9" fontId="13" fillId="0" borderId="7" xfId="3" applyNumberFormat="1" applyFont="1" applyFill="1" applyBorder="1" applyAlignment="1">
      <alignment horizontal="center" vertical="center"/>
    </xf>
    <xf numFmtId="176" fontId="13" fillId="0" borderId="13" xfId="3" applyNumberFormat="1" applyFont="1" applyFill="1" applyBorder="1" applyAlignment="1">
      <alignment horizontal="center" vertical="center"/>
    </xf>
    <xf numFmtId="38" fontId="13" fillId="0" borderId="13" xfId="3" applyNumberFormat="1" applyFont="1" applyFill="1" applyBorder="1" applyAlignment="1">
      <alignment vertical="center"/>
    </xf>
    <xf numFmtId="9" fontId="13" fillId="0" borderId="3" xfId="1" applyFont="1" applyFill="1" applyBorder="1" applyAlignment="1">
      <alignment horizontal="center" vertical="center"/>
    </xf>
    <xf numFmtId="38" fontId="15" fillId="0" borderId="27" xfId="3" applyNumberFormat="1" applyFont="1" applyFill="1" applyBorder="1" applyAlignment="1">
      <alignment vertical="center"/>
    </xf>
    <xf numFmtId="38" fontId="13" fillId="0" borderId="27" xfId="3" applyNumberFormat="1" applyFont="1" applyFill="1" applyBorder="1" applyAlignment="1">
      <alignment vertical="center"/>
    </xf>
    <xf numFmtId="3" fontId="25" fillId="0" borderId="0" xfId="0" applyNumberFormat="1" applyFont="1" applyFill="1" applyAlignment="1">
      <alignment vertical="center"/>
    </xf>
    <xf numFmtId="0" fontId="13" fillId="0" borderId="42" xfId="3" applyFont="1" applyFill="1" applyBorder="1" applyAlignment="1">
      <alignment horizontal="center" vertical="center" wrapText="1"/>
    </xf>
    <xf numFmtId="38" fontId="13" fillId="0" borderId="11" xfId="3" applyNumberFormat="1" applyFont="1" applyFill="1" applyBorder="1" applyAlignment="1">
      <alignment vertical="center"/>
    </xf>
    <xf numFmtId="0" fontId="15" fillId="0" borderId="2" xfId="3" applyFont="1" applyFill="1" applyBorder="1" applyAlignment="1">
      <alignment horizontal="center" vertical="center" wrapText="1"/>
    </xf>
    <xf numFmtId="38" fontId="13" fillId="0" borderId="1" xfId="3" applyNumberFormat="1" applyFont="1" applyFill="1" applyBorder="1" applyAlignment="1">
      <alignment vertical="center"/>
    </xf>
    <xf numFmtId="176" fontId="13" fillId="0" borderId="1" xfId="0" applyNumberFormat="1" applyFont="1" applyFill="1" applyBorder="1" applyAlignment="1">
      <alignment vertical="center"/>
    </xf>
    <xf numFmtId="38" fontId="17" fillId="0" borderId="27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176" fontId="15" fillId="0" borderId="14" xfId="3" applyNumberFormat="1" applyFont="1" applyFill="1" applyBorder="1" applyAlignment="1">
      <alignment horizontal="right" vertical="center"/>
    </xf>
    <xf numFmtId="176" fontId="15" fillId="0" borderId="37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horizontal="left" vertical="center"/>
    </xf>
    <xf numFmtId="9" fontId="13" fillId="0" borderId="1" xfId="1" applyFont="1" applyFill="1" applyBorder="1" applyAlignment="1">
      <alignment horizontal="center" vertical="center"/>
    </xf>
    <xf numFmtId="9" fontId="13" fillId="0" borderId="0" xfId="1" applyFont="1" applyFill="1" applyBorder="1" applyAlignment="1">
      <alignment vertical="center"/>
    </xf>
    <xf numFmtId="176" fontId="13" fillId="0" borderId="31" xfId="3" applyNumberFormat="1" applyFont="1" applyFill="1" applyBorder="1" applyAlignment="1">
      <alignment vertical="center"/>
    </xf>
    <xf numFmtId="9" fontId="13" fillId="0" borderId="0" xfId="3" applyNumberFormat="1" applyFont="1" applyFill="1" applyBorder="1" applyAlignment="1">
      <alignment vertical="center"/>
    </xf>
    <xf numFmtId="0" fontId="26" fillId="0" borderId="1" xfId="3" applyFont="1" applyFill="1" applyBorder="1" applyAlignment="1">
      <alignment horizontal="center" vertical="center" wrapText="1"/>
    </xf>
    <xf numFmtId="38" fontId="26" fillId="0" borderId="1" xfId="3" applyNumberFormat="1" applyFont="1" applyFill="1" applyBorder="1" applyAlignment="1">
      <alignment vertical="center"/>
    </xf>
    <xf numFmtId="0" fontId="13" fillId="0" borderId="37" xfId="0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horizontal="center" vertical="center"/>
    </xf>
    <xf numFmtId="176" fontId="14" fillId="0" borderId="5" xfId="3" applyNumberFormat="1" applyFont="1" applyFill="1" applyBorder="1" applyAlignment="1">
      <alignment vertical="center"/>
    </xf>
    <xf numFmtId="0" fontId="14" fillId="0" borderId="14" xfId="0" applyFont="1" applyFill="1" applyBorder="1" applyAlignment="1">
      <alignment vertical="center"/>
    </xf>
    <xf numFmtId="176" fontId="14" fillId="0" borderId="37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right" vertical="center"/>
    </xf>
    <xf numFmtId="38" fontId="13" fillId="0" borderId="14" xfId="3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38" fontId="13" fillId="0" borderId="30" xfId="3" applyNumberFormat="1" applyFont="1" applyFill="1" applyBorder="1" applyAlignment="1">
      <alignment vertical="center"/>
    </xf>
    <xf numFmtId="38" fontId="13" fillId="0" borderId="0" xfId="3" applyNumberFormat="1" applyFont="1" applyFill="1" applyBorder="1" applyAlignment="1">
      <alignment vertical="center"/>
    </xf>
    <xf numFmtId="0" fontId="13" fillId="0" borderId="0" xfId="0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horizontal="left" vertical="center"/>
    </xf>
    <xf numFmtId="3" fontId="13" fillId="0" borderId="0" xfId="0" applyNumberFormat="1" applyFont="1" applyFill="1" applyAlignment="1">
      <alignment vertical="center"/>
    </xf>
    <xf numFmtId="176" fontId="26" fillId="0" borderId="0" xfId="4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38" fontId="26" fillId="0" borderId="11" xfId="4" applyNumberFormat="1" applyFont="1" applyFill="1" applyBorder="1" applyAlignment="1">
      <alignment vertical="center"/>
    </xf>
    <xf numFmtId="0" fontId="26" fillId="0" borderId="0" xfId="4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5" xfId="3" applyNumberFormat="1" applyFont="1" applyFill="1" applyBorder="1" applyAlignment="1">
      <alignment vertical="center"/>
    </xf>
    <xf numFmtId="178" fontId="13" fillId="0" borderId="0" xfId="3" applyNumberFormat="1" applyFont="1" applyFill="1" applyBorder="1" applyAlignment="1">
      <alignment horizontal="right" vertical="center"/>
    </xf>
    <xf numFmtId="0" fontId="13" fillId="0" borderId="0" xfId="0" applyFont="1" applyFill="1">
      <alignment vertical="center"/>
    </xf>
    <xf numFmtId="178" fontId="13" fillId="0" borderId="0" xfId="0" applyNumberFormat="1" applyFont="1" applyFill="1" applyAlignment="1">
      <alignment horizontal="right" vertical="center"/>
    </xf>
    <xf numFmtId="0" fontId="13" fillId="0" borderId="5" xfId="0" applyFont="1" applyFill="1" applyBorder="1">
      <alignment vertical="center"/>
    </xf>
    <xf numFmtId="0" fontId="13" fillId="0" borderId="6" xfId="3" applyFont="1" applyFill="1" applyBorder="1" applyAlignment="1">
      <alignment horizontal="center" vertical="center" wrapText="1"/>
    </xf>
    <xf numFmtId="38" fontId="13" fillId="0" borderId="7" xfId="3" applyNumberFormat="1" applyFont="1" applyFill="1" applyBorder="1" applyAlignment="1">
      <alignment vertical="center"/>
    </xf>
    <xf numFmtId="9" fontId="13" fillId="0" borderId="7" xfId="1" applyFont="1" applyFill="1" applyBorder="1" applyAlignment="1">
      <alignment horizontal="center" vertical="center"/>
    </xf>
    <xf numFmtId="0" fontId="13" fillId="0" borderId="39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14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18" fillId="0" borderId="30" xfId="3" applyFont="1" applyFill="1" applyBorder="1" applyAlignment="1">
      <alignment vertical="center"/>
    </xf>
    <xf numFmtId="0" fontId="13" fillId="0" borderId="41" xfId="3" applyFont="1" applyFill="1" applyBorder="1" applyAlignment="1">
      <alignment vertical="center"/>
    </xf>
    <xf numFmtId="176" fontId="13" fillId="0" borderId="54" xfId="3" applyNumberFormat="1" applyFont="1" applyFill="1" applyBorder="1" applyAlignment="1">
      <alignment vertical="center"/>
    </xf>
    <xf numFmtId="176" fontId="13" fillId="0" borderId="54" xfId="3" applyNumberFormat="1" applyFont="1" applyFill="1" applyBorder="1" applyAlignment="1">
      <alignment horizontal="right" vertical="center"/>
    </xf>
    <xf numFmtId="176" fontId="13" fillId="0" borderId="55" xfId="3" applyNumberFormat="1" applyFont="1" applyFill="1" applyBorder="1" applyAlignment="1">
      <alignment vertical="center"/>
    </xf>
    <xf numFmtId="0" fontId="13" fillId="0" borderId="54" xfId="3" applyFont="1" applyFill="1" applyBorder="1" applyAlignment="1">
      <alignment vertical="center"/>
    </xf>
    <xf numFmtId="177" fontId="13" fillId="0" borderId="3" xfId="3" applyNumberFormat="1" applyFont="1" applyFill="1" applyBorder="1" applyAlignment="1">
      <alignment horizontal="center" vertical="center" wrapText="1"/>
    </xf>
    <xf numFmtId="178" fontId="14" fillId="0" borderId="3" xfId="3" applyNumberFormat="1" applyFont="1" applyFill="1" applyBorder="1" applyAlignment="1">
      <alignment horizontal="center" vertical="center" wrapText="1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0" fontId="13" fillId="0" borderId="0" xfId="3" applyFont="1" applyFill="1" applyBorder="1" applyAlignment="1">
      <alignment horizontal="left" vertical="center"/>
    </xf>
    <xf numFmtId="38" fontId="13" fillId="0" borderId="33" xfId="3" applyNumberFormat="1" applyFont="1" applyFill="1" applyBorder="1" applyAlignment="1">
      <alignment vertical="center"/>
    </xf>
    <xf numFmtId="38" fontId="13" fillId="0" borderId="36" xfId="3" applyNumberFormat="1" applyFont="1" applyFill="1" applyBorder="1" applyAlignment="1">
      <alignment vertical="center"/>
    </xf>
    <xf numFmtId="38" fontId="13" fillId="0" borderId="34" xfId="3" applyNumberFormat="1" applyFont="1" applyFill="1" applyBorder="1" applyAlignment="1">
      <alignment vertical="center"/>
    </xf>
    <xf numFmtId="3" fontId="25" fillId="0" borderId="33" xfId="0" applyNumberFormat="1" applyFont="1" applyFill="1" applyBorder="1" applyAlignment="1">
      <alignment vertical="center"/>
    </xf>
    <xf numFmtId="3" fontId="25" fillId="0" borderId="36" xfId="0" applyNumberFormat="1" applyFont="1" applyFill="1" applyBorder="1" applyAlignment="1">
      <alignment vertical="center"/>
    </xf>
    <xf numFmtId="38" fontId="13" fillId="0" borderId="38" xfId="3" applyNumberFormat="1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41" fontId="15" fillId="0" borderId="27" xfId="0" applyNumberFormat="1" applyFont="1" applyFill="1" applyBorder="1" applyAlignment="1">
      <alignment vertical="center"/>
    </xf>
    <xf numFmtId="38" fontId="26" fillId="0" borderId="11" xfId="4" applyNumberFormat="1" applyFont="1" applyFill="1" applyBorder="1" applyAlignment="1">
      <alignment horizontal="center" vertical="center" wrapText="1"/>
    </xf>
    <xf numFmtId="38" fontId="15" fillId="0" borderId="8" xfId="3" applyNumberFormat="1" applyFont="1" applyFill="1" applyBorder="1" applyAlignment="1">
      <alignment vertical="center"/>
    </xf>
    <xf numFmtId="41" fontId="15" fillId="0" borderId="8" xfId="0" applyNumberFormat="1" applyFont="1" applyFill="1" applyBorder="1" applyAlignment="1">
      <alignment vertical="center"/>
    </xf>
    <xf numFmtId="9" fontId="15" fillId="0" borderId="8" xfId="3" applyNumberFormat="1" applyFont="1" applyFill="1" applyBorder="1" applyAlignment="1">
      <alignment horizontal="center" vertical="center"/>
    </xf>
    <xf numFmtId="0" fontId="15" fillId="0" borderId="10" xfId="3" applyFont="1" applyFill="1" applyBorder="1" applyAlignment="1">
      <alignment vertical="center"/>
    </xf>
    <xf numFmtId="0" fontId="15" fillId="0" borderId="44" xfId="3" applyFont="1" applyFill="1" applyBorder="1" applyAlignment="1">
      <alignment vertical="center"/>
    </xf>
    <xf numFmtId="176" fontId="15" fillId="0" borderId="44" xfId="3" applyNumberFormat="1" applyFont="1" applyFill="1" applyBorder="1" applyAlignment="1">
      <alignment vertical="center"/>
    </xf>
    <xf numFmtId="176" fontId="15" fillId="0" borderId="45" xfId="3" applyNumberFormat="1" applyFont="1" applyFill="1" applyBorder="1" applyAlignment="1">
      <alignment vertical="center"/>
    </xf>
    <xf numFmtId="9" fontId="15" fillId="0" borderId="20" xfId="1" applyFont="1" applyFill="1" applyBorder="1" applyAlignment="1">
      <alignment horizontal="center" vertical="center"/>
    </xf>
    <xf numFmtId="9" fontId="13" fillId="0" borderId="13" xfId="1" applyFont="1" applyFill="1" applyBorder="1" applyAlignment="1">
      <alignment horizontal="center" vertical="center"/>
    </xf>
    <xf numFmtId="176" fontId="13" fillId="0" borderId="20" xfId="0" applyNumberFormat="1" applyFont="1" applyFill="1" applyBorder="1" applyAlignment="1">
      <alignment vertical="center"/>
    </xf>
    <xf numFmtId="0" fontId="13" fillId="0" borderId="20" xfId="3" applyFont="1" applyFill="1" applyBorder="1" applyAlignment="1">
      <alignment horizontal="center" vertical="center" wrapText="1"/>
    </xf>
    <xf numFmtId="38" fontId="13" fillId="0" borderId="20" xfId="3" applyNumberFormat="1" applyFont="1" applyFill="1" applyBorder="1" applyAlignment="1">
      <alignment vertical="center"/>
    </xf>
    <xf numFmtId="9" fontId="13" fillId="0" borderId="20" xfId="1" applyFont="1" applyFill="1" applyBorder="1" applyAlignment="1">
      <alignment horizontal="center" vertical="center"/>
    </xf>
    <xf numFmtId="0" fontId="15" fillId="0" borderId="54" xfId="3" applyFont="1" applyFill="1" applyBorder="1" applyAlignment="1">
      <alignment vertical="center"/>
    </xf>
    <xf numFmtId="176" fontId="15" fillId="0" borderId="54" xfId="3" applyNumberFormat="1" applyFont="1" applyFill="1" applyBorder="1" applyAlignment="1">
      <alignment vertical="center"/>
    </xf>
    <xf numFmtId="176" fontId="15" fillId="0" borderId="55" xfId="3" applyNumberFormat="1" applyFont="1" applyFill="1" applyBorder="1" applyAlignment="1">
      <alignment vertical="center"/>
    </xf>
    <xf numFmtId="176" fontId="15" fillId="0" borderId="54" xfId="3" applyNumberFormat="1" applyFont="1" applyFill="1" applyBorder="1" applyAlignment="1">
      <alignment horizontal="right"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9" fontId="7" fillId="0" borderId="0" xfId="1" applyFont="1" applyFill="1" applyBorder="1" applyAlignment="1">
      <alignment horizontal="center" vertical="center"/>
    </xf>
    <xf numFmtId="176" fontId="26" fillId="0" borderId="0" xfId="4" applyNumberFormat="1" applyFont="1" applyFill="1" applyBorder="1" applyAlignment="1">
      <alignment horizontal="left" vertical="center"/>
    </xf>
    <xf numFmtId="176" fontId="13" fillId="0" borderId="0" xfId="3" applyNumberFormat="1" applyFont="1" applyFill="1" applyBorder="1" applyAlignment="1">
      <alignment horizontal="center" vertical="center"/>
    </xf>
    <xf numFmtId="178" fontId="14" fillId="0" borderId="3" xfId="3" applyNumberFormat="1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left"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41" fontId="13" fillId="0" borderId="0" xfId="2" applyNumberFormat="1" applyFont="1" applyFill="1" applyBorder="1" applyAlignment="1">
      <alignment horizontal="center" vertical="center"/>
    </xf>
    <xf numFmtId="41" fontId="13" fillId="0" borderId="0" xfId="2" applyFont="1" applyFill="1" applyAlignment="1">
      <alignment vertical="center"/>
    </xf>
    <xf numFmtId="0" fontId="15" fillId="0" borderId="54" xfId="3" applyFont="1" applyFill="1" applyBorder="1" applyAlignment="1">
      <alignment horizontal="center" vertical="center"/>
    </xf>
    <xf numFmtId="38" fontId="24" fillId="0" borderId="1" xfId="3" applyNumberFormat="1" applyFont="1" applyFill="1" applyBorder="1" applyAlignment="1">
      <alignment vertical="center"/>
    </xf>
    <xf numFmtId="9" fontId="24" fillId="0" borderId="1" xfId="1" applyFont="1" applyFill="1" applyBorder="1" applyAlignment="1">
      <alignment horizontal="center" vertical="center"/>
    </xf>
    <xf numFmtId="0" fontId="15" fillId="0" borderId="32" xfId="3" applyFont="1" applyFill="1" applyBorder="1" applyAlignment="1">
      <alignment horizontal="center" vertical="center" wrapText="1"/>
    </xf>
    <xf numFmtId="38" fontId="15" fillId="0" borderId="20" xfId="3" applyNumberFormat="1" applyFont="1" applyFill="1" applyBorder="1" applyAlignment="1">
      <alignment vertical="center"/>
    </xf>
    <xf numFmtId="0" fontId="15" fillId="0" borderId="1" xfId="3" applyFont="1" applyFill="1" applyBorder="1" applyAlignment="1">
      <alignment horizontal="center" vertical="center" wrapText="1"/>
    </xf>
    <xf numFmtId="38" fontId="15" fillId="0" borderId="1" xfId="3" applyNumberFormat="1" applyFont="1" applyFill="1" applyBorder="1" applyAlignment="1">
      <alignment vertical="center"/>
    </xf>
    <xf numFmtId="9" fontId="15" fillId="0" borderId="1" xfId="1" applyFont="1" applyFill="1" applyBorder="1" applyAlignment="1">
      <alignment horizontal="center" vertical="center"/>
    </xf>
    <xf numFmtId="38" fontId="13" fillId="0" borderId="8" xfId="3" applyNumberFormat="1" applyFont="1" applyFill="1" applyBorder="1" applyAlignment="1">
      <alignment vertical="center"/>
    </xf>
    <xf numFmtId="9" fontId="13" fillId="0" borderId="8" xfId="1" applyFont="1" applyFill="1" applyBorder="1" applyAlignment="1">
      <alignment horizontal="center"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3" fillId="0" borderId="0" xfId="7">
      <alignment vertical="center"/>
    </xf>
    <xf numFmtId="0" fontId="27" fillId="0" borderId="0" xfId="7" applyFont="1">
      <alignment vertical="center"/>
    </xf>
    <xf numFmtId="0" fontId="29" fillId="0" borderId="0" xfId="7" applyFont="1" applyAlignment="1">
      <alignment horizontal="right"/>
    </xf>
    <xf numFmtId="41" fontId="0" fillId="0" borderId="11" xfId="8" applyFont="1" applyBorder="1" applyAlignment="1">
      <alignment vertical="center"/>
    </xf>
    <xf numFmtId="182" fontId="0" fillId="0" borderId="36" xfId="8" applyNumberFormat="1" applyFont="1" applyBorder="1" applyAlignment="1">
      <alignment vertical="center"/>
    </xf>
    <xf numFmtId="182" fontId="0" fillId="0" borderId="12" xfId="8" applyNumberFormat="1" applyFont="1" applyBorder="1" applyAlignment="1">
      <alignment vertical="center"/>
    </xf>
    <xf numFmtId="0" fontId="3" fillId="0" borderId="15" xfId="7" applyBorder="1" applyAlignment="1">
      <alignment horizontal="center" vertical="center"/>
    </xf>
    <xf numFmtId="0" fontId="3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3" fillId="0" borderId="15" xfId="7" applyFont="1" applyBorder="1" applyAlignment="1">
      <alignment horizontal="center" vertical="center"/>
    </xf>
    <xf numFmtId="0" fontId="3" fillId="0" borderId="16" xfId="7" applyBorder="1" applyAlignment="1">
      <alignment horizontal="center" vertical="center"/>
    </xf>
    <xf numFmtId="0" fontId="3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3" fillId="0" borderId="14" xfId="3" applyNumberFormat="1" applyFont="1" applyFill="1" applyBorder="1" applyAlignment="1">
      <alignment horizontal="center" vertical="center"/>
    </xf>
    <xf numFmtId="0" fontId="13" fillId="0" borderId="28" xfId="3" applyFont="1" applyFill="1" applyBorder="1" applyAlignment="1">
      <alignment horizontal="center" vertical="center" wrapText="1"/>
    </xf>
    <xf numFmtId="176" fontId="13" fillId="0" borderId="0" xfId="3" applyNumberFormat="1" applyFont="1" applyFill="1" applyBorder="1" applyAlignment="1">
      <alignment vertical="center"/>
    </xf>
    <xf numFmtId="9" fontId="13" fillId="0" borderId="11" xfId="3" applyNumberFormat="1" applyFont="1" applyFill="1" applyBorder="1" applyAlignment="1">
      <alignment horizontal="center" vertical="center"/>
    </xf>
    <xf numFmtId="0" fontId="19" fillId="0" borderId="41" xfId="3" applyFont="1" applyFill="1" applyBorder="1" applyAlignment="1">
      <alignment vertical="center"/>
    </xf>
    <xf numFmtId="0" fontId="20" fillId="0" borderId="54" xfId="3" applyFont="1" applyFill="1" applyBorder="1" applyAlignment="1">
      <alignment vertical="center"/>
    </xf>
    <xf numFmtId="176" fontId="20" fillId="0" borderId="54" xfId="3" applyNumberFormat="1" applyFont="1" applyFill="1" applyBorder="1" applyAlignment="1">
      <alignment vertical="center"/>
    </xf>
    <xf numFmtId="176" fontId="19" fillId="0" borderId="54" xfId="3" applyNumberFormat="1" applyFont="1" applyFill="1" applyBorder="1" applyAlignment="1">
      <alignment vertical="center"/>
    </xf>
    <xf numFmtId="42" fontId="13" fillId="0" borderId="0" xfId="3" applyNumberFormat="1" applyFont="1" applyFill="1" applyBorder="1" applyAlignment="1">
      <alignment horizontal="left" vertical="center"/>
    </xf>
    <xf numFmtId="41" fontId="13" fillId="0" borderId="0" xfId="2" applyNumberFormat="1" applyFont="1" applyFill="1" applyBorder="1" applyAlignment="1">
      <alignment vertical="center"/>
    </xf>
    <xf numFmtId="180" fontId="13" fillId="0" borderId="0" xfId="2" applyNumberFormat="1" applyFont="1" applyFill="1" applyBorder="1" applyAlignment="1">
      <alignment vertical="center"/>
    </xf>
    <xf numFmtId="177" fontId="13" fillId="0" borderId="0" xfId="3" applyNumberFormat="1" applyFont="1" applyFill="1" applyBorder="1" applyAlignment="1">
      <alignment vertical="center"/>
    </xf>
    <xf numFmtId="178" fontId="26" fillId="0" borderId="0" xfId="0" applyNumberFormat="1" applyFont="1" applyBorder="1">
      <alignment vertical="center"/>
    </xf>
    <xf numFmtId="42" fontId="13" fillId="0" borderId="14" xfId="3" applyNumberFormat="1" applyFont="1" applyFill="1" applyBorder="1" applyAlignment="1">
      <alignment horizontal="center" vertical="center"/>
    </xf>
    <xf numFmtId="178" fontId="13" fillId="0" borderId="14" xfId="3" applyNumberFormat="1" applyFont="1" applyFill="1" applyBorder="1" applyAlignment="1">
      <alignment horizontal="center" vertical="center"/>
    </xf>
    <xf numFmtId="180" fontId="13" fillId="0" borderId="14" xfId="2" applyNumberFormat="1" applyFont="1" applyFill="1" applyBorder="1" applyAlignment="1">
      <alignment horizontal="center" vertical="center"/>
    </xf>
    <xf numFmtId="178" fontId="21" fillId="0" borderId="14" xfId="0" applyNumberFormat="1" applyFont="1" applyBorder="1">
      <alignment vertical="center"/>
    </xf>
    <xf numFmtId="178" fontId="18" fillId="0" borderId="1" xfId="3" applyNumberFormat="1" applyFont="1" applyFill="1" applyBorder="1" applyAlignment="1">
      <alignment vertical="center"/>
    </xf>
    <xf numFmtId="177" fontId="18" fillId="0" borderId="1" xfId="3" applyNumberFormat="1" applyFont="1" applyFill="1" applyBorder="1" applyAlignment="1">
      <alignment vertical="center"/>
    </xf>
    <xf numFmtId="9" fontId="18" fillId="0" borderId="1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178" fontId="16" fillId="0" borderId="23" xfId="3" applyNumberFormat="1" applyFont="1" applyFill="1" applyBorder="1" applyAlignment="1">
      <alignment vertical="center"/>
    </xf>
    <xf numFmtId="9" fontId="16" fillId="0" borderId="23" xfId="3" applyNumberFormat="1" applyFont="1" applyFill="1" applyBorder="1" applyAlignment="1">
      <alignment horizontal="center" vertical="center"/>
    </xf>
    <xf numFmtId="178" fontId="26" fillId="0" borderId="27" xfId="3" applyNumberFormat="1" applyFont="1" applyFill="1" applyBorder="1" applyAlignment="1">
      <alignment vertical="center"/>
    </xf>
    <xf numFmtId="9" fontId="13" fillId="0" borderId="54" xfId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178" fontId="24" fillId="0" borderId="27" xfId="3" applyNumberFormat="1" applyFont="1" applyFill="1" applyBorder="1" applyAlignment="1">
      <alignment vertical="center"/>
    </xf>
    <xf numFmtId="178" fontId="18" fillId="0" borderId="11" xfId="3" applyNumberFormat="1" applyFont="1" applyFill="1" applyBorder="1" applyAlignment="1">
      <alignment vertical="center"/>
    </xf>
    <xf numFmtId="178" fontId="24" fillId="0" borderId="11" xfId="3" applyNumberFormat="1" applyFont="1" applyFill="1" applyBorder="1" applyAlignment="1">
      <alignment vertical="center"/>
    </xf>
    <xf numFmtId="177" fontId="18" fillId="0" borderId="11" xfId="3" applyNumberFormat="1" applyFont="1" applyFill="1" applyBorder="1" applyAlignment="1">
      <alignment vertical="center"/>
    </xf>
    <xf numFmtId="9" fontId="18" fillId="0" borderId="11" xfId="3" applyNumberFormat="1" applyFont="1" applyFill="1" applyBorder="1" applyAlignment="1">
      <alignment horizontal="center" vertical="center"/>
    </xf>
    <xf numFmtId="0" fontId="16" fillId="0" borderId="36" xfId="3" applyFont="1" applyFill="1" applyBorder="1" applyAlignment="1">
      <alignment vertical="center"/>
    </xf>
    <xf numFmtId="0" fontId="18" fillId="0" borderId="14" xfId="3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horizontal="right" vertical="center"/>
    </xf>
    <xf numFmtId="176" fontId="32" fillId="0" borderId="54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horizontal="right" vertical="center"/>
    </xf>
    <xf numFmtId="176" fontId="32" fillId="0" borderId="14" xfId="3" applyNumberFormat="1" applyFont="1" applyFill="1" applyBorder="1" applyAlignment="1">
      <alignment horizontal="right" vertical="center"/>
    </xf>
    <xf numFmtId="178" fontId="24" fillId="0" borderId="1" xfId="3" applyNumberFormat="1" applyFont="1" applyFill="1" applyBorder="1" applyAlignment="1">
      <alignment vertical="center"/>
    </xf>
    <xf numFmtId="42" fontId="13" fillId="0" borderId="30" xfId="3" applyNumberFormat="1" applyFont="1" applyFill="1" applyBorder="1" applyAlignment="1">
      <alignment horizontal="left" vertical="center"/>
    </xf>
    <xf numFmtId="176" fontId="13" fillId="0" borderId="30" xfId="3" applyNumberFormat="1" applyFont="1" applyFill="1" applyBorder="1" applyAlignment="1">
      <alignment horizontal="left" vertical="center"/>
    </xf>
    <xf numFmtId="41" fontId="13" fillId="0" borderId="30" xfId="2" applyNumberFormat="1" applyFont="1" applyFill="1" applyBorder="1" applyAlignment="1">
      <alignment vertical="center"/>
    </xf>
    <xf numFmtId="178" fontId="26" fillId="0" borderId="30" xfId="0" applyNumberFormat="1" applyFont="1" applyBorder="1">
      <alignment vertical="center"/>
    </xf>
    <xf numFmtId="177" fontId="13" fillId="0" borderId="14" xfId="3" applyNumberFormat="1" applyFont="1" applyFill="1" applyBorder="1" applyAlignment="1">
      <alignment vertical="center"/>
    </xf>
    <xf numFmtId="42" fontId="13" fillId="0" borderId="14" xfId="3" applyNumberFormat="1" applyFont="1" applyFill="1" applyBorder="1" applyAlignment="1">
      <alignment horizontal="left" vertical="center"/>
    </xf>
    <xf numFmtId="180" fontId="13" fillId="0" borderId="14" xfId="2" applyNumberFormat="1" applyFont="1" applyFill="1" applyBorder="1" applyAlignment="1">
      <alignment vertical="center"/>
    </xf>
    <xf numFmtId="9" fontId="13" fillId="0" borderId="14" xfId="1" applyFont="1" applyFill="1" applyBorder="1" applyAlignment="1">
      <alignment horizontal="center" vertical="center"/>
    </xf>
    <xf numFmtId="180" fontId="13" fillId="0" borderId="30" xfId="2" applyNumberFormat="1" applyFont="1" applyFill="1" applyBorder="1" applyAlignment="1">
      <alignment vertical="center"/>
    </xf>
    <xf numFmtId="41" fontId="13" fillId="0" borderId="30" xfId="2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right" vertical="center"/>
    </xf>
    <xf numFmtId="0" fontId="13" fillId="0" borderId="29" xfId="3" applyFont="1" applyFill="1" applyBorder="1" applyAlignment="1">
      <alignment vertical="center"/>
    </xf>
    <xf numFmtId="9" fontId="13" fillId="0" borderId="56" xfId="1" applyFont="1" applyFill="1" applyBorder="1" applyAlignment="1">
      <alignment vertical="center"/>
    </xf>
    <xf numFmtId="176" fontId="13" fillId="0" borderId="56" xfId="3" applyNumberFormat="1" applyFont="1" applyFill="1" applyBorder="1" applyAlignment="1">
      <alignment horizontal="right" vertical="center"/>
    </xf>
    <xf numFmtId="176" fontId="13" fillId="0" borderId="3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183" fontId="13" fillId="0" borderId="0" xfId="1" applyNumberFormat="1" applyFont="1" applyFill="1" applyBorder="1" applyAlignment="1">
      <alignment horizontal="center" vertical="center"/>
    </xf>
    <xf numFmtId="184" fontId="13" fillId="0" borderId="0" xfId="1" applyNumberFormat="1" applyFont="1" applyFill="1" applyBorder="1" applyAlignment="1">
      <alignment horizontal="center" vertical="center"/>
    </xf>
    <xf numFmtId="177" fontId="13" fillId="0" borderId="30" xfId="3" applyNumberFormat="1" applyFont="1" applyFill="1" applyBorder="1" applyAlignment="1">
      <alignment vertical="center"/>
    </xf>
    <xf numFmtId="9" fontId="13" fillId="0" borderId="0" xfId="1" applyFont="1" applyFill="1" applyBorder="1" applyAlignment="1">
      <alignment horizontal="left" vertical="center"/>
    </xf>
    <xf numFmtId="185" fontId="13" fillId="0" borderId="0" xfId="3" applyNumberFormat="1" applyFont="1" applyFill="1" applyBorder="1" applyAlignment="1">
      <alignment vertical="center"/>
    </xf>
    <xf numFmtId="186" fontId="13" fillId="0" borderId="0" xfId="3" applyNumberFormat="1" applyFont="1" applyFill="1" applyBorder="1" applyAlignment="1">
      <alignment vertical="center"/>
    </xf>
    <xf numFmtId="187" fontId="13" fillId="0" borderId="0" xfId="1" applyNumberFormat="1" applyFont="1" applyFill="1" applyBorder="1" applyAlignment="1">
      <alignment horizontal="center" vertical="center"/>
    </xf>
    <xf numFmtId="0" fontId="13" fillId="0" borderId="10" xfId="3" applyFont="1" applyFill="1" applyBorder="1" applyAlignment="1">
      <alignment vertical="center"/>
    </xf>
    <xf numFmtId="178" fontId="13" fillId="0" borderId="0" xfId="3" applyNumberFormat="1" applyFont="1" applyFill="1" applyBorder="1" applyAlignment="1">
      <alignment vertical="center"/>
    </xf>
    <xf numFmtId="185" fontId="13" fillId="0" borderId="0" xfId="3" applyNumberFormat="1" applyFont="1" applyFill="1" applyBorder="1" applyAlignment="1">
      <alignment horizontal="center" vertical="center"/>
    </xf>
    <xf numFmtId="188" fontId="13" fillId="0" borderId="0" xfId="3" applyNumberFormat="1" applyFont="1" applyFill="1" applyBorder="1" applyAlignment="1">
      <alignment horizontal="center" vertical="center"/>
    </xf>
    <xf numFmtId="10" fontId="13" fillId="0" borderId="14" xfId="1" applyNumberFormat="1" applyFont="1" applyFill="1" applyBorder="1" applyAlignment="1">
      <alignment horizontal="center" vertical="center"/>
    </xf>
    <xf numFmtId="178" fontId="33" fillId="0" borderId="20" xfId="3" applyNumberFormat="1" applyFont="1" applyFill="1" applyBorder="1" applyAlignment="1">
      <alignment vertical="center"/>
    </xf>
    <xf numFmtId="177" fontId="33" fillId="0" borderId="20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4" fillId="0" borderId="41" xfId="3" applyFont="1" applyFill="1" applyBorder="1" applyAlignment="1">
      <alignment vertical="center"/>
    </xf>
    <xf numFmtId="176" fontId="34" fillId="0" borderId="54" xfId="3" applyNumberFormat="1" applyFont="1" applyFill="1" applyBorder="1" applyAlignment="1">
      <alignment vertical="center"/>
    </xf>
    <xf numFmtId="0" fontId="34" fillId="0" borderId="54" xfId="3" applyFont="1" applyFill="1" applyBorder="1" applyAlignment="1">
      <alignment horizontal="center" vertical="center"/>
    </xf>
    <xf numFmtId="0" fontId="34" fillId="0" borderId="54" xfId="3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horizontal="right" vertical="center"/>
    </xf>
    <xf numFmtId="0" fontId="33" fillId="0" borderId="0" xfId="3" applyFont="1" applyFill="1" applyBorder="1" applyAlignment="1">
      <alignment vertical="center" wrapText="1"/>
    </xf>
    <xf numFmtId="178" fontId="33" fillId="0" borderId="0" xfId="3" applyNumberFormat="1" applyFont="1" applyFill="1" applyBorder="1" applyAlignment="1">
      <alignment vertical="center"/>
    </xf>
    <xf numFmtId="177" fontId="33" fillId="0" borderId="0" xfId="3" applyNumberFormat="1" applyFont="1" applyFill="1" applyBorder="1" applyAlignment="1">
      <alignment vertical="center"/>
    </xf>
    <xf numFmtId="9" fontId="33" fillId="0" borderId="0" xfId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176" fontId="34" fillId="0" borderId="0" xfId="3" applyNumberFormat="1" applyFont="1" applyFill="1" applyBorder="1" applyAlignment="1">
      <alignment horizontal="right" vertical="center"/>
    </xf>
    <xf numFmtId="176" fontId="34" fillId="0" borderId="54" xfId="3" applyNumberFormat="1" applyFont="1" applyFill="1" applyBorder="1" applyAlignment="1">
      <alignment horizontal="right" vertical="center"/>
    </xf>
    <xf numFmtId="178" fontId="31" fillId="0" borderId="20" xfId="3" applyNumberFormat="1" applyFont="1" applyFill="1" applyBorder="1" applyAlignment="1">
      <alignment horizontal="center" vertical="center"/>
    </xf>
    <xf numFmtId="176" fontId="16" fillId="0" borderId="37" xfId="3" applyNumberFormat="1" applyFont="1" applyFill="1" applyBorder="1" applyAlignment="1">
      <alignment vertical="center"/>
    </xf>
    <xf numFmtId="176" fontId="34" fillId="0" borderId="55" xfId="3" applyNumberFormat="1" applyFont="1" applyFill="1" applyBorder="1" applyAlignment="1">
      <alignment vertical="center"/>
    </xf>
    <xf numFmtId="176" fontId="32" fillId="0" borderId="55" xfId="3" applyNumberFormat="1" applyFont="1" applyFill="1" applyBorder="1" applyAlignment="1">
      <alignment vertical="center"/>
    </xf>
    <xf numFmtId="176" fontId="13" fillId="0" borderId="35" xfId="3" applyNumberFormat="1" applyFont="1" applyFill="1" applyBorder="1" applyAlignment="1">
      <alignment vertical="center"/>
    </xf>
    <xf numFmtId="176" fontId="13" fillId="0" borderId="31" xfId="3" applyNumberFormat="1" applyFont="1" applyFill="1" applyBorder="1" applyAlignment="1">
      <alignment horizontal="left" vertical="center"/>
    </xf>
    <xf numFmtId="176" fontId="13" fillId="0" borderId="31" xfId="3" applyNumberFormat="1" applyFont="1" applyFill="1" applyBorder="1" applyAlignment="1">
      <alignment horizontal="right" vertical="center"/>
    </xf>
    <xf numFmtId="0" fontId="13" fillId="0" borderId="17" xfId="3" applyFont="1" applyFill="1" applyBorder="1" applyAlignment="1">
      <alignment vertical="center" wrapText="1"/>
    </xf>
    <xf numFmtId="0" fontId="33" fillId="0" borderId="55" xfId="3" applyFont="1" applyFill="1" applyBorder="1" applyAlignment="1">
      <alignment vertical="center" wrapText="1"/>
    </xf>
    <xf numFmtId="0" fontId="15" fillId="0" borderId="38" xfId="3" applyFont="1" applyFill="1" applyBorder="1" applyAlignment="1">
      <alignment vertical="center"/>
    </xf>
    <xf numFmtId="176" fontId="15" fillId="0" borderId="13" xfId="3" applyNumberFormat="1" applyFont="1" applyFill="1" applyBorder="1" applyAlignment="1">
      <alignment horizontal="right" vertical="center"/>
    </xf>
    <xf numFmtId="176" fontId="15" fillId="0" borderId="39" xfId="3" applyNumberFormat="1" applyFont="1" applyFill="1" applyBorder="1" applyAlignment="1">
      <alignment vertical="center"/>
    </xf>
    <xf numFmtId="0" fontId="13" fillId="0" borderId="5" xfId="3" applyFont="1" applyFill="1" applyBorder="1" applyAlignment="1">
      <alignment vertical="center"/>
    </xf>
    <xf numFmtId="176" fontId="15" fillId="0" borderId="13" xfId="3" applyNumberFormat="1" applyFont="1" applyFill="1" applyBorder="1" applyAlignment="1">
      <alignment vertical="center"/>
    </xf>
    <xf numFmtId="0" fontId="15" fillId="0" borderId="13" xfId="3" applyFont="1" applyFill="1" applyBorder="1" applyAlignment="1">
      <alignment vertical="center"/>
    </xf>
    <xf numFmtId="177" fontId="15" fillId="0" borderId="13" xfId="3" applyNumberFormat="1" applyFont="1" applyFill="1" applyBorder="1" applyAlignment="1">
      <alignment horizontal="right" vertical="center"/>
    </xf>
    <xf numFmtId="177" fontId="13" fillId="0" borderId="0" xfId="3" applyNumberFormat="1" applyFont="1" applyFill="1" applyBorder="1" applyAlignment="1">
      <alignment horizontal="right" vertical="center"/>
    </xf>
    <xf numFmtId="177" fontId="24" fillId="0" borderId="27" xfId="3" applyNumberFormat="1" applyFont="1" applyFill="1" applyBorder="1" applyAlignment="1">
      <alignment vertical="center"/>
    </xf>
    <xf numFmtId="9" fontId="24" fillId="0" borderId="27" xfId="1" applyFont="1" applyFill="1" applyBorder="1" applyAlignment="1">
      <alignment horizontal="center" vertical="center"/>
    </xf>
    <xf numFmtId="177" fontId="24" fillId="0" borderId="1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89" fontId="13" fillId="0" borderId="0" xfId="1" applyNumberFormat="1" applyFont="1" applyFill="1" applyBorder="1" applyAlignment="1">
      <alignment horizontal="center" vertical="center"/>
    </xf>
    <xf numFmtId="190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5" fillId="0" borderId="54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178" fontId="16" fillId="0" borderId="44" xfId="3" applyNumberFormat="1" applyFont="1" applyFill="1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5" fillId="0" borderId="13" xfId="3" applyNumberFormat="1" applyFont="1" applyFill="1" applyBorder="1" applyAlignment="1">
      <alignment horizontal="right" vertical="center"/>
    </xf>
    <xf numFmtId="0" fontId="13" fillId="0" borderId="0" xfId="3" applyFont="1" applyFill="1" applyBorder="1" applyAlignment="1">
      <alignment horizontal="right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191" fontId="13" fillId="0" borderId="0" xfId="1" applyNumberFormat="1" applyFont="1" applyFill="1" applyBorder="1" applyAlignment="1">
      <alignment horizontal="center" vertical="center"/>
    </xf>
    <xf numFmtId="192" fontId="13" fillId="0" borderId="0" xfId="1" applyNumberFormat="1" applyFont="1" applyFill="1" applyBorder="1" applyAlignment="1">
      <alignment horizontal="center" vertical="center"/>
    </xf>
    <xf numFmtId="9" fontId="13" fillId="0" borderId="33" xfId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center" vertical="center"/>
    </xf>
    <xf numFmtId="176" fontId="24" fillId="0" borderId="5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30" xfId="3" applyNumberFormat="1" applyFont="1" applyFill="1" applyBorder="1" applyAlignment="1">
      <alignment vertical="center"/>
    </xf>
    <xf numFmtId="3" fontId="24" fillId="0" borderId="14" xfId="0" applyNumberFormat="1" applyFont="1" applyFill="1" applyBorder="1" applyAlignment="1">
      <alignment vertical="center"/>
    </xf>
    <xf numFmtId="3" fontId="24" fillId="0" borderId="0" xfId="0" applyNumberFormat="1" applyFont="1" applyFill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33" fillId="0" borderId="33" xfId="3" applyFont="1" applyFill="1" applyBorder="1" applyAlignment="1">
      <alignment vertical="center"/>
    </xf>
    <xf numFmtId="0" fontId="33" fillId="0" borderId="0" xfId="3" applyFont="1" applyFill="1" applyBorder="1" applyAlignment="1">
      <alignment vertical="center"/>
    </xf>
    <xf numFmtId="0" fontId="33" fillId="0" borderId="0" xfId="3" applyFont="1" applyFill="1" applyBorder="1" applyAlignment="1">
      <alignment horizontal="left" vertical="center"/>
    </xf>
    <xf numFmtId="0" fontId="33" fillId="0" borderId="14" xfId="3" applyFont="1" applyFill="1" applyBorder="1" applyAlignment="1">
      <alignment vertical="center"/>
    </xf>
    <xf numFmtId="0" fontId="33" fillId="0" borderId="36" xfId="3" applyFont="1" applyFill="1" applyBorder="1" applyAlignment="1">
      <alignment vertical="center"/>
    </xf>
    <xf numFmtId="0" fontId="33" fillId="0" borderId="41" xfId="3" applyFont="1" applyFill="1" applyBorder="1" applyAlignment="1">
      <alignment vertical="center"/>
    </xf>
    <xf numFmtId="0" fontId="33" fillId="0" borderId="34" xfId="3" applyFont="1" applyFill="1" applyBorder="1" applyAlignment="1">
      <alignment vertical="center"/>
    </xf>
    <xf numFmtId="0" fontId="24" fillId="0" borderId="33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34" fillId="0" borderId="14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horizontal="right" vertical="center"/>
    </xf>
    <xf numFmtId="9" fontId="13" fillId="0" borderId="1" xfId="1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33" fillId="0" borderId="33" xfId="3" applyFont="1" applyFill="1" applyBorder="1" applyAlignment="1">
      <alignment horizontal="left" vertical="center"/>
    </xf>
    <xf numFmtId="0" fontId="33" fillId="0" borderId="0" xfId="0" applyFont="1" applyFill="1" applyBorder="1" applyAlignment="1">
      <alignment vertical="center"/>
    </xf>
    <xf numFmtId="42" fontId="33" fillId="0" borderId="0" xfId="3" applyNumberFormat="1" applyFont="1" applyFill="1" applyBorder="1" applyAlignment="1">
      <alignment horizontal="center" vertical="center"/>
    </xf>
    <xf numFmtId="176" fontId="33" fillId="0" borderId="0" xfId="0" applyNumberFormat="1" applyFont="1" applyFill="1" applyBorder="1" applyAlignment="1">
      <alignment vertical="center"/>
    </xf>
    <xf numFmtId="0" fontId="33" fillId="0" borderId="5" xfId="0" applyFont="1" applyFill="1" applyBorder="1" applyAlignment="1">
      <alignment vertical="center"/>
    </xf>
    <xf numFmtId="0" fontId="24" fillId="0" borderId="0" xfId="0" applyFont="1" applyFill="1">
      <alignment vertical="center"/>
    </xf>
    <xf numFmtId="176" fontId="33" fillId="0" borderId="5" xfId="3" applyNumberFormat="1" applyFont="1" applyFill="1" applyBorder="1" applyAlignment="1">
      <alignment vertical="center"/>
    </xf>
    <xf numFmtId="41" fontId="33" fillId="0" borderId="0" xfId="2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33" fillId="0" borderId="0" xfId="0" applyFont="1" applyFill="1" applyAlignment="1">
      <alignment vertical="center"/>
    </xf>
    <xf numFmtId="3" fontId="33" fillId="0" borderId="0" xfId="0" applyNumberFormat="1" applyFont="1" applyFill="1" applyAlignment="1">
      <alignment vertical="center"/>
    </xf>
    <xf numFmtId="41" fontId="0" fillId="0" borderId="0" xfId="2" applyFont="1" applyFill="1" applyAlignment="1">
      <alignment vertical="center"/>
    </xf>
    <xf numFmtId="0" fontId="35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 wrapText="1"/>
    </xf>
    <xf numFmtId="193" fontId="0" fillId="0" borderId="19" xfId="0" applyNumberFormat="1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28" xfId="0" applyFill="1" applyBorder="1" applyAlignment="1">
      <alignment horizontal="center" vertical="center" wrapText="1"/>
    </xf>
    <xf numFmtId="0" fontId="0" fillId="0" borderId="26" xfId="0" applyFill="1" applyBorder="1" applyAlignment="1">
      <alignment vertical="center"/>
    </xf>
    <xf numFmtId="0" fontId="0" fillId="0" borderId="42" xfId="0" applyFill="1" applyBorder="1" applyAlignment="1">
      <alignment vertical="center"/>
    </xf>
    <xf numFmtId="0" fontId="35" fillId="0" borderId="16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32" xfId="0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3" xfId="0" applyFill="1" applyBorder="1" applyAlignment="1">
      <alignment vertical="center"/>
    </xf>
    <xf numFmtId="0" fontId="0" fillId="0" borderId="61" xfId="0" applyFill="1" applyBorder="1" applyAlignment="1">
      <alignment horizontal="center" vertical="center" wrapText="1"/>
    </xf>
    <xf numFmtId="0" fontId="0" fillId="0" borderId="62" xfId="0" applyFill="1" applyBorder="1" applyAlignment="1">
      <alignment horizontal="center" vertical="center" wrapText="1"/>
    </xf>
    <xf numFmtId="194" fontId="0" fillId="0" borderId="63" xfId="0" applyNumberFormat="1" applyFill="1" applyBorder="1" applyAlignment="1">
      <alignment vertical="center"/>
    </xf>
    <xf numFmtId="195" fontId="0" fillId="0" borderId="64" xfId="0" applyNumberFormat="1" applyFill="1" applyBorder="1" applyAlignment="1">
      <alignment vertical="center"/>
    </xf>
    <xf numFmtId="196" fontId="0" fillId="0" borderId="64" xfId="0" applyNumberFormat="1" applyFill="1" applyBorder="1" applyAlignment="1">
      <alignment vertical="center"/>
    </xf>
    <xf numFmtId="193" fontId="0" fillId="0" borderId="65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 wrapText="1"/>
    </xf>
    <xf numFmtId="0" fontId="0" fillId="0" borderId="67" xfId="0" applyFill="1" applyBorder="1" applyAlignment="1">
      <alignment vertical="center" wrapText="1"/>
    </xf>
    <xf numFmtId="0" fontId="0" fillId="0" borderId="53" xfId="0" applyFill="1" applyBorder="1" applyAlignment="1">
      <alignment horizontal="center" vertical="center" wrapText="1"/>
    </xf>
    <xf numFmtId="0" fontId="0" fillId="0" borderId="22" xfId="0" applyFill="1" applyBorder="1" applyAlignment="1">
      <alignment vertical="center"/>
    </xf>
    <xf numFmtId="0" fontId="0" fillId="0" borderId="61" xfId="0" applyFill="1" applyBorder="1" applyAlignment="1">
      <alignment horizontal="center" vertical="center"/>
    </xf>
    <xf numFmtId="0" fontId="0" fillId="0" borderId="64" xfId="0" applyFill="1" applyBorder="1" applyAlignment="1">
      <alignment vertical="center"/>
    </xf>
    <xf numFmtId="0" fontId="35" fillId="0" borderId="4" xfId="0" applyFont="1" applyFill="1" applyBorder="1" applyAlignment="1">
      <alignment horizontal="center" vertical="center"/>
    </xf>
    <xf numFmtId="0" fontId="0" fillId="0" borderId="66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193" fontId="35" fillId="0" borderId="26" xfId="0" applyNumberFormat="1" applyFont="1" applyFill="1" applyBorder="1" applyAlignment="1">
      <alignment vertical="center"/>
    </xf>
    <xf numFmtId="193" fontId="0" fillId="0" borderId="53" xfId="0" applyNumberFormat="1" applyFill="1" applyBorder="1" applyAlignment="1">
      <alignment vertical="center"/>
    </xf>
    <xf numFmtId="193" fontId="0" fillId="0" borderId="68" xfId="0" applyNumberFormat="1" applyFill="1" applyBorder="1" applyAlignment="1">
      <alignment vertical="center"/>
    </xf>
    <xf numFmtId="193" fontId="0" fillId="0" borderId="42" xfId="0" applyNumberFormat="1" applyFill="1" applyBorder="1" applyAlignment="1">
      <alignment vertical="center"/>
    </xf>
    <xf numFmtId="41" fontId="35" fillId="0" borderId="32" xfId="0" applyNumberFormat="1" applyFont="1" applyFill="1" applyBorder="1" applyAlignment="1">
      <alignment horizontal="center" vertical="center"/>
    </xf>
    <xf numFmtId="41" fontId="35" fillId="0" borderId="60" xfId="0" applyNumberFormat="1" applyFont="1" applyFill="1" applyBorder="1" applyAlignment="1">
      <alignment horizontal="center" vertical="center"/>
    </xf>
    <xf numFmtId="41" fontId="0" fillId="0" borderId="61" xfId="2" applyFont="1" applyFill="1" applyBorder="1" applyAlignment="1">
      <alignment vertical="center"/>
    </xf>
    <xf numFmtId="41" fontId="0" fillId="0" borderId="66" xfId="2" applyFont="1" applyFill="1" applyBorder="1" applyAlignment="1">
      <alignment vertical="center"/>
    </xf>
    <xf numFmtId="41" fontId="0" fillId="0" borderId="43" xfId="2" applyFont="1" applyFill="1" applyBorder="1" applyAlignment="1">
      <alignment vertical="center"/>
    </xf>
    <xf numFmtId="41" fontId="0" fillId="0" borderId="9" xfId="2" applyFont="1" applyFill="1" applyBorder="1" applyAlignment="1">
      <alignment vertical="center"/>
    </xf>
    <xf numFmtId="41" fontId="0" fillId="0" borderId="15" xfId="2" applyFont="1" applyFill="1" applyBorder="1" applyAlignment="1">
      <alignment vertical="center"/>
    </xf>
    <xf numFmtId="41" fontId="0" fillId="0" borderId="18" xfId="2" applyFont="1" applyFill="1" applyBorder="1" applyAlignment="1">
      <alignment vertical="center"/>
    </xf>
    <xf numFmtId="41" fontId="0" fillId="0" borderId="16" xfId="2" applyFont="1" applyFill="1" applyBorder="1" applyAlignment="1">
      <alignment vertical="center"/>
    </xf>
    <xf numFmtId="41" fontId="0" fillId="0" borderId="4" xfId="2" applyFont="1" applyFill="1" applyBorder="1" applyAlignment="1">
      <alignment vertical="center"/>
    </xf>
    <xf numFmtId="41" fontId="0" fillId="0" borderId="69" xfId="2" applyFont="1" applyFill="1" applyBorder="1" applyAlignment="1">
      <alignment vertical="center"/>
    </xf>
    <xf numFmtId="41" fontId="0" fillId="0" borderId="17" xfId="2" applyFont="1" applyFill="1" applyBorder="1" applyAlignment="1">
      <alignment vertical="center"/>
    </xf>
    <xf numFmtId="41" fontId="0" fillId="0" borderId="12" xfId="2" applyFont="1" applyFill="1" applyBorder="1" applyAlignment="1">
      <alignment vertical="center"/>
    </xf>
    <xf numFmtId="193" fontId="0" fillId="0" borderId="64" xfId="0" applyNumberFormat="1" applyFill="1" applyBorder="1" applyAlignment="1">
      <alignment vertical="center"/>
    </xf>
    <xf numFmtId="0" fontId="35" fillId="0" borderId="72" xfId="0" applyFont="1" applyFill="1" applyBorder="1" applyAlignment="1">
      <alignment horizontal="center" vertical="center"/>
    </xf>
    <xf numFmtId="0" fontId="0" fillId="0" borderId="57" xfId="0" applyFill="1" applyBorder="1" applyAlignment="1">
      <alignment vertical="center" wrapText="1"/>
    </xf>
    <xf numFmtId="0" fontId="0" fillId="0" borderId="73" xfId="0" applyFill="1" applyBorder="1" applyAlignment="1">
      <alignment vertical="center" wrapText="1"/>
    </xf>
    <xf numFmtId="0" fontId="0" fillId="0" borderId="74" xfId="0" applyFill="1" applyBorder="1" applyAlignment="1">
      <alignment vertical="center" wrapText="1"/>
    </xf>
    <xf numFmtId="0" fontId="0" fillId="0" borderId="74" xfId="0" applyFill="1" applyBorder="1" applyAlignment="1">
      <alignment vertical="center"/>
    </xf>
    <xf numFmtId="0" fontId="0" fillId="0" borderId="75" xfId="0" applyFill="1" applyBorder="1" applyAlignment="1">
      <alignment vertical="center"/>
    </xf>
    <xf numFmtId="0" fontId="0" fillId="0" borderId="76" xfId="0" applyFill="1" applyBorder="1" applyAlignment="1">
      <alignment vertical="center"/>
    </xf>
    <xf numFmtId="0" fontId="0" fillId="0" borderId="67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77" xfId="0" applyFill="1" applyBorder="1" applyAlignment="1">
      <alignment horizontal="center" vertical="center" wrapText="1"/>
    </xf>
    <xf numFmtId="41" fontId="0" fillId="0" borderId="2" xfId="2" applyFont="1" applyFill="1" applyBorder="1" applyAlignment="1">
      <alignment vertical="center"/>
    </xf>
    <xf numFmtId="41" fontId="0" fillId="0" borderId="77" xfId="2" applyFont="1" applyFill="1" applyBorder="1" applyAlignment="1">
      <alignment vertical="center"/>
    </xf>
    <xf numFmtId="193" fontId="0" fillId="0" borderId="28" xfId="0" applyNumberFormat="1" applyFill="1" applyBorder="1" applyAlignment="1">
      <alignment vertical="center"/>
    </xf>
    <xf numFmtId="0" fontId="0" fillId="0" borderId="78" xfId="0" applyFill="1" applyBorder="1" applyAlignment="1">
      <alignment vertical="center" wrapText="1"/>
    </xf>
    <xf numFmtId="0" fontId="0" fillId="0" borderId="75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59" xfId="0" applyFill="1" applyBorder="1" applyAlignment="1">
      <alignment horizontal="center" vertical="center" wrapText="1"/>
    </xf>
    <xf numFmtId="41" fontId="0" fillId="0" borderId="6" xfId="2" applyFont="1" applyFill="1" applyBorder="1" applyAlignment="1">
      <alignment vertical="center"/>
    </xf>
    <xf numFmtId="41" fontId="0" fillId="0" borderId="59" xfId="2" applyFont="1" applyFill="1" applyBorder="1" applyAlignment="1">
      <alignment vertical="center"/>
    </xf>
    <xf numFmtId="193" fontId="0" fillId="0" borderId="58" xfId="0" applyNumberFormat="1" applyFill="1" applyBorder="1" applyAlignment="1">
      <alignment vertical="center"/>
    </xf>
    <xf numFmtId="0" fontId="0" fillId="0" borderId="71" xfId="0" applyFill="1" applyBorder="1" applyAlignment="1">
      <alignment vertical="center" wrapText="1"/>
    </xf>
    <xf numFmtId="0" fontId="0" fillId="0" borderId="9" xfId="0" applyFill="1" applyBorder="1" applyAlignment="1">
      <alignment horizontal="center" vertical="center" wrapText="1"/>
    </xf>
    <xf numFmtId="41" fontId="0" fillId="0" borderId="45" xfId="2" applyFont="1" applyFill="1" applyBorder="1" applyAlignment="1">
      <alignment vertical="center"/>
    </xf>
    <xf numFmtId="0" fontId="0" fillId="0" borderId="44" xfId="0" applyFill="1" applyBorder="1" applyAlignment="1">
      <alignment vertical="center"/>
    </xf>
    <xf numFmtId="0" fontId="33" fillId="0" borderId="0" xfId="3" applyFont="1" applyFill="1" applyBorder="1" applyAlignment="1">
      <alignment horizontal="center" vertical="center"/>
    </xf>
    <xf numFmtId="0" fontId="0" fillId="0" borderId="67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57" xfId="0" applyFill="1" applyBorder="1" applyAlignment="1">
      <alignment vertical="center"/>
    </xf>
    <xf numFmtId="0" fontId="0" fillId="0" borderId="35" xfId="0" applyFill="1" applyBorder="1" applyAlignment="1">
      <alignment horizontal="center" vertical="center" wrapText="1"/>
    </xf>
    <xf numFmtId="0" fontId="30" fillId="0" borderId="43" xfId="7" applyFont="1" applyBorder="1" applyAlignment="1">
      <alignment horizontal="center" vertical="center"/>
    </xf>
    <xf numFmtId="0" fontId="30" fillId="0" borderId="8" xfId="7" applyFont="1" applyBorder="1" applyAlignment="1">
      <alignment horizontal="center" vertical="center"/>
    </xf>
    <xf numFmtId="0" fontId="30" fillId="0" borderId="10" xfId="7" applyFont="1" applyBorder="1" applyAlignment="1">
      <alignment horizontal="center" vertical="center"/>
    </xf>
    <xf numFmtId="0" fontId="30" fillId="0" borderId="9" xfId="7" applyFont="1" applyBorder="1" applyAlignment="1">
      <alignment horizontal="center" vertical="center"/>
    </xf>
    <xf numFmtId="0" fontId="30" fillId="0" borderId="15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/>
    </xf>
    <xf numFmtId="0" fontId="30" fillId="0" borderId="48" xfId="7" applyFont="1" applyBorder="1" applyAlignment="1">
      <alignment horizontal="center" vertical="center"/>
    </xf>
    <xf numFmtId="0" fontId="30" fillId="0" borderId="49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 wrapText="1"/>
    </xf>
    <xf numFmtId="0" fontId="30" fillId="0" borderId="49" xfId="7" applyFont="1" applyBorder="1" applyAlignment="1">
      <alignment horizontal="center" vertical="center" wrapText="1"/>
    </xf>
    <xf numFmtId="0" fontId="30" fillId="0" borderId="41" xfId="7" applyFont="1" applyBorder="1" applyAlignment="1">
      <alignment horizontal="center" vertical="center"/>
    </xf>
    <xf numFmtId="0" fontId="30" fillId="0" borderId="50" xfId="7" applyFont="1" applyBorder="1" applyAlignment="1">
      <alignment horizontal="center" vertical="center"/>
    </xf>
    <xf numFmtId="0" fontId="30" fillId="0" borderId="18" xfId="7" applyFont="1" applyBorder="1" applyAlignment="1">
      <alignment horizontal="center" vertical="center"/>
    </xf>
    <xf numFmtId="0" fontId="30" fillId="0" borderId="51" xfId="7" applyFont="1" applyBorder="1" applyAlignment="1">
      <alignment horizontal="center" vertical="center"/>
    </xf>
    <xf numFmtId="0" fontId="3" fillId="0" borderId="2" xfId="7" applyBorder="1" applyAlignment="1">
      <alignment horizontal="center" vertical="center"/>
    </xf>
    <xf numFmtId="0" fontId="3" fillId="0" borderId="32" xfId="7" applyBorder="1" applyAlignment="1">
      <alignment horizontal="center" vertical="center"/>
    </xf>
    <xf numFmtId="0" fontId="3" fillId="0" borderId="17" xfId="7" applyBorder="1" applyAlignment="1">
      <alignment horizontal="center" vertical="center"/>
    </xf>
    <xf numFmtId="0" fontId="3" fillId="0" borderId="52" xfId="7" applyBorder="1" applyAlignment="1">
      <alignment horizontal="center" vertical="center"/>
    </xf>
    <xf numFmtId="0" fontId="3" fillId="0" borderId="30" xfId="7" applyBorder="1" applyAlignment="1">
      <alignment horizontal="center" vertical="center"/>
    </xf>
    <xf numFmtId="0" fontId="3" fillId="0" borderId="25" xfId="7" applyBorder="1" applyAlignment="1">
      <alignment horizontal="center" vertical="center"/>
    </xf>
    <xf numFmtId="0" fontId="3" fillId="0" borderId="0" xfId="7" applyBorder="1" applyAlignment="1">
      <alignment horizontal="center" vertical="center"/>
    </xf>
    <xf numFmtId="0" fontId="3" fillId="0" borderId="46" xfId="7" applyBorder="1" applyAlignment="1">
      <alignment horizontal="center" vertical="center"/>
    </xf>
    <xf numFmtId="0" fontId="3" fillId="0" borderId="13" xfId="7" applyBorder="1" applyAlignment="1">
      <alignment horizontal="center" vertical="center"/>
    </xf>
    <xf numFmtId="0" fontId="3" fillId="0" borderId="11" xfId="7" applyBorder="1" applyAlignment="1">
      <alignment horizontal="center" vertical="center"/>
    </xf>
    <xf numFmtId="0" fontId="3" fillId="0" borderId="15" xfId="7" applyBorder="1" applyAlignment="1">
      <alignment horizontal="center" vertical="center"/>
    </xf>
    <xf numFmtId="176" fontId="13" fillId="0" borderId="3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0" fontId="13" fillId="0" borderId="13" xfId="3" applyFont="1" applyFill="1" applyBorder="1" applyAlignment="1">
      <alignment horizontal="left" vertical="center" wrapText="1"/>
    </xf>
    <xf numFmtId="0" fontId="13" fillId="0" borderId="43" xfId="3" applyFont="1" applyFill="1" applyBorder="1" applyAlignment="1">
      <alignment horizontal="center" vertical="center" wrapText="1"/>
    </xf>
    <xf numFmtId="0" fontId="13" fillId="0" borderId="8" xfId="3" applyFont="1" applyFill="1" applyBorder="1" applyAlignment="1">
      <alignment horizontal="center" vertical="center" wrapText="1"/>
    </xf>
    <xf numFmtId="178" fontId="14" fillId="0" borderId="8" xfId="3" applyNumberFormat="1" applyFont="1" applyFill="1" applyBorder="1" applyAlignment="1">
      <alignment horizontal="center" vertical="center" wrapText="1"/>
    </xf>
    <xf numFmtId="178" fontId="14" fillId="0" borderId="3" xfId="3" applyNumberFormat="1" applyFont="1" applyFill="1" applyBorder="1" applyAlignment="1">
      <alignment horizontal="center" vertical="center" wrapText="1"/>
    </xf>
    <xf numFmtId="0" fontId="16" fillId="0" borderId="21" xfId="3" applyFont="1" applyFill="1" applyBorder="1" applyAlignment="1">
      <alignment horizontal="center" vertical="center" wrapText="1"/>
    </xf>
    <xf numFmtId="0" fontId="16" fillId="0" borderId="22" xfId="3" applyFont="1" applyFill="1" applyBorder="1" applyAlignment="1">
      <alignment horizontal="center" vertical="center" wrapText="1"/>
    </xf>
    <xf numFmtId="0" fontId="16" fillId="0" borderId="47" xfId="3" applyFont="1" applyFill="1" applyBorder="1" applyAlignment="1">
      <alignment horizontal="center" vertical="center" wrapText="1"/>
    </xf>
    <xf numFmtId="0" fontId="33" fillId="0" borderId="41" xfId="3" applyFont="1" applyFill="1" applyBorder="1" applyAlignment="1">
      <alignment horizontal="center" vertical="center" wrapText="1"/>
    </xf>
    <xf numFmtId="0" fontId="33" fillId="0" borderId="19" xfId="3" applyFont="1" applyFill="1" applyBorder="1" applyAlignment="1">
      <alignment horizontal="center" vertical="center" wrapText="1"/>
    </xf>
    <xf numFmtId="176" fontId="13" fillId="0" borderId="54" xfId="3" applyNumberFormat="1" applyFont="1" applyFill="1" applyBorder="1" applyAlignment="1">
      <alignment horizontal="center" vertical="center"/>
    </xf>
    <xf numFmtId="178" fontId="14" fillId="0" borderId="23" xfId="3" applyNumberFormat="1" applyFont="1" applyFill="1" applyBorder="1" applyAlignment="1">
      <alignment horizontal="center" vertical="center" wrapText="1"/>
    </xf>
    <xf numFmtId="178" fontId="14" fillId="0" borderId="7" xfId="3" applyNumberFormat="1" applyFont="1" applyFill="1" applyBorder="1" applyAlignment="1">
      <alignment horizontal="center" vertical="center" wrapText="1"/>
    </xf>
    <xf numFmtId="0" fontId="13" fillId="0" borderId="8" xfId="3" applyFont="1" applyFill="1" applyBorder="1" applyAlignment="1">
      <alignment horizontal="center" vertical="center"/>
    </xf>
    <xf numFmtId="0" fontId="13" fillId="0" borderId="9" xfId="3" applyFont="1" applyFill="1" applyBorder="1" applyAlignment="1">
      <alignment horizontal="center" vertical="center"/>
    </xf>
    <xf numFmtId="0" fontId="13" fillId="0" borderId="3" xfId="3" applyFont="1" applyFill="1" applyBorder="1" applyAlignment="1">
      <alignment horizontal="center" vertical="center"/>
    </xf>
    <xf numFmtId="0" fontId="13" fillId="0" borderId="4" xfId="3" applyFont="1" applyFill="1" applyBorder="1" applyAlignment="1">
      <alignment horizontal="center" vertical="center"/>
    </xf>
    <xf numFmtId="176" fontId="15" fillId="0" borderId="13" xfId="3" applyNumberFormat="1" applyFont="1" applyFill="1" applyBorder="1" applyAlignment="1">
      <alignment horizontal="right" vertical="center"/>
    </xf>
    <xf numFmtId="0" fontId="13" fillId="0" borderId="10" xfId="3" applyFont="1" applyFill="1" applyBorder="1" applyAlignment="1">
      <alignment horizontal="center" vertical="center" wrapText="1"/>
    </xf>
    <xf numFmtId="0" fontId="13" fillId="0" borderId="53" xfId="3" applyFont="1" applyFill="1" applyBorder="1" applyAlignment="1">
      <alignment horizontal="center" vertical="center" wrapText="1"/>
    </xf>
    <xf numFmtId="0" fontId="13" fillId="0" borderId="41" xfId="3" applyFont="1" applyFill="1" applyBorder="1" applyAlignment="1">
      <alignment horizontal="center" vertical="center" wrapText="1"/>
    </xf>
    <xf numFmtId="0" fontId="13" fillId="0" borderId="19" xfId="3" applyFont="1" applyFill="1" applyBorder="1" applyAlignment="1">
      <alignment horizontal="center" vertical="center" wrapText="1"/>
    </xf>
    <xf numFmtId="0" fontId="15" fillId="0" borderId="34" xfId="3" applyFont="1" applyFill="1" applyBorder="1" applyAlignment="1">
      <alignment horizontal="center" vertical="center" wrapText="1"/>
    </xf>
    <xf numFmtId="0" fontId="15" fillId="0" borderId="28" xfId="3" applyFont="1" applyFill="1" applyBorder="1" applyAlignment="1">
      <alignment horizontal="center" vertical="center" wrapText="1"/>
    </xf>
    <xf numFmtId="0" fontId="15" fillId="0" borderId="20" xfId="3" applyFont="1" applyFill="1" applyBorder="1" applyAlignment="1">
      <alignment horizontal="center" vertical="center" wrapText="1"/>
    </xf>
    <xf numFmtId="0" fontId="13" fillId="0" borderId="40" xfId="3" applyFont="1" applyFill="1" applyBorder="1" applyAlignment="1">
      <alignment horizontal="center" vertical="center"/>
    </xf>
    <xf numFmtId="0" fontId="13" fillId="0" borderId="22" xfId="3" applyFont="1" applyFill="1" applyBorder="1" applyAlignment="1">
      <alignment horizontal="center" vertical="center"/>
    </xf>
    <xf numFmtId="0" fontId="13" fillId="0" borderId="24" xfId="3" applyFont="1" applyFill="1" applyBorder="1" applyAlignment="1">
      <alignment horizontal="center" vertical="center"/>
    </xf>
    <xf numFmtId="0" fontId="13" fillId="0" borderId="38" xfId="3" applyFont="1" applyFill="1" applyBorder="1" applyAlignment="1">
      <alignment horizontal="center" vertical="center"/>
    </xf>
    <xf numFmtId="0" fontId="13" fillId="0" borderId="13" xfId="3" applyFont="1" applyFill="1" applyBorder="1" applyAlignment="1">
      <alignment horizontal="center" vertical="center"/>
    </xf>
    <xf numFmtId="0" fontId="13" fillId="0" borderId="39" xfId="3" applyFont="1" applyFill="1" applyBorder="1" applyAlignment="1">
      <alignment horizontal="center" vertical="center"/>
    </xf>
    <xf numFmtId="0" fontId="13" fillId="0" borderId="33" xfId="3" applyFont="1" applyFill="1" applyBorder="1" applyAlignment="1">
      <alignment horizontal="right" vertical="center"/>
    </xf>
    <xf numFmtId="0" fontId="13" fillId="0" borderId="0" xfId="3" applyFont="1" applyFill="1" applyBorder="1" applyAlignment="1">
      <alignment horizontal="right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176" fontId="15" fillId="0" borderId="54" xfId="3" applyNumberFormat="1" applyFont="1" applyFill="1" applyBorder="1" applyAlignment="1">
      <alignment vertical="center"/>
    </xf>
    <xf numFmtId="0" fontId="15" fillId="0" borderId="54" xfId="3" applyFont="1" applyFill="1" applyBorder="1" applyAlignment="1">
      <alignment vertical="center"/>
    </xf>
    <xf numFmtId="0" fontId="13" fillId="0" borderId="0" xfId="3" applyFont="1" applyFill="1" applyBorder="1" applyAlignment="1">
      <alignment horizontal="left" vertical="center" wrapText="1"/>
    </xf>
    <xf numFmtId="0" fontId="15" fillId="0" borderId="33" xfId="3" applyFont="1" applyFill="1" applyBorder="1" applyAlignment="1">
      <alignment horizontal="center" vertical="center" wrapText="1"/>
    </xf>
    <xf numFmtId="0" fontId="15" fillId="0" borderId="26" xfId="3" applyFont="1" applyFill="1" applyBorder="1" applyAlignment="1">
      <alignment horizontal="center" vertical="center" wrapText="1"/>
    </xf>
    <xf numFmtId="0" fontId="15" fillId="0" borderId="43" xfId="3" applyFont="1" applyFill="1" applyBorder="1" applyAlignment="1">
      <alignment horizontal="center" vertical="center" wrapText="1"/>
    </xf>
    <xf numFmtId="0" fontId="15" fillId="0" borderId="8" xfId="3" applyFont="1" applyFill="1" applyBorder="1" applyAlignment="1">
      <alignment horizontal="center" vertical="center" wrapText="1"/>
    </xf>
    <xf numFmtId="178" fontId="14" fillId="0" borderId="10" xfId="3" applyNumberFormat="1" applyFont="1" applyFill="1" applyBorder="1" applyAlignment="1">
      <alignment horizontal="center" vertical="center" wrapText="1"/>
    </xf>
    <xf numFmtId="178" fontId="14" fillId="0" borderId="29" xfId="3" applyNumberFormat="1" applyFont="1" applyFill="1" applyBorder="1" applyAlignment="1">
      <alignment horizontal="center" vertical="center" wrapText="1"/>
    </xf>
    <xf numFmtId="178" fontId="14" fillId="0" borderId="44" xfId="3" applyNumberFormat="1" applyFont="1" applyFill="1" applyBorder="1" applyAlignment="1">
      <alignment horizontal="center" vertical="center" wrapText="1"/>
    </xf>
    <xf numFmtId="178" fontId="14" fillId="0" borderId="53" xfId="3" applyNumberFormat="1" applyFont="1" applyFill="1" applyBorder="1" applyAlignment="1">
      <alignment horizontal="center" vertical="center" wrapText="1"/>
    </xf>
    <xf numFmtId="0" fontId="13" fillId="0" borderId="33" xfId="3" applyFont="1" applyFill="1" applyBorder="1" applyAlignment="1">
      <alignment horizontal="left" vertical="center"/>
    </xf>
    <xf numFmtId="0" fontId="13" fillId="0" borderId="0" xfId="3" applyFont="1" applyFill="1" applyBorder="1" applyAlignment="1">
      <alignment horizontal="left" vertical="center"/>
    </xf>
    <xf numFmtId="0" fontId="36" fillId="0" borderId="13" xfId="0" applyFont="1" applyFill="1" applyBorder="1" applyAlignment="1">
      <alignment horizontal="center" vertical="center"/>
    </xf>
    <xf numFmtId="0" fontId="35" fillId="0" borderId="43" xfId="0" applyFont="1" applyFill="1" applyBorder="1" applyAlignment="1">
      <alignment horizontal="center" vertical="center"/>
    </xf>
    <xf numFmtId="0" fontId="35" fillId="0" borderId="8" xfId="0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horizontal="center" vertical="center"/>
    </xf>
    <xf numFmtId="0" fontId="35" fillId="0" borderId="44" xfId="0" applyFont="1" applyFill="1" applyBorder="1" applyAlignment="1">
      <alignment horizontal="center" vertical="center"/>
    </xf>
    <xf numFmtId="0" fontId="35" fillId="0" borderId="56" xfId="0" applyFont="1" applyFill="1" applyBorder="1" applyAlignment="1">
      <alignment horizontal="center" vertical="center"/>
    </xf>
    <xf numFmtId="0" fontId="35" fillId="0" borderId="40" xfId="0" applyFont="1" applyFill="1" applyBorder="1" applyAlignment="1">
      <alignment horizontal="center" vertical="center"/>
    </xf>
    <xf numFmtId="0" fontId="35" fillId="0" borderId="22" xfId="0" applyFont="1" applyFill="1" applyBorder="1" applyAlignment="1">
      <alignment horizontal="center" vertical="center"/>
    </xf>
    <xf numFmtId="0" fontId="35" fillId="0" borderId="38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35" fillId="0" borderId="70" xfId="0" applyFont="1" applyFill="1" applyBorder="1" applyAlignment="1">
      <alignment horizontal="center" vertical="center"/>
    </xf>
    <xf numFmtId="0" fontId="35" fillId="0" borderId="71" xfId="0" applyFont="1" applyFill="1" applyBorder="1" applyAlignment="1">
      <alignment horizontal="center" vertical="center"/>
    </xf>
    <xf numFmtId="0" fontId="35" fillId="0" borderId="25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</cellXfs>
  <cellStyles count="11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통화 [0]" xfId="3" builtinId="7"/>
    <cellStyle name="표준" xfId="0" builtinId="0"/>
    <cellStyle name="표준 2" xfId="5"/>
    <cellStyle name="표준 2 2" xfId="7"/>
    <cellStyle name="표준 2 3" xfId="9"/>
    <cellStyle name="표준_2003경기장복예산안" xfId="4"/>
  </cellStyles>
  <dxfs count="0"/>
  <tableStyles count="0" defaultTableStyle="TableStyleMedium9" defaultPivotStyle="PivotStyleLight16"/>
  <colors>
    <mruColors>
      <color rgb="FF392DDB"/>
      <color rgb="FF1212F6"/>
      <color rgb="FF000099"/>
      <color rgb="FF5348E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2"/>
  <sheetViews>
    <sheetView tabSelected="1" workbookViewId="0">
      <selection activeCell="B17" sqref="B17:F22"/>
    </sheetView>
  </sheetViews>
  <sheetFormatPr defaultRowHeight="16.5"/>
  <cols>
    <col min="1" max="1" width="1.44140625" style="278" customWidth="1"/>
    <col min="2" max="2" width="11.5546875" style="278" bestFit="1" customWidth="1"/>
    <col min="3" max="3" width="13.33203125" style="278" bestFit="1" customWidth="1"/>
    <col min="4" max="5" width="15.44140625" style="278" bestFit="1" customWidth="1"/>
    <col min="6" max="6" width="14.21875" style="278" bestFit="1" customWidth="1"/>
    <col min="7" max="7" width="9.6640625" style="278" bestFit="1" customWidth="1"/>
    <col min="8" max="8" width="13.33203125" style="278" bestFit="1" customWidth="1"/>
    <col min="9" max="10" width="15.44140625" style="278" bestFit="1" customWidth="1"/>
    <col min="11" max="11" width="13.77734375" style="278" bestFit="1" customWidth="1"/>
    <col min="12" max="16384" width="8.88671875" style="278"/>
  </cols>
  <sheetData>
    <row r="1" spans="2:11" ht="9.9499999999999993" customHeight="1"/>
    <row r="2" spans="2:11" ht="26.25">
      <c r="B2" s="279" t="s">
        <v>728</v>
      </c>
      <c r="K2" s="280" t="s">
        <v>330</v>
      </c>
    </row>
    <row r="3" spans="2:11" ht="9.9499999999999993" customHeight="1" thickBot="1"/>
    <row r="4" spans="2:11" ht="30" customHeight="1">
      <c r="B4" s="565" t="s">
        <v>331</v>
      </c>
      <c r="C4" s="566"/>
      <c r="D4" s="566"/>
      <c r="E4" s="566"/>
      <c r="F4" s="567"/>
      <c r="G4" s="565" t="s">
        <v>332</v>
      </c>
      <c r="H4" s="566"/>
      <c r="I4" s="566"/>
      <c r="J4" s="566"/>
      <c r="K4" s="568"/>
    </row>
    <row r="5" spans="2:11" ht="16.5" customHeight="1">
      <c r="B5" s="569" t="s">
        <v>333</v>
      </c>
      <c r="C5" s="570"/>
      <c r="D5" s="573" t="s">
        <v>596</v>
      </c>
      <c r="E5" s="573" t="s">
        <v>729</v>
      </c>
      <c r="F5" s="575" t="s">
        <v>334</v>
      </c>
      <c r="G5" s="569" t="s">
        <v>333</v>
      </c>
      <c r="H5" s="570"/>
      <c r="I5" s="573" t="s">
        <v>596</v>
      </c>
      <c r="J5" s="573" t="s">
        <v>729</v>
      </c>
      <c r="K5" s="577" t="s">
        <v>334</v>
      </c>
    </row>
    <row r="6" spans="2:11" ht="22.5" customHeight="1" thickBot="1">
      <c r="B6" s="571"/>
      <c r="C6" s="572"/>
      <c r="D6" s="574"/>
      <c r="E6" s="574"/>
      <c r="F6" s="576"/>
      <c r="G6" s="571"/>
      <c r="H6" s="572"/>
      <c r="I6" s="574"/>
      <c r="J6" s="574"/>
      <c r="K6" s="578"/>
    </row>
    <row r="7" spans="2:11" ht="24.95" customHeight="1" thickTop="1">
      <c r="B7" s="581" t="s">
        <v>335</v>
      </c>
      <c r="C7" s="588"/>
      <c r="D7" s="281">
        <f t="shared" ref="D7:E7" si="0">SUM(D8:D16)</f>
        <v>1787572000</v>
      </c>
      <c r="E7" s="281">
        <f t="shared" si="0"/>
        <v>1836771000</v>
      </c>
      <c r="F7" s="282">
        <f>SUM(F8:F16)</f>
        <v>49199000</v>
      </c>
      <c r="G7" s="581" t="s">
        <v>335</v>
      </c>
      <c r="H7" s="588"/>
      <c r="I7" s="281">
        <f t="shared" ref="I7" si="1">SUM(I8:I22)</f>
        <v>1787572000</v>
      </c>
      <c r="J7" s="281">
        <f t="shared" ref="J7:K7" si="2">SUM(J8:J22)</f>
        <v>1836771000</v>
      </c>
      <c r="K7" s="283">
        <f t="shared" si="2"/>
        <v>49199000</v>
      </c>
    </row>
    <row r="8" spans="2:11" ht="24.95" customHeight="1">
      <c r="B8" s="284" t="s">
        <v>336</v>
      </c>
      <c r="C8" s="285" t="s">
        <v>337</v>
      </c>
      <c r="D8" s="286">
        <v>90000000</v>
      </c>
      <c r="E8" s="286">
        <v>75000000</v>
      </c>
      <c r="F8" s="287">
        <f>E8-D8</f>
        <v>-15000000</v>
      </c>
      <c r="G8" s="579" t="s">
        <v>338</v>
      </c>
      <c r="H8" s="285" t="s">
        <v>339</v>
      </c>
      <c r="I8" s="286">
        <v>1363738000</v>
      </c>
      <c r="J8" s="286">
        <v>1408399000</v>
      </c>
      <c r="K8" s="288">
        <f>J8-I8</f>
        <v>44661000</v>
      </c>
    </row>
    <row r="9" spans="2:11" ht="24.95" customHeight="1">
      <c r="B9" s="589" t="s">
        <v>340</v>
      </c>
      <c r="C9" s="420" t="s">
        <v>575</v>
      </c>
      <c r="D9" s="286">
        <v>45309000</v>
      </c>
      <c r="E9" s="286">
        <v>53775000</v>
      </c>
      <c r="F9" s="287">
        <f t="shared" ref="F9:F16" si="3">E9-D9</f>
        <v>8466000</v>
      </c>
      <c r="G9" s="580"/>
      <c r="H9" s="285" t="s">
        <v>341</v>
      </c>
      <c r="I9" s="286">
        <v>2950000</v>
      </c>
      <c r="J9" s="286">
        <v>2550000</v>
      </c>
      <c r="K9" s="288">
        <f t="shared" ref="K9:K21" si="4">J9-I9</f>
        <v>-400000</v>
      </c>
    </row>
    <row r="10" spans="2:11" ht="24.95" customHeight="1">
      <c r="B10" s="589"/>
      <c r="C10" s="420" t="s">
        <v>576</v>
      </c>
      <c r="D10" s="286">
        <v>737535000</v>
      </c>
      <c r="E10" s="286">
        <v>762716000</v>
      </c>
      <c r="F10" s="287">
        <f t="shared" si="3"/>
        <v>25181000</v>
      </c>
      <c r="G10" s="581"/>
      <c r="H10" s="285" t="s">
        <v>177</v>
      </c>
      <c r="I10" s="286">
        <v>95911000</v>
      </c>
      <c r="J10" s="286">
        <v>97319000</v>
      </c>
      <c r="K10" s="288">
        <f t="shared" si="4"/>
        <v>1408000</v>
      </c>
    </row>
    <row r="11" spans="2:11" ht="24.95" customHeight="1">
      <c r="B11" s="589"/>
      <c r="C11" s="420" t="s">
        <v>577</v>
      </c>
      <c r="D11" s="286">
        <v>713549000</v>
      </c>
      <c r="E11" s="286">
        <v>733048000</v>
      </c>
      <c r="F11" s="287">
        <f t="shared" si="3"/>
        <v>19499000</v>
      </c>
      <c r="G11" s="579" t="s">
        <v>178</v>
      </c>
      <c r="H11" s="285" t="s">
        <v>179</v>
      </c>
      <c r="I11" s="286">
        <v>0</v>
      </c>
      <c r="J11" s="286">
        <v>0</v>
      </c>
      <c r="K11" s="288">
        <f t="shared" si="4"/>
        <v>0</v>
      </c>
    </row>
    <row r="12" spans="2:11" ht="24.95" customHeight="1">
      <c r="B12" s="589" t="s">
        <v>180</v>
      </c>
      <c r="C12" s="285" t="s">
        <v>181</v>
      </c>
      <c r="D12" s="286">
        <v>30600000</v>
      </c>
      <c r="E12" s="286">
        <v>30600000</v>
      </c>
      <c r="F12" s="287">
        <f t="shared" si="3"/>
        <v>0</v>
      </c>
      <c r="G12" s="580"/>
      <c r="H12" s="285" t="s">
        <v>182</v>
      </c>
      <c r="I12" s="286">
        <v>22000000</v>
      </c>
      <c r="J12" s="286">
        <v>24760000</v>
      </c>
      <c r="K12" s="288">
        <f t="shared" si="4"/>
        <v>2760000</v>
      </c>
    </row>
    <row r="13" spans="2:11" ht="24.95" customHeight="1">
      <c r="B13" s="589"/>
      <c r="C13" s="285" t="s">
        <v>183</v>
      </c>
      <c r="D13" s="286">
        <v>60000000</v>
      </c>
      <c r="E13" s="286">
        <v>60000000</v>
      </c>
      <c r="F13" s="287">
        <f t="shared" si="3"/>
        <v>0</v>
      </c>
      <c r="G13" s="581"/>
      <c r="H13" s="285" t="s">
        <v>184</v>
      </c>
      <c r="I13" s="286">
        <v>20812000</v>
      </c>
      <c r="J13" s="286">
        <v>19957000</v>
      </c>
      <c r="K13" s="288">
        <f t="shared" si="4"/>
        <v>-855000</v>
      </c>
    </row>
    <row r="14" spans="2:11" ht="24.95" customHeight="1">
      <c r="B14" s="284" t="s">
        <v>185</v>
      </c>
      <c r="C14" s="285" t="s">
        <v>186</v>
      </c>
      <c r="D14" s="286">
        <v>31515000</v>
      </c>
      <c r="E14" s="286">
        <v>31815000</v>
      </c>
      <c r="F14" s="287">
        <f t="shared" si="3"/>
        <v>300000</v>
      </c>
      <c r="G14" s="579" t="s">
        <v>187</v>
      </c>
      <c r="H14" s="285" t="s">
        <v>188</v>
      </c>
      <c r="I14" s="286">
        <v>129927000</v>
      </c>
      <c r="J14" s="286">
        <v>129725000</v>
      </c>
      <c r="K14" s="288">
        <f t="shared" si="4"/>
        <v>-202000</v>
      </c>
    </row>
    <row r="15" spans="2:11" ht="24.95" customHeight="1">
      <c r="B15" s="284" t="s">
        <v>189</v>
      </c>
      <c r="C15" s="285" t="s">
        <v>190</v>
      </c>
      <c r="D15" s="286">
        <v>48814000</v>
      </c>
      <c r="E15" s="286">
        <v>59567000</v>
      </c>
      <c r="F15" s="287">
        <f t="shared" si="3"/>
        <v>10753000</v>
      </c>
      <c r="G15" s="580"/>
      <c r="H15" s="285" t="s">
        <v>191</v>
      </c>
      <c r="I15" s="286">
        <v>6300000</v>
      </c>
      <c r="J15" s="286">
        <v>6805000</v>
      </c>
      <c r="K15" s="288">
        <f t="shared" si="4"/>
        <v>505000</v>
      </c>
    </row>
    <row r="16" spans="2:11" ht="24.95" customHeight="1">
      <c r="B16" s="284" t="s">
        <v>192</v>
      </c>
      <c r="C16" s="285" t="s">
        <v>193</v>
      </c>
      <c r="D16" s="286">
        <v>30250000</v>
      </c>
      <c r="E16" s="286">
        <v>30250000</v>
      </c>
      <c r="F16" s="287">
        <f t="shared" si="3"/>
        <v>0</v>
      </c>
      <c r="G16" s="580"/>
      <c r="H16" s="285" t="s">
        <v>194</v>
      </c>
      <c r="I16" s="286">
        <v>14040000</v>
      </c>
      <c r="J16" s="286">
        <v>14040000</v>
      </c>
      <c r="K16" s="288">
        <f t="shared" si="4"/>
        <v>0</v>
      </c>
    </row>
    <row r="17" spans="2:11" ht="24.95" customHeight="1">
      <c r="B17" s="582"/>
      <c r="C17" s="583"/>
      <c r="D17" s="583"/>
      <c r="E17" s="583"/>
      <c r="F17" s="583"/>
      <c r="G17" s="580"/>
      <c r="H17" s="285" t="s">
        <v>195</v>
      </c>
      <c r="I17" s="286">
        <v>11366000</v>
      </c>
      <c r="J17" s="286">
        <v>12266000</v>
      </c>
      <c r="K17" s="288">
        <f t="shared" si="4"/>
        <v>900000</v>
      </c>
    </row>
    <row r="18" spans="2:11" ht="24.95" customHeight="1">
      <c r="B18" s="584"/>
      <c r="C18" s="585"/>
      <c r="D18" s="585"/>
      <c r="E18" s="585"/>
      <c r="F18" s="585"/>
      <c r="G18" s="580"/>
      <c r="H18" s="285" t="s">
        <v>196</v>
      </c>
      <c r="I18" s="286">
        <v>23052000</v>
      </c>
      <c r="J18" s="286">
        <v>23052000</v>
      </c>
      <c r="K18" s="288">
        <f t="shared" si="4"/>
        <v>0</v>
      </c>
    </row>
    <row r="19" spans="2:11" ht="24.95" customHeight="1">
      <c r="B19" s="584"/>
      <c r="C19" s="585"/>
      <c r="D19" s="585"/>
      <c r="E19" s="585"/>
      <c r="F19" s="585"/>
      <c r="G19" s="581"/>
      <c r="H19" s="285" t="s">
        <v>197</v>
      </c>
      <c r="I19" s="286">
        <v>89115000</v>
      </c>
      <c r="J19" s="286">
        <v>91615000</v>
      </c>
      <c r="K19" s="288">
        <f t="shared" si="4"/>
        <v>2500000</v>
      </c>
    </row>
    <row r="20" spans="2:11" ht="24.95" customHeight="1">
      <c r="B20" s="584"/>
      <c r="C20" s="585"/>
      <c r="D20" s="585"/>
      <c r="E20" s="585"/>
      <c r="F20" s="585"/>
      <c r="G20" s="289" t="s">
        <v>301</v>
      </c>
      <c r="H20" s="285" t="s">
        <v>198</v>
      </c>
      <c r="I20" s="286">
        <v>8111000</v>
      </c>
      <c r="J20" s="286">
        <v>6033000</v>
      </c>
      <c r="K20" s="288">
        <f t="shared" si="4"/>
        <v>-2078000</v>
      </c>
    </row>
    <row r="21" spans="2:11" ht="24.95" customHeight="1">
      <c r="B21" s="584"/>
      <c r="C21" s="585"/>
      <c r="D21" s="585"/>
      <c r="E21" s="585"/>
      <c r="F21" s="585"/>
      <c r="G21" s="284" t="s">
        <v>199</v>
      </c>
      <c r="H21" s="285" t="s">
        <v>200</v>
      </c>
      <c r="I21" s="286">
        <v>0</v>
      </c>
      <c r="J21" s="286">
        <v>0</v>
      </c>
      <c r="K21" s="288">
        <f t="shared" si="4"/>
        <v>0</v>
      </c>
    </row>
    <row r="22" spans="2:11" ht="24.95" customHeight="1" thickBot="1">
      <c r="B22" s="586"/>
      <c r="C22" s="587"/>
      <c r="D22" s="587"/>
      <c r="E22" s="587"/>
      <c r="F22" s="587"/>
      <c r="G22" s="290" t="s">
        <v>201</v>
      </c>
      <c r="H22" s="291" t="s">
        <v>202</v>
      </c>
      <c r="I22" s="292">
        <v>250000</v>
      </c>
      <c r="J22" s="292">
        <v>250000</v>
      </c>
      <c r="K22" s="293">
        <f>J22-I22</f>
        <v>0</v>
      </c>
    </row>
  </sheetData>
  <mergeCells count="18">
    <mergeCell ref="G14:G19"/>
    <mergeCell ref="B17:F22"/>
    <mergeCell ref="B7:C7"/>
    <mergeCell ref="G7:H7"/>
    <mergeCell ref="G8:G10"/>
    <mergeCell ref="B9:B11"/>
    <mergeCell ref="G11:G13"/>
    <mergeCell ref="B12:B13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6" type="noConversion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U283"/>
  <sheetViews>
    <sheetView workbookViewId="0">
      <pane xSplit="4" ySplit="4" topLeftCell="H236" activePane="bottomRight" state="frozen"/>
      <selection pane="topRight" activeCell="E1" sqref="E1"/>
      <selection pane="bottomLeft" activeCell="A5" sqref="A5"/>
      <selection pane="bottomRight" activeCell="X249" sqref="X249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" style="12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592" t="s">
        <v>730</v>
      </c>
      <c r="B1" s="592"/>
      <c r="C1" s="592"/>
      <c r="D1" s="592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593" t="s">
        <v>67</v>
      </c>
      <c r="B2" s="594"/>
      <c r="C2" s="594"/>
      <c r="D2" s="594"/>
      <c r="E2" s="595" t="s">
        <v>637</v>
      </c>
      <c r="F2" s="603" t="s">
        <v>638</v>
      </c>
      <c r="G2" s="605" t="s">
        <v>23</v>
      </c>
      <c r="H2" s="605"/>
      <c r="I2" s="605" t="s">
        <v>55</v>
      </c>
      <c r="J2" s="605"/>
      <c r="K2" s="605"/>
      <c r="L2" s="605"/>
      <c r="M2" s="605"/>
      <c r="N2" s="605"/>
      <c r="O2" s="605"/>
      <c r="P2" s="605"/>
      <c r="Q2" s="605"/>
      <c r="R2" s="605"/>
      <c r="S2" s="605"/>
      <c r="T2" s="605"/>
      <c r="U2" s="605"/>
      <c r="V2" s="605"/>
      <c r="W2" s="605"/>
      <c r="X2" s="605"/>
      <c r="Y2" s="606"/>
      <c r="Z2" s="8"/>
    </row>
    <row r="3" spans="1:26" s="3" customFormat="1" ht="32.25" customHeight="1" thickBot="1">
      <c r="A3" s="25" t="s">
        <v>1</v>
      </c>
      <c r="B3" s="26" t="s">
        <v>2</v>
      </c>
      <c r="C3" s="26" t="s">
        <v>342</v>
      </c>
      <c r="D3" s="26" t="s">
        <v>343</v>
      </c>
      <c r="E3" s="596"/>
      <c r="F3" s="604"/>
      <c r="G3" s="201" t="s">
        <v>219</v>
      </c>
      <c r="H3" s="27" t="s">
        <v>4</v>
      </c>
      <c r="I3" s="607"/>
      <c r="J3" s="607"/>
      <c r="K3" s="607"/>
      <c r="L3" s="607"/>
      <c r="M3" s="607"/>
      <c r="N3" s="607"/>
      <c r="O3" s="607"/>
      <c r="P3" s="607"/>
      <c r="Q3" s="607"/>
      <c r="R3" s="607"/>
      <c r="S3" s="607"/>
      <c r="T3" s="607"/>
      <c r="U3" s="607"/>
      <c r="V3" s="607"/>
      <c r="W3" s="607"/>
      <c r="X3" s="607"/>
      <c r="Y3" s="608"/>
      <c r="Z3" s="8"/>
    </row>
    <row r="4" spans="1:26" s="3" customFormat="1" ht="19.5" customHeight="1">
      <c r="A4" s="597" t="s">
        <v>24</v>
      </c>
      <c r="B4" s="598"/>
      <c r="C4" s="598"/>
      <c r="D4" s="599"/>
      <c r="E4" s="317">
        <f>SUM(E5,E7,E9,E11,E146,E159,E166,E215,E249)</f>
        <v>1787572</v>
      </c>
      <c r="F4" s="317">
        <f>SUM(F5,F7,F9,F11,F146,F159,F166,F215,F249)</f>
        <v>1836771</v>
      </c>
      <c r="G4" s="317">
        <f>SUM(G5,G7,G9,G11,G146,G159,G166,G215,G249)</f>
        <v>49199</v>
      </c>
      <c r="H4" s="318">
        <f t="shared" ref="H4" si="0">IF(E4=0,0,G4/E4)</f>
        <v>2.7522807472929761E-2</v>
      </c>
      <c r="I4" s="28" t="s">
        <v>303</v>
      </c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419">
        <f>SUM(X5,X7,X9,X11,X146,X159,X166,X215,X249)</f>
        <v>1836771000</v>
      </c>
      <c r="Y4" s="30" t="s">
        <v>304</v>
      </c>
      <c r="Z4" s="8"/>
    </row>
    <row r="5" spans="1:26" ht="21" customHeight="1" thickBot="1">
      <c r="A5" s="36" t="s">
        <v>60</v>
      </c>
      <c r="B5" s="37" t="s">
        <v>60</v>
      </c>
      <c r="C5" s="295" t="s">
        <v>217</v>
      </c>
      <c r="D5" s="295" t="s">
        <v>217</v>
      </c>
      <c r="E5" s="311">
        <v>90000</v>
      </c>
      <c r="F5" s="311">
        <f>ROUND(X5/1000,0)</f>
        <v>75000</v>
      </c>
      <c r="G5" s="312">
        <f>F5-E5</f>
        <v>-15000</v>
      </c>
      <c r="H5" s="313">
        <f>IF(E5=0,0,G5/E5)</f>
        <v>-0.16666666666666666</v>
      </c>
      <c r="I5" s="41" t="s">
        <v>302</v>
      </c>
      <c r="J5" s="195"/>
      <c r="K5" s="42"/>
      <c r="L5" s="42"/>
      <c r="M5" s="42"/>
      <c r="N5" s="42"/>
      <c r="O5" s="42"/>
      <c r="P5" s="43"/>
      <c r="Q5" s="43" t="s">
        <v>63</v>
      </c>
      <c r="R5" s="43"/>
      <c r="S5" s="43"/>
      <c r="T5" s="43"/>
      <c r="U5" s="43"/>
      <c r="V5" s="43"/>
      <c r="W5" s="44"/>
      <c r="X5" s="44">
        <f>X6</f>
        <v>75000000</v>
      </c>
      <c r="Y5" s="45" t="s">
        <v>25</v>
      </c>
    </row>
    <row r="6" spans="1:26" ht="21" customHeight="1">
      <c r="A6" s="46" t="s">
        <v>61</v>
      </c>
      <c r="B6" s="47" t="s">
        <v>214</v>
      </c>
      <c r="C6" s="48" t="s">
        <v>214</v>
      </c>
      <c r="D6" s="48" t="s">
        <v>214</v>
      </c>
      <c r="E6" s="49"/>
      <c r="F6" s="49"/>
      <c r="G6" s="50"/>
      <c r="H6" s="32"/>
      <c r="I6" s="465" t="s">
        <v>748</v>
      </c>
      <c r="J6" s="55"/>
      <c r="K6" s="56"/>
      <c r="L6" s="56"/>
      <c r="M6" s="321">
        <v>250000</v>
      </c>
      <c r="N6" s="321" t="s">
        <v>57</v>
      </c>
      <c r="O6" s="322" t="s">
        <v>58</v>
      </c>
      <c r="P6" s="457">
        <v>25</v>
      </c>
      <c r="Q6" s="321" t="s">
        <v>56</v>
      </c>
      <c r="R6" s="322" t="s">
        <v>58</v>
      </c>
      <c r="S6" s="57">
        <v>12</v>
      </c>
      <c r="T6" s="354" t="s">
        <v>0</v>
      </c>
      <c r="U6" s="354" t="s">
        <v>53</v>
      </c>
      <c r="V6" s="354"/>
      <c r="W6" s="321"/>
      <c r="X6" s="321">
        <f>M6*P6*S6</f>
        <v>75000000</v>
      </c>
      <c r="Y6" s="59" t="s">
        <v>57</v>
      </c>
    </row>
    <row r="7" spans="1:26" s="11" customFormat="1" ht="19.5" customHeight="1" thickBot="1">
      <c r="A7" s="36" t="s">
        <v>344</v>
      </c>
      <c r="B7" s="37" t="s">
        <v>346</v>
      </c>
      <c r="C7" s="37" t="s">
        <v>344</v>
      </c>
      <c r="D7" s="37" t="s">
        <v>344</v>
      </c>
      <c r="E7" s="311">
        <v>0</v>
      </c>
      <c r="F7" s="311">
        <f>ROUND(X7/1000,0)</f>
        <v>0</v>
      </c>
      <c r="G7" s="312">
        <f>F7-E7</f>
        <v>0</v>
      </c>
      <c r="H7" s="313">
        <f>IF(E7=0,0,G7/E7)</f>
        <v>0</v>
      </c>
      <c r="I7" s="41" t="s">
        <v>348</v>
      </c>
      <c r="J7" s="195"/>
      <c r="K7" s="42"/>
      <c r="L7" s="42"/>
      <c r="M7" s="42"/>
      <c r="N7" s="42"/>
      <c r="O7" s="42"/>
      <c r="P7" s="43"/>
      <c r="Q7" s="43" t="s">
        <v>63</v>
      </c>
      <c r="R7" s="43"/>
      <c r="S7" s="43"/>
      <c r="T7" s="43"/>
      <c r="U7" s="43"/>
      <c r="V7" s="43"/>
      <c r="W7" s="44"/>
      <c r="X7" s="44">
        <f>X8</f>
        <v>0</v>
      </c>
      <c r="Y7" s="45" t="s">
        <v>25</v>
      </c>
      <c r="Z7" s="6"/>
    </row>
    <row r="8" spans="1:26" ht="21" customHeight="1">
      <c r="A8" s="60" t="s">
        <v>345</v>
      </c>
      <c r="B8" s="61" t="s">
        <v>347</v>
      </c>
      <c r="C8" s="61" t="s">
        <v>345</v>
      </c>
      <c r="D8" s="61" t="s">
        <v>345</v>
      </c>
      <c r="E8" s="49"/>
      <c r="F8" s="49"/>
      <c r="G8" s="50"/>
      <c r="H8" s="32"/>
      <c r="I8" s="54" t="s">
        <v>578</v>
      </c>
      <c r="J8" s="55"/>
      <c r="K8" s="56"/>
      <c r="L8" s="56"/>
      <c r="M8" s="321"/>
      <c r="N8" s="321"/>
      <c r="O8" s="322"/>
      <c r="P8" s="321"/>
      <c r="Q8" s="321"/>
      <c r="R8" s="322"/>
      <c r="S8" s="57"/>
      <c r="T8" s="354"/>
      <c r="U8" s="354"/>
      <c r="V8" s="354"/>
      <c r="W8" s="321"/>
      <c r="X8" s="321">
        <v>0</v>
      </c>
      <c r="Y8" s="59" t="s">
        <v>57</v>
      </c>
    </row>
    <row r="9" spans="1:26" ht="21" customHeight="1" thickBot="1">
      <c r="A9" s="36" t="s">
        <v>350</v>
      </c>
      <c r="B9" s="37" t="s">
        <v>352</v>
      </c>
      <c r="C9" s="37" t="s">
        <v>350</v>
      </c>
      <c r="D9" s="37" t="s">
        <v>350</v>
      </c>
      <c r="E9" s="311">
        <v>0</v>
      </c>
      <c r="F9" s="311">
        <f>ROUND(X9/1000,0)</f>
        <v>0</v>
      </c>
      <c r="G9" s="312">
        <f>F9-E9</f>
        <v>0</v>
      </c>
      <c r="H9" s="313">
        <f>IF(E9=0,0,G9/E9)</f>
        <v>0</v>
      </c>
      <c r="I9" s="41" t="s">
        <v>418</v>
      </c>
      <c r="J9" s="195"/>
      <c r="K9" s="42"/>
      <c r="L9" s="42"/>
      <c r="M9" s="42"/>
      <c r="N9" s="42"/>
      <c r="O9" s="42"/>
      <c r="P9" s="43"/>
      <c r="Q9" s="43" t="s">
        <v>63</v>
      </c>
      <c r="R9" s="43"/>
      <c r="S9" s="43"/>
      <c r="T9" s="43"/>
      <c r="U9" s="43"/>
      <c r="V9" s="43"/>
      <c r="W9" s="44"/>
      <c r="X9" s="44">
        <f>X10</f>
        <v>0</v>
      </c>
      <c r="Y9" s="45" t="s">
        <v>25</v>
      </c>
    </row>
    <row r="10" spans="1:26" ht="21" customHeight="1">
      <c r="A10" s="60" t="s">
        <v>415</v>
      </c>
      <c r="B10" s="61" t="s">
        <v>416</v>
      </c>
      <c r="C10" s="61" t="s">
        <v>416</v>
      </c>
      <c r="D10" s="123" t="s">
        <v>416</v>
      </c>
      <c r="E10" s="326"/>
      <c r="F10" s="327">
        <v>0</v>
      </c>
      <c r="G10" s="328"/>
      <c r="H10" s="329"/>
      <c r="I10" s="330"/>
      <c r="J10" s="331"/>
      <c r="K10" s="332"/>
      <c r="L10" s="332"/>
      <c r="M10" s="332"/>
      <c r="N10" s="332"/>
      <c r="O10" s="332"/>
      <c r="P10" s="333"/>
      <c r="Q10" s="333"/>
      <c r="R10" s="333"/>
      <c r="S10" s="333"/>
      <c r="T10" s="333"/>
      <c r="U10" s="333"/>
      <c r="V10" s="333"/>
      <c r="W10" s="334"/>
      <c r="X10" s="334">
        <v>0</v>
      </c>
      <c r="Y10" s="385" t="s">
        <v>417</v>
      </c>
    </row>
    <row r="11" spans="1:26" s="11" customFormat="1" ht="19.5" customHeight="1">
      <c r="A11" s="36" t="s">
        <v>349</v>
      </c>
      <c r="B11" s="37" t="s">
        <v>349</v>
      </c>
      <c r="C11" s="600" t="s">
        <v>504</v>
      </c>
      <c r="D11" s="601"/>
      <c r="E11" s="367">
        <f>SUM(E12,E17,E78,E143)</f>
        <v>1496393</v>
      </c>
      <c r="F11" s="367">
        <f>SUM(F12,F17,F78,F143)</f>
        <v>1549539</v>
      </c>
      <c r="G11" s="368">
        <f t="shared" ref="G11:G13" si="1">F11-E11</f>
        <v>53146</v>
      </c>
      <c r="H11" s="369">
        <f t="shared" ref="H11:H13" si="2">IF(E11=0,0,G11/E11)</f>
        <v>3.5516070978680064E-2</v>
      </c>
      <c r="I11" s="370" t="s">
        <v>505</v>
      </c>
      <c r="J11" s="371"/>
      <c r="K11" s="372"/>
      <c r="L11" s="372"/>
      <c r="M11" s="371"/>
      <c r="N11" s="371"/>
      <c r="O11" s="371"/>
      <c r="P11" s="371"/>
      <c r="Q11" s="371"/>
      <c r="R11" s="373"/>
      <c r="S11" s="373"/>
      <c r="T11" s="373"/>
      <c r="U11" s="373"/>
      <c r="V11" s="373"/>
      <c r="W11" s="373"/>
      <c r="X11" s="374">
        <f>SUM(X12,X17,X78,X143)</f>
        <v>1549539000</v>
      </c>
      <c r="Y11" s="386" t="s">
        <v>25</v>
      </c>
      <c r="Z11" s="6"/>
    </row>
    <row r="12" spans="1:26" s="11" customFormat="1" ht="19.5" customHeight="1">
      <c r="A12" s="46" t="s">
        <v>351</v>
      </c>
      <c r="B12" s="47" t="s">
        <v>347</v>
      </c>
      <c r="C12" s="37" t="s">
        <v>353</v>
      </c>
      <c r="D12" s="384" t="s">
        <v>354</v>
      </c>
      <c r="E12" s="314">
        <f>E13</f>
        <v>45309</v>
      </c>
      <c r="F12" s="314">
        <f>F13</f>
        <v>53775</v>
      </c>
      <c r="G12" s="315">
        <f t="shared" si="1"/>
        <v>8466</v>
      </c>
      <c r="H12" s="316">
        <f t="shared" si="2"/>
        <v>0.18685029464344832</v>
      </c>
      <c r="I12" s="298" t="s">
        <v>355</v>
      </c>
      <c r="J12" s="299"/>
      <c r="K12" s="300"/>
      <c r="L12" s="300"/>
      <c r="M12" s="300"/>
      <c r="N12" s="300"/>
      <c r="O12" s="300"/>
      <c r="P12" s="301"/>
      <c r="Q12" s="301"/>
      <c r="R12" s="301"/>
      <c r="S12" s="301"/>
      <c r="T12" s="301"/>
      <c r="U12" s="301"/>
      <c r="V12" s="335" t="s">
        <v>419</v>
      </c>
      <c r="W12" s="336"/>
      <c r="X12" s="337">
        <f>X13</f>
        <v>53775000</v>
      </c>
      <c r="Y12" s="387" t="s">
        <v>420</v>
      </c>
      <c r="Z12" s="6"/>
    </row>
    <row r="13" spans="1:26" s="11" customFormat="1" ht="19.5" customHeight="1">
      <c r="A13" s="46"/>
      <c r="B13" s="47"/>
      <c r="C13" s="47" t="s">
        <v>414</v>
      </c>
      <c r="D13" s="47" t="s">
        <v>413</v>
      </c>
      <c r="E13" s="325">
        <v>45309</v>
      </c>
      <c r="F13" s="325">
        <f>ROUND(X13/1000,0)</f>
        <v>53775</v>
      </c>
      <c r="G13" s="401">
        <f t="shared" si="1"/>
        <v>8466</v>
      </c>
      <c r="H13" s="402">
        <f t="shared" si="2"/>
        <v>0.18685029464344832</v>
      </c>
      <c r="I13" s="196" t="s">
        <v>411</v>
      </c>
      <c r="J13" s="322"/>
      <c r="K13" s="321"/>
      <c r="L13" s="321"/>
      <c r="M13" s="321"/>
      <c r="N13" s="354"/>
      <c r="O13" s="302"/>
      <c r="P13" s="321"/>
      <c r="Q13" s="55"/>
      <c r="R13" s="303"/>
      <c r="S13" s="306"/>
      <c r="T13" s="306"/>
      <c r="U13" s="354"/>
      <c r="V13" s="320" t="s">
        <v>412</v>
      </c>
      <c r="W13" s="198"/>
      <c r="X13" s="198">
        <f>SUM(X14:X16)</f>
        <v>53775000</v>
      </c>
      <c r="Y13" s="199" t="s">
        <v>57</v>
      </c>
      <c r="Z13" s="6"/>
    </row>
    <row r="14" spans="1:26" s="11" customFormat="1" ht="19.5" customHeight="1">
      <c r="A14" s="62"/>
      <c r="B14" s="47"/>
      <c r="C14" s="47"/>
      <c r="D14" s="47"/>
      <c r="E14" s="49"/>
      <c r="F14" s="319"/>
      <c r="G14" s="50"/>
      <c r="H14" s="72"/>
      <c r="I14" s="445" t="s">
        <v>674</v>
      </c>
      <c r="J14" s="322"/>
      <c r="K14" s="321"/>
      <c r="L14" s="321"/>
      <c r="M14" s="321">
        <v>200296</v>
      </c>
      <c r="N14" s="354" t="s">
        <v>25</v>
      </c>
      <c r="O14" s="302" t="s">
        <v>26</v>
      </c>
      <c r="P14" s="457">
        <v>27</v>
      </c>
      <c r="Q14" s="55" t="s">
        <v>264</v>
      </c>
      <c r="R14" s="303" t="s">
        <v>26</v>
      </c>
      <c r="S14" s="306">
        <v>12</v>
      </c>
      <c r="T14" s="306" t="s">
        <v>29</v>
      </c>
      <c r="U14" s="354" t="s">
        <v>26</v>
      </c>
      <c r="V14" s="358">
        <v>0.8</v>
      </c>
      <c r="W14" s="70" t="s">
        <v>27</v>
      </c>
      <c r="X14" s="70">
        <f>ROUNDDOWN(M14*P14*S14*V14,-3)</f>
        <v>51916000</v>
      </c>
      <c r="Y14" s="59" t="s">
        <v>57</v>
      </c>
      <c r="Z14" s="6"/>
    </row>
    <row r="15" spans="1:26" s="11" customFormat="1" ht="19.5" customHeight="1">
      <c r="A15" s="62"/>
      <c r="B15" s="47"/>
      <c r="C15" s="47"/>
      <c r="D15" s="47"/>
      <c r="E15" s="49"/>
      <c r="F15" s="319"/>
      <c r="G15" s="50"/>
      <c r="H15" s="72"/>
      <c r="I15" s="445" t="s">
        <v>360</v>
      </c>
      <c r="J15" s="322"/>
      <c r="K15" s="321"/>
      <c r="L15" s="321"/>
      <c r="M15" s="321">
        <v>28114</v>
      </c>
      <c r="N15" s="354" t="s">
        <v>25</v>
      </c>
      <c r="O15" s="302" t="s">
        <v>26</v>
      </c>
      <c r="P15" s="457">
        <v>27</v>
      </c>
      <c r="Q15" s="55" t="s">
        <v>264</v>
      </c>
      <c r="R15" s="304" t="s">
        <v>26</v>
      </c>
      <c r="S15" s="306">
        <v>1</v>
      </c>
      <c r="T15" s="306" t="s">
        <v>359</v>
      </c>
      <c r="U15" s="354" t="s">
        <v>26</v>
      </c>
      <c r="V15" s="358">
        <v>0.8</v>
      </c>
      <c r="W15" s="70" t="s">
        <v>27</v>
      </c>
      <c r="X15" s="70">
        <f t="shared" ref="X15" si="3">ROUND(M15*P15*S15*V15,-3)</f>
        <v>607000</v>
      </c>
      <c r="Y15" s="59" t="s">
        <v>57</v>
      </c>
      <c r="Z15" s="6"/>
    </row>
    <row r="16" spans="1:26" s="11" customFormat="1" ht="19.5" customHeight="1">
      <c r="A16" s="62"/>
      <c r="B16" s="47"/>
      <c r="C16" s="47"/>
      <c r="D16" s="47"/>
      <c r="E16" s="49"/>
      <c r="F16" s="49"/>
      <c r="G16" s="50"/>
      <c r="H16" s="72"/>
      <c r="I16" s="445" t="s">
        <v>361</v>
      </c>
      <c r="J16" s="70"/>
      <c r="K16" s="305"/>
      <c r="L16" s="305"/>
      <c r="M16" s="321">
        <v>29000</v>
      </c>
      <c r="N16" s="321" t="s">
        <v>25</v>
      </c>
      <c r="O16" s="302" t="s">
        <v>26</v>
      </c>
      <c r="P16" s="457">
        <v>27</v>
      </c>
      <c r="Q16" s="55" t="s">
        <v>264</v>
      </c>
      <c r="R16" s="304" t="s">
        <v>26</v>
      </c>
      <c r="S16" s="57">
        <v>2</v>
      </c>
      <c r="T16" s="354" t="s">
        <v>359</v>
      </c>
      <c r="U16" s="354" t="s">
        <v>26</v>
      </c>
      <c r="V16" s="358">
        <v>0.8</v>
      </c>
      <c r="W16" s="322" t="s">
        <v>27</v>
      </c>
      <c r="X16" s="70">
        <f>ROUNDDOWN(M16*P16*S16*V16,-3)</f>
        <v>1252000</v>
      </c>
      <c r="Y16" s="59" t="s">
        <v>57</v>
      </c>
      <c r="Z16" s="6"/>
    </row>
    <row r="17" spans="1:27" s="11" customFormat="1" ht="19.5" customHeight="1">
      <c r="A17" s="62"/>
      <c r="B17" s="47"/>
      <c r="C17" s="37" t="s">
        <v>357</v>
      </c>
      <c r="D17" s="384" t="s">
        <v>281</v>
      </c>
      <c r="E17" s="314">
        <f>SUM(E18:E77)</f>
        <v>737535</v>
      </c>
      <c r="F17" s="314">
        <f>SUM(F18:F77)</f>
        <v>762716</v>
      </c>
      <c r="G17" s="315">
        <f t="shared" ref="G17:G18" si="4">F17-E17</f>
        <v>25181</v>
      </c>
      <c r="H17" s="316">
        <f t="shared" ref="H17:H18" si="5">IF(E17=0,0,G17/E17)</f>
        <v>3.4142108510104602E-2</v>
      </c>
      <c r="I17" s="298" t="s">
        <v>421</v>
      </c>
      <c r="J17" s="299"/>
      <c r="K17" s="300"/>
      <c r="L17" s="300"/>
      <c r="M17" s="300"/>
      <c r="N17" s="300"/>
      <c r="O17" s="300"/>
      <c r="P17" s="301"/>
      <c r="Q17" s="301"/>
      <c r="R17" s="301"/>
      <c r="S17" s="301"/>
      <c r="T17" s="301"/>
      <c r="U17" s="301"/>
      <c r="V17" s="335" t="s">
        <v>75</v>
      </c>
      <c r="W17" s="336"/>
      <c r="X17" s="336">
        <f>SUM(X18,X23,X38,X42,X50,X75)</f>
        <v>762716000</v>
      </c>
      <c r="Y17" s="387" t="s">
        <v>57</v>
      </c>
      <c r="Z17" s="6"/>
    </row>
    <row r="18" spans="1:27" s="11" customFormat="1" ht="19.5" customHeight="1">
      <c r="A18" s="62"/>
      <c r="B18" s="47"/>
      <c r="C18" s="47" t="s">
        <v>358</v>
      </c>
      <c r="D18" s="37" t="s">
        <v>413</v>
      </c>
      <c r="E18" s="38">
        <v>5664</v>
      </c>
      <c r="F18" s="338">
        <f>ROUND(X18/1000,0)</f>
        <v>6723</v>
      </c>
      <c r="G18" s="39">
        <f t="shared" si="4"/>
        <v>1059</v>
      </c>
      <c r="H18" s="134">
        <f t="shared" si="5"/>
        <v>0.18697033898305085</v>
      </c>
      <c r="I18" s="196" t="s">
        <v>411</v>
      </c>
      <c r="J18" s="216"/>
      <c r="K18" s="96"/>
      <c r="L18" s="96"/>
      <c r="M18" s="96"/>
      <c r="N18" s="353"/>
      <c r="O18" s="339"/>
      <c r="P18" s="96"/>
      <c r="Q18" s="340"/>
      <c r="R18" s="341"/>
      <c r="S18" s="342"/>
      <c r="T18" s="342"/>
      <c r="U18" s="353"/>
      <c r="V18" s="320" t="s">
        <v>412</v>
      </c>
      <c r="W18" s="198"/>
      <c r="X18" s="198">
        <f>SUM(X19:X21)</f>
        <v>6723000</v>
      </c>
      <c r="Y18" s="199" t="s">
        <v>57</v>
      </c>
      <c r="Z18" s="6"/>
    </row>
    <row r="19" spans="1:27" s="11" customFormat="1" ht="19.5" customHeight="1">
      <c r="A19" s="62"/>
      <c r="B19" s="47"/>
      <c r="C19" s="47"/>
      <c r="D19" s="47"/>
      <c r="E19" s="49"/>
      <c r="F19" s="49"/>
      <c r="G19" s="50"/>
      <c r="H19" s="72"/>
      <c r="I19" s="445" t="s">
        <v>674</v>
      </c>
      <c r="J19" s="322"/>
      <c r="K19" s="321"/>
      <c r="L19" s="321"/>
      <c r="M19" s="444">
        <v>200296</v>
      </c>
      <c r="N19" s="354" t="s">
        <v>25</v>
      </c>
      <c r="O19" s="302" t="s">
        <v>26</v>
      </c>
      <c r="P19" s="457">
        <v>27</v>
      </c>
      <c r="Q19" s="55" t="s">
        <v>264</v>
      </c>
      <c r="R19" s="303" t="s">
        <v>26</v>
      </c>
      <c r="S19" s="306">
        <v>12</v>
      </c>
      <c r="T19" s="306" t="s">
        <v>29</v>
      </c>
      <c r="U19" s="354" t="s">
        <v>26</v>
      </c>
      <c r="V19" s="358">
        <v>0.1</v>
      </c>
      <c r="W19" s="70" t="s">
        <v>27</v>
      </c>
      <c r="X19" s="70">
        <f>ROUND(M19*P19*S19*V19,-3)</f>
        <v>6490000</v>
      </c>
      <c r="Y19" s="59" t="s">
        <v>57</v>
      </c>
      <c r="Z19" s="6"/>
    </row>
    <row r="20" spans="1:27" s="11" customFormat="1" ht="19.5" customHeight="1">
      <c r="A20" s="62"/>
      <c r="B20" s="47"/>
      <c r="C20" s="47"/>
      <c r="D20" s="47"/>
      <c r="E20" s="49"/>
      <c r="F20" s="49"/>
      <c r="G20" s="50"/>
      <c r="H20" s="72"/>
      <c r="I20" s="445" t="s">
        <v>360</v>
      </c>
      <c r="J20" s="322"/>
      <c r="K20" s="321"/>
      <c r="L20" s="321"/>
      <c r="M20" s="444">
        <v>28114</v>
      </c>
      <c r="N20" s="354" t="s">
        <v>25</v>
      </c>
      <c r="O20" s="302" t="s">
        <v>26</v>
      </c>
      <c r="P20" s="457">
        <v>27</v>
      </c>
      <c r="Q20" s="55" t="s">
        <v>264</v>
      </c>
      <c r="R20" s="304" t="s">
        <v>26</v>
      </c>
      <c r="S20" s="306">
        <v>1</v>
      </c>
      <c r="T20" s="306" t="s">
        <v>359</v>
      </c>
      <c r="U20" s="354" t="s">
        <v>26</v>
      </c>
      <c r="V20" s="358">
        <v>0.1</v>
      </c>
      <c r="W20" s="70" t="s">
        <v>27</v>
      </c>
      <c r="X20" s="70">
        <f t="shared" ref="X20" si="6">ROUND(M20*P20*S20*V20,-3)</f>
        <v>76000</v>
      </c>
      <c r="Y20" s="59" t="s">
        <v>57</v>
      </c>
      <c r="Z20" s="6"/>
    </row>
    <row r="21" spans="1:27" s="11" customFormat="1" ht="19.5" customHeight="1">
      <c r="A21" s="62"/>
      <c r="B21" s="47"/>
      <c r="C21" s="47"/>
      <c r="D21" s="47"/>
      <c r="E21" s="49"/>
      <c r="F21" s="49"/>
      <c r="G21" s="50"/>
      <c r="H21" s="72"/>
      <c r="I21" s="445" t="s">
        <v>361</v>
      </c>
      <c r="J21" s="70"/>
      <c r="K21" s="305"/>
      <c r="L21" s="305"/>
      <c r="M21" s="444">
        <v>29000</v>
      </c>
      <c r="N21" s="321" t="s">
        <v>25</v>
      </c>
      <c r="O21" s="302" t="s">
        <v>26</v>
      </c>
      <c r="P21" s="457">
        <v>27</v>
      </c>
      <c r="Q21" s="55" t="s">
        <v>264</v>
      </c>
      <c r="R21" s="304" t="s">
        <v>26</v>
      </c>
      <c r="S21" s="57">
        <v>2</v>
      </c>
      <c r="T21" s="354" t="s">
        <v>359</v>
      </c>
      <c r="U21" s="354" t="s">
        <v>26</v>
      </c>
      <c r="V21" s="358">
        <v>0.1</v>
      </c>
      <c r="W21" s="322" t="s">
        <v>27</v>
      </c>
      <c r="X21" s="70">
        <f>ROUNDUP(M21*P21*S21*V21,-3)</f>
        <v>157000</v>
      </c>
      <c r="Y21" s="59" t="s">
        <v>57</v>
      </c>
      <c r="Z21" s="6"/>
    </row>
    <row r="22" spans="1:27" s="11" customFormat="1" ht="19.5" customHeight="1">
      <c r="A22" s="62"/>
      <c r="B22" s="47"/>
      <c r="C22" s="47"/>
      <c r="D22" s="61"/>
      <c r="E22" s="63"/>
      <c r="F22" s="63"/>
      <c r="G22" s="64"/>
      <c r="H22" s="92"/>
      <c r="I22" s="324"/>
      <c r="J22" s="74"/>
      <c r="K22" s="343"/>
      <c r="L22" s="343"/>
      <c r="M22" s="323"/>
      <c r="N22" s="323"/>
      <c r="O22" s="344"/>
      <c r="P22" s="323"/>
      <c r="Q22" s="159"/>
      <c r="R22" s="345"/>
      <c r="S22" s="89"/>
      <c r="T22" s="294"/>
      <c r="U22" s="294"/>
      <c r="V22" s="346"/>
      <c r="W22" s="324"/>
      <c r="X22" s="74"/>
      <c r="Y22" s="75"/>
      <c r="Z22" s="6"/>
    </row>
    <row r="23" spans="1:27" s="11" customFormat="1" ht="19.5" customHeight="1" thickBot="1">
      <c r="A23" s="62"/>
      <c r="B23" s="47"/>
      <c r="C23" s="47"/>
      <c r="D23" s="37" t="s">
        <v>422</v>
      </c>
      <c r="E23" s="38">
        <v>659119</v>
      </c>
      <c r="F23" s="338">
        <f>ROUND(X23/1000,0)</f>
        <v>683103</v>
      </c>
      <c r="G23" s="39">
        <f t="shared" ref="G23" si="7">F23-E23</f>
        <v>23984</v>
      </c>
      <c r="H23" s="134">
        <f t="shared" ref="H23" si="8">IF(E23=0,0,G23/E23)</f>
        <v>3.6387966361157847E-2</v>
      </c>
      <c r="I23" s="350" t="s">
        <v>431</v>
      </c>
      <c r="J23" s="349"/>
      <c r="K23" s="357"/>
      <c r="L23" s="357"/>
      <c r="M23" s="96"/>
      <c r="N23" s="96"/>
      <c r="O23" s="339"/>
      <c r="P23" s="96"/>
      <c r="Q23" s="340"/>
      <c r="R23" s="347"/>
      <c r="S23" s="348"/>
      <c r="T23" s="353"/>
      <c r="U23" s="353"/>
      <c r="V23" s="351" t="s">
        <v>412</v>
      </c>
      <c r="W23" s="352"/>
      <c r="X23" s="352">
        <f>SUM(X24,X25,X29,X31)</f>
        <v>683103000</v>
      </c>
      <c r="Y23" s="388" t="s">
        <v>57</v>
      </c>
      <c r="Z23" s="6"/>
    </row>
    <row r="24" spans="1:27" s="11" customFormat="1" ht="19.5" customHeight="1">
      <c r="A24" s="62"/>
      <c r="B24" s="47"/>
      <c r="C24" s="47"/>
      <c r="D24" s="47"/>
      <c r="E24" s="49"/>
      <c r="F24" s="49"/>
      <c r="G24" s="50"/>
      <c r="H24" s="72"/>
      <c r="I24" s="449" t="s">
        <v>650</v>
      </c>
      <c r="J24" s="322"/>
      <c r="K24" s="321"/>
      <c r="L24" s="321"/>
      <c r="M24" s="321">
        <v>753251000</v>
      </c>
      <c r="N24" s="321" t="s">
        <v>417</v>
      </c>
      <c r="O24" s="76" t="s">
        <v>428</v>
      </c>
      <c r="P24" s="430">
        <v>0.57299999999999995</v>
      </c>
      <c r="Q24" s="321"/>
      <c r="R24" s="321"/>
      <c r="S24" s="321"/>
      <c r="T24" s="321"/>
      <c r="U24" s="321" t="s">
        <v>429</v>
      </c>
      <c r="V24" s="323" t="s">
        <v>430</v>
      </c>
      <c r="W24" s="74"/>
      <c r="X24" s="323">
        <f>ROUND(M24*P24,-3)</f>
        <v>431613000</v>
      </c>
      <c r="Y24" s="75" t="s">
        <v>25</v>
      </c>
      <c r="Z24" s="6"/>
    </row>
    <row r="25" spans="1:27" s="11" customFormat="1" ht="19.5" customHeight="1">
      <c r="A25" s="62"/>
      <c r="B25" s="47"/>
      <c r="C25" s="47"/>
      <c r="D25" s="47"/>
      <c r="E25" s="49"/>
      <c r="F25" s="49"/>
      <c r="G25" s="50"/>
      <c r="H25" s="72"/>
      <c r="I25" s="450" t="s">
        <v>651</v>
      </c>
      <c r="J25" s="322"/>
      <c r="K25" s="321"/>
      <c r="L25" s="321"/>
      <c r="M25" s="321"/>
      <c r="N25" s="321"/>
      <c r="O25" s="321"/>
      <c r="P25" s="321"/>
      <c r="Q25" s="321"/>
      <c r="R25" s="321"/>
      <c r="S25" s="321"/>
      <c r="T25" s="321"/>
      <c r="U25" s="321"/>
      <c r="V25" s="197" t="s">
        <v>430</v>
      </c>
      <c r="W25" s="198"/>
      <c r="X25" s="197">
        <f>SUM(X26:X28)</f>
        <v>150518000</v>
      </c>
      <c r="Y25" s="199" t="s">
        <v>25</v>
      </c>
      <c r="Z25" s="6"/>
    </row>
    <row r="26" spans="1:27" s="11" customFormat="1" ht="19.5" customHeight="1">
      <c r="A26" s="62"/>
      <c r="B26" s="47"/>
      <c r="C26" s="47"/>
      <c r="D26" s="47"/>
      <c r="E26" s="49"/>
      <c r="F26" s="49"/>
      <c r="G26" s="50"/>
      <c r="H26" s="72"/>
      <c r="I26" s="445" t="s">
        <v>652</v>
      </c>
      <c r="J26" s="322"/>
      <c r="K26" s="321"/>
      <c r="L26" s="321"/>
      <c r="M26" s="321">
        <v>75093000</v>
      </c>
      <c r="N26" s="321" t="s">
        <v>417</v>
      </c>
      <c r="O26" s="76" t="s">
        <v>428</v>
      </c>
      <c r="P26" s="430">
        <v>0.57299999999999995</v>
      </c>
      <c r="Q26" s="321"/>
      <c r="R26" s="321"/>
      <c r="S26" s="321"/>
      <c r="T26" s="321"/>
      <c r="U26" s="321" t="s">
        <v>429</v>
      </c>
      <c r="V26" s="590"/>
      <c r="W26" s="590"/>
      <c r="X26" s="349">
        <f t="shared" ref="X26:X28" si="9">ROUND(M26*P26,-3)</f>
        <v>43028000</v>
      </c>
      <c r="Y26" s="136" t="s">
        <v>423</v>
      </c>
      <c r="Z26" s="6"/>
    </row>
    <row r="27" spans="1:27" s="11" customFormat="1" ht="19.5" customHeight="1">
      <c r="A27" s="62"/>
      <c r="B27" s="47"/>
      <c r="C27" s="47"/>
      <c r="D27" s="47"/>
      <c r="E27" s="49"/>
      <c r="F27" s="49"/>
      <c r="G27" s="50"/>
      <c r="H27" s="72"/>
      <c r="I27" s="452" t="s">
        <v>665</v>
      </c>
      <c r="J27" s="322"/>
      <c r="K27" s="321"/>
      <c r="L27" s="321"/>
      <c r="M27" s="321">
        <v>7200000</v>
      </c>
      <c r="N27" s="321" t="s">
        <v>417</v>
      </c>
      <c r="O27" s="76" t="s">
        <v>428</v>
      </c>
      <c r="P27" s="430">
        <v>0.57299999999999995</v>
      </c>
      <c r="Q27" s="321"/>
      <c r="R27" s="321"/>
      <c r="S27" s="321"/>
      <c r="T27" s="321"/>
      <c r="U27" s="321" t="s">
        <v>429</v>
      </c>
      <c r="V27" s="591"/>
      <c r="W27" s="591"/>
      <c r="X27" s="70">
        <f t="shared" si="9"/>
        <v>4126000</v>
      </c>
      <c r="Y27" s="59" t="s">
        <v>423</v>
      </c>
      <c r="Z27" s="6"/>
    </row>
    <row r="28" spans="1:27" s="11" customFormat="1" ht="19.5" customHeight="1">
      <c r="A28" s="62"/>
      <c r="B28" s="47"/>
      <c r="C28" s="47"/>
      <c r="D28" s="47"/>
      <c r="E28" s="49"/>
      <c r="F28" s="49"/>
      <c r="G28" s="50"/>
      <c r="H28" s="72"/>
      <c r="I28" s="445" t="s">
        <v>653</v>
      </c>
      <c r="J28" s="322"/>
      <c r="K28" s="321"/>
      <c r="L28" s="321"/>
      <c r="M28" s="321">
        <v>180391700</v>
      </c>
      <c r="N28" s="321" t="s">
        <v>417</v>
      </c>
      <c r="O28" s="76" t="s">
        <v>428</v>
      </c>
      <c r="P28" s="430">
        <v>0.57299999999999995</v>
      </c>
      <c r="Q28" s="321"/>
      <c r="R28" s="321"/>
      <c r="S28" s="321"/>
      <c r="T28" s="321"/>
      <c r="U28" s="321" t="s">
        <v>429</v>
      </c>
      <c r="V28" s="591"/>
      <c r="W28" s="591"/>
      <c r="X28" s="70">
        <f t="shared" si="9"/>
        <v>103364000</v>
      </c>
      <c r="Y28" s="59" t="s">
        <v>423</v>
      </c>
      <c r="Z28" s="6"/>
    </row>
    <row r="29" spans="1:27" s="11" customFormat="1" ht="19.5" customHeight="1">
      <c r="A29" s="62"/>
      <c r="B29" s="47"/>
      <c r="C29" s="47"/>
      <c r="D29" s="47"/>
      <c r="E29" s="49"/>
      <c r="F29" s="49"/>
      <c r="G29" s="50"/>
      <c r="H29" s="72"/>
      <c r="I29" s="449" t="s">
        <v>654</v>
      </c>
      <c r="J29" s="322"/>
      <c r="K29" s="321"/>
      <c r="L29" s="321"/>
      <c r="M29" s="321"/>
      <c r="N29" s="321"/>
      <c r="O29" s="321"/>
      <c r="P29" s="321"/>
      <c r="Q29" s="321"/>
      <c r="R29" s="321"/>
      <c r="S29" s="321"/>
      <c r="T29" s="321"/>
      <c r="U29" s="321"/>
      <c r="V29" s="323" t="s">
        <v>430</v>
      </c>
      <c r="W29" s="74"/>
      <c r="X29" s="323">
        <f>X30</f>
        <v>48511000</v>
      </c>
      <c r="Y29" s="75" t="s">
        <v>25</v>
      </c>
      <c r="Z29" s="6"/>
    </row>
    <row r="30" spans="1:27" s="11" customFormat="1" ht="19.5" customHeight="1">
      <c r="A30" s="62"/>
      <c r="B30" s="47"/>
      <c r="C30" s="47"/>
      <c r="D30" s="47"/>
      <c r="E30" s="49"/>
      <c r="F30" s="49"/>
      <c r="G30" s="50"/>
      <c r="H30" s="72"/>
      <c r="I30" s="445" t="s">
        <v>655</v>
      </c>
      <c r="J30" s="322"/>
      <c r="K30" s="321"/>
      <c r="L30" s="321"/>
      <c r="M30" s="321">
        <f>SUM(M24:M28)</f>
        <v>1015935700</v>
      </c>
      <c r="N30" s="55" t="s">
        <v>423</v>
      </c>
      <c r="O30" s="354" t="s">
        <v>425</v>
      </c>
      <c r="P30" s="79">
        <v>12</v>
      </c>
      <c r="Q30" s="302" t="s">
        <v>426</v>
      </c>
      <c r="R30" s="76" t="s">
        <v>428</v>
      </c>
      <c r="S30" s="430">
        <v>0.57299999999999995</v>
      </c>
      <c r="T30" s="321"/>
      <c r="U30" s="321" t="s">
        <v>427</v>
      </c>
      <c r="V30" s="96"/>
      <c r="W30" s="96"/>
      <c r="X30" s="349">
        <f>ROUND(M30/P30*S30,-3)</f>
        <v>48511000</v>
      </c>
      <c r="Y30" s="389" t="s">
        <v>417</v>
      </c>
      <c r="Z30" s="296"/>
      <c r="AA30" s="6"/>
    </row>
    <row r="31" spans="1:27" s="11" customFormat="1" ht="19.5" customHeight="1">
      <c r="A31" s="62"/>
      <c r="B31" s="47"/>
      <c r="C31" s="47"/>
      <c r="D31" s="47"/>
      <c r="E31" s="49"/>
      <c r="F31" s="49"/>
      <c r="G31" s="50"/>
      <c r="H31" s="72"/>
      <c r="I31" s="449" t="s">
        <v>656</v>
      </c>
      <c r="J31" s="322"/>
      <c r="K31" s="321"/>
      <c r="L31" s="321"/>
      <c r="M31" s="321"/>
      <c r="N31" s="55"/>
      <c r="O31" s="321"/>
      <c r="P31" s="321"/>
      <c r="Q31" s="321"/>
      <c r="R31" s="321"/>
      <c r="S31" s="321"/>
      <c r="T31" s="321"/>
      <c r="U31" s="321"/>
      <c r="V31" s="323" t="s">
        <v>430</v>
      </c>
      <c r="W31" s="74"/>
      <c r="X31" s="323">
        <f>SUM(X32:X36)</f>
        <v>52461000</v>
      </c>
      <c r="Y31" s="75" t="s">
        <v>25</v>
      </c>
      <c r="Z31" s="6"/>
    </row>
    <row r="32" spans="1:27" s="11" customFormat="1" ht="19.5" customHeight="1">
      <c r="A32" s="62"/>
      <c r="B32" s="47"/>
      <c r="C32" s="47"/>
      <c r="D32" s="47"/>
      <c r="E32" s="49"/>
      <c r="F32" s="49"/>
      <c r="G32" s="50"/>
      <c r="H32" s="72"/>
      <c r="I32" s="445" t="s">
        <v>657</v>
      </c>
      <c r="J32" s="322"/>
      <c r="K32" s="321"/>
      <c r="L32" s="321"/>
      <c r="M32" s="321">
        <f>M30</f>
        <v>1015935700</v>
      </c>
      <c r="N32" s="55" t="s">
        <v>423</v>
      </c>
      <c r="O32" s="76" t="s">
        <v>428</v>
      </c>
      <c r="P32" s="355">
        <v>0.09</v>
      </c>
      <c r="Q32" s="354">
        <v>2</v>
      </c>
      <c r="R32" s="76" t="s">
        <v>428</v>
      </c>
      <c r="S32" s="430">
        <v>0.57299999999999995</v>
      </c>
      <c r="T32" s="78"/>
      <c r="U32" s="354" t="s">
        <v>427</v>
      </c>
      <c r="V32" s="321"/>
      <c r="W32" s="70"/>
      <c r="X32" s="70">
        <f>ROUND(M32*P32/Q32*S32,-3)</f>
        <v>26196000</v>
      </c>
      <c r="Y32" s="59" t="s">
        <v>423</v>
      </c>
      <c r="Z32" s="6"/>
    </row>
    <row r="33" spans="1:26" s="11" customFormat="1" ht="19.5" customHeight="1">
      <c r="A33" s="62"/>
      <c r="B33" s="47"/>
      <c r="C33" s="47"/>
      <c r="D33" s="47"/>
      <c r="E33" s="49"/>
      <c r="F33" s="49"/>
      <c r="G33" s="50"/>
      <c r="H33" s="72"/>
      <c r="I33" s="445" t="s">
        <v>658</v>
      </c>
      <c r="J33" s="322"/>
      <c r="K33" s="321"/>
      <c r="L33" s="321"/>
      <c r="M33" s="321">
        <f>M30</f>
        <v>1015935700</v>
      </c>
      <c r="N33" s="55" t="s">
        <v>423</v>
      </c>
      <c r="O33" s="76" t="s">
        <v>428</v>
      </c>
      <c r="P33" s="356">
        <v>5.8900000000000001E-2</v>
      </c>
      <c r="Q33" s="354">
        <v>2</v>
      </c>
      <c r="R33" s="76" t="s">
        <v>428</v>
      </c>
      <c r="S33" s="430">
        <v>0.57299999999999995</v>
      </c>
      <c r="T33" s="78"/>
      <c r="U33" s="354" t="s">
        <v>427</v>
      </c>
      <c r="V33" s="321"/>
      <c r="W33" s="70"/>
      <c r="X33" s="70">
        <f>ROUNDUP(M33*P33/Q33*S33,-3)</f>
        <v>17144000</v>
      </c>
      <c r="Y33" s="59" t="s">
        <v>423</v>
      </c>
      <c r="Z33" s="6"/>
    </row>
    <row r="34" spans="1:26" s="11" customFormat="1" ht="19.5" customHeight="1">
      <c r="A34" s="62"/>
      <c r="B34" s="47"/>
      <c r="C34" s="47"/>
      <c r="D34" s="47"/>
      <c r="E34" s="49"/>
      <c r="F34" s="49"/>
      <c r="G34" s="50"/>
      <c r="H34" s="72"/>
      <c r="I34" s="445" t="s">
        <v>659</v>
      </c>
      <c r="J34" s="322"/>
      <c r="K34" s="321"/>
      <c r="L34" s="321"/>
      <c r="M34" s="321">
        <f>X33</f>
        <v>17144000</v>
      </c>
      <c r="N34" s="55" t="s">
        <v>423</v>
      </c>
      <c r="O34" s="76" t="s">
        <v>428</v>
      </c>
      <c r="P34" s="82">
        <v>6.5500000000000003E-2</v>
      </c>
      <c r="Q34" s="83"/>
      <c r="R34" s="76"/>
      <c r="S34" s="80"/>
      <c r="T34" s="85"/>
      <c r="U34" s="354" t="s">
        <v>427</v>
      </c>
      <c r="V34" s="321"/>
      <c r="W34" s="70"/>
      <c r="X34" s="70">
        <f>ROUND(M34*P34,-3)</f>
        <v>1123000</v>
      </c>
      <c r="Y34" s="59" t="s">
        <v>423</v>
      </c>
      <c r="Z34" s="6"/>
    </row>
    <row r="35" spans="1:26" s="11" customFormat="1" ht="19.5" customHeight="1">
      <c r="A35" s="62"/>
      <c r="B35" s="47"/>
      <c r="C35" s="47"/>
      <c r="D35" s="47"/>
      <c r="E35" s="49"/>
      <c r="F35" s="49"/>
      <c r="G35" s="50"/>
      <c r="H35" s="72"/>
      <c r="I35" s="445" t="s">
        <v>660</v>
      </c>
      <c r="J35" s="322"/>
      <c r="K35" s="321"/>
      <c r="L35" s="321"/>
      <c r="M35" s="321">
        <f>M30</f>
        <v>1015935700</v>
      </c>
      <c r="N35" s="55" t="s">
        <v>423</v>
      </c>
      <c r="O35" s="76" t="s">
        <v>428</v>
      </c>
      <c r="P35" s="82">
        <v>8.0000000000000002E-3</v>
      </c>
      <c r="Q35" s="76"/>
      <c r="R35" s="76" t="s">
        <v>428</v>
      </c>
      <c r="S35" s="430">
        <v>0.57299999999999995</v>
      </c>
      <c r="T35" s="78"/>
      <c r="U35" s="354" t="s">
        <v>427</v>
      </c>
      <c r="V35" s="321"/>
      <c r="W35" s="70"/>
      <c r="X35" s="70">
        <f>ROUNDDOWN(M35*P35*S35,-3)</f>
        <v>4657000</v>
      </c>
      <c r="Y35" s="59" t="s">
        <v>423</v>
      </c>
      <c r="Z35" s="6"/>
    </row>
    <row r="36" spans="1:26" s="11" customFormat="1" ht="19.5" customHeight="1">
      <c r="A36" s="62"/>
      <c r="B36" s="47"/>
      <c r="C36" s="47"/>
      <c r="D36" s="47"/>
      <c r="E36" s="49"/>
      <c r="F36" s="49"/>
      <c r="G36" s="50"/>
      <c r="H36" s="72"/>
      <c r="I36" s="445" t="s">
        <v>661</v>
      </c>
      <c r="J36" s="322"/>
      <c r="K36" s="321"/>
      <c r="L36" s="321"/>
      <c r="M36" s="321">
        <f>M30</f>
        <v>1015935700</v>
      </c>
      <c r="N36" s="55" t="s">
        <v>423</v>
      </c>
      <c r="O36" s="76" t="s">
        <v>428</v>
      </c>
      <c r="P36" s="410">
        <v>5.7400000000000003E-3</v>
      </c>
      <c r="Q36" s="76"/>
      <c r="R36" s="76" t="s">
        <v>428</v>
      </c>
      <c r="S36" s="430">
        <v>0.57299999999999995</v>
      </c>
      <c r="T36" s="78"/>
      <c r="U36" s="354" t="s">
        <v>427</v>
      </c>
      <c r="V36" s="321"/>
      <c r="W36" s="70"/>
      <c r="X36" s="70">
        <f t="shared" ref="X36" si="10">ROUND(M36*P36*S36,-3)</f>
        <v>3341000</v>
      </c>
      <c r="Y36" s="59" t="s">
        <v>423</v>
      </c>
      <c r="Z36" s="6"/>
    </row>
    <row r="37" spans="1:26" s="11" customFormat="1" ht="19.5" customHeight="1">
      <c r="A37" s="62"/>
      <c r="B37" s="47"/>
      <c r="C37" s="47"/>
      <c r="D37" s="61"/>
      <c r="E37" s="63"/>
      <c r="F37" s="63"/>
      <c r="G37" s="64"/>
      <c r="H37" s="92"/>
      <c r="I37" s="324"/>
      <c r="J37" s="74"/>
      <c r="K37" s="343"/>
      <c r="L37" s="343"/>
      <c r="M37" s="323"/>
      <c r="N37" s="323"/>
      <c r="O37" s="344"/>
      <c r="P37" s="323"/>
      <c r="Q37" s="159"/>
      <c r="R37" s="345"/>
      <c r="S37" s="89"/>
      <c r="T37" s="294"/>
      <c r="U37" s="294"/>
      <c r="V37" s="346"/>
      <c r="W37" s="324"/>
      <c r="X37" s="74"/>
      <c r="Y37" s="75"/>
      <c r="Z37" s="6"/>
    </row>
    <row r="38" spans="1:26" s="11" customFormat="1" ht="19.5" customHeight="1" thickBot="1">
      <c r="A38" s="62"/>
      <c r="B38" s="47"/>
      <c r="C38" s="47"/>
      <c r="D38" s="37" t="s">
        <v>432</v>
      </c>
      <c r="E38" s="38">
        <v>41035</v>
      </c>
      <c r="F38" s="338">
        <f>ROUND(X38/1000,0)</f>
        <v>41035</v>
      </c>
      <c r="G38" s="39">
        <f t="shared" ref="G38" si="11">F38-E38</f>
        <v>0</v>
      </c>
      <c r="H38" s="134">
        <f t="shared" ref="H38" si="12">IF(E38=0,0,G38/E38)</f>
        <v>0</v>
      </c>
      <c r="I38" s="350" t="s">
        <v>433</v>
      </c>
      <c r="J38" s="349"/>
      <c r="K38" s="357"/>
      <c r="L38" s="357"/>
      <c r="M38" s="96"/>
      <c r="N38" s="96"/>
      <c r="O38" s="339"/>
      <c r="P38" s="96"/>
      <c r="Q38" s="340"/>
      <c r="R38" s="347"/>
      <c r="S38" s="348"/>
      <c r="T38" s="353"/>
      <c r="U38" s="353"/>
      <c r="V38" s="351" t="s">
        <v>412</v>
      </c>
      <c r="W38" s="352"/>
      <c r="X38" s="352">
        <f>SUM(X39:X40)</f>
        <v>41035000</v>
      </c>
      <c r="Y38" s="388" t="s">
        <v>57</v>
      </c>
      <c r="Z38" s="6"/>
    </row>
    <row r="39" spans="1:26" s="11" customFormat="1" ht="19.5" customHeight="1">
      <c r="A39" s="62"/>
      <c r="B39" s="47"/>
      <c r="C39" s="47"/>
      <c r="D39" s="47"/>
      <c r="E39" s="49"/>
      <c r="F39" s="49"/>
      <c r="G39" s="50"/>
      <c r="H39" s="72"/>
      <c r="I39" s="322" t="s">
        <v>434</v>
      </c>
      <c r="J39" s="70"/>
      <c r="K39" s="305"/>
      <c r="L39" s="305"/>
      <c r="M39" s="321">
        <v>39591000</v>
      </c>
      <c r="N39" s="321" t="s">
        <v>417</v>
      </c>
      <c r="O39" s="76" t="s">
        <v>428</v>
      </c>
      <c r="P39" s="430">
        <v>0.57299999999999995</v>
      </c>
      <c r="Q39" s="321"/>
      <c r="R39" s="321"/>
      <c r="S39" s="321"/>
      <c r="T39" s="321"/>
      <c r="U39" s="321" t="s">
        <v>429</v>
      </c>
      <c r="V39" s="591"/>
      <c r="W39" s="591"/>
      <c r="X39" s="70">
        <f t="shared" ref="X39" si="13">ROUND(M39*P39,-3)</f>
        <v>22686000</v>
      </c>
      <c r="Y39" s="59" t="s">
        <v>423</v>
      </c>
      <c r="Z39" s="6"/>
    </row>
    <row r="40" spans="1:26" s="11" customFormat="1" ht="19.5" customHeight="1">
      <c r="A40" s="62"/>
      <c r="B40" s="47"/>
      <c r="C40" s="47"/>
      <c r="D40" s="47"/>
      <c r="E40" s="49"/>
      <c r="F40" s="49"/>
      <c r="G40" s="50"/>
      <c r="H40" s="72"/>
      <c r="I40" s="322" t="s">
        <v>435</v>
      </c>
      <c r="J40" s="70"/>
      <c r="K40" s="305"/>
      <c r="L40" s="305"/>
      <c r="M40" s="321">
        <v>593000</v>
      </c>
      <c r="N40" s="321" t="s">
        <v>423</v>
      </c>
      <c r="O40" s="56" t="s">
        <v>428</v>
      </c>
      <c r="P40" s="354">
        <v>54</v>
      </c>
      <c r="Q40" s="321" t="s">
        <v>436</v>
      </c>
      <c r="R40" s="76" t="s">
        <v>428</v>
      </c>
      <c r="S40" s="430">
        <v>0.57299999999999995</v>
      </c>
      <c r="T40" s="321"/>
      <c r="U40" s="321" t="s">
        <v>429</v>
      </c>
      <c r="V40" s="591"/>
      <c r="W40" s="591"/>
      <c r="X40" s="70">
        <f>ROUND(M40*P40*S40,-3)</f>
        <v>18349000</v>
      </c>
      <c r="Y40" s="59" t="s">
        <v>423</v>
      </c>
      <c r="Z40" s="6"/>
    </row>
    <row r="41" spans="1:26" s="11" customFormat="1" ht="19.5" customHeight="1">
      <c r="A41" s="62"/>
      <c r="B41" s="47"/>
      <c r="C41" s="47"/>
      <c r="D41" s="61"/>
      <c r="E41" s="63"/>
      <c r="F41" s="63"/>
      <c r="G41" s="64"/>
      <c r="H41" s="92"/>
      <c r="I41" s="324"/>
      <c r="J41" s="74"/>
      <c r="K41" s="343"/>
      <c r="L41" s="343"/>
      <c r="M41" s="323"/>
      <c r="N41" s="323"/>
      <c r="O41" s="344"/>
      <c r="P41" s="323"/>
      <c r="Q41" s="159"/>
      <c r="R41" s="345"/>
      <c r="S41" s="89"/>
      <c r="T41" s="294"/>
      <c r="U41" s="294"/>
      <c r="V41" s="346"/>
      <c r="W41" s="324"/>
      <c r="X41" s="74"/>
      <c r="Y41" s="75"/>
      <c r="Z41" s="6"/>
    </row>
    <row r="42" spans="1:26" s="11" customFormat="1" ht="19.5" customHeight="1" thickBot="1">
      <c r="A42" s="62"/>
      <c r="B42" s="47"/>
      <c r="C42" s="47"/>
      <c r="D42" s="37" t="s">
        <v>437</v>
      </c>
      <c r="E42" s="38">
        <v>4056</v>
      </c>
      <c r="F42" s="338">
        <f>ROUND(X42/1000,0)</f>
        <v>4056</v>
      </c>
      <c r="G42" s="39">
        <f t="shared" ref="G42" si="14">F42-E42</f>
        <v>0</v>
      </c>
      <c r="H42" s="134">
        <f t="shared" ref="H42" si="15">IF(E42=0,0,G42/E42)</f>
        <v>0</v>
      </c>
      <c r="I42" s="350" t="s">
        <v>439</v>
      </c>
      <c r="J42" s="349"/>
      <c r="K42" s="357"/>
      <c r="L42" s="357"/>
      <c r="M42" s="96"/>
      <c r="N42" s="96"/>
      <c r="O42" s="339"/>
      <c r="P42" s="96"/>
      <c r="Q42" s="340"/>
      <c r="R42" s="347"/>
      <c r="S42" s="348"/>
      <c r="T42" s="353"/>
      <c r="U42" s="353"/>
      <c r="V42" s="351" t="s">
        <v>412</v>
      </c>
      <c r="W42" s="352"/>
      <c r="X42" s="352">
        <f>SUM(X43:X48)</f>
        <v>4056000</v>
      </c>
      <c r="Y42" s="388" t="s">
        <v>57</v>
      </c>
      <c r="Z42" s="6"/>
    </row>
    <row r="43" spans="1:26" s="11" customFormat="1" ht="19.5" customHeight="1">
      <c r="A43" s="62"/>
      <c r="B43" s="47"/>
      <c r="C43" s="47"/>
      <c r="D43" s="47" t="s">
        <v>438</v>
      </c>
      <c r="E43" s="49"/>
      <c r="F43" s="49"/>
      <c r="G43" s="50"/>
      <c r="H43" s="72"/>
      <c r="I43" s="69" t="s">
        <v>440</v>
      </c>
      <c r="J43" s="322"/>
      <c r="K43" s="321"/>
      <c r="L43" s="321"/>
      <c r="M43" s="321">
        <v>500</v>
      </c>
      <c r="N43" s="321" t="s">
        <v>423</v>
      </c>
      <c r="O43" s="322" t="s">
        <v>428</v>
      </c>
      <c r="P43" s="359">
        <v>54</v>
      </c>
      <c r="Q43" s="360">
        <v>365</v>
      </c>
      <c r="R43" s="321" t="s">
        <v>441</v>
      </c>
      <c r="S43" s="431">
        <v>0.183</v>
      </c>
      <c r="T43" s="321"/>
      <c r="U43" s="321" t="s">
        <v>427</v>
      </c>
      <c r="V43" s="321"/>
      <c r="W43" s="70"/>
      <c r="X43" s="70">
        <f>ROUND(M43*P43*Q43*S43,-3)</f>
        <v>1803000</v>
      </c>
      <c r="Y43" s="59" t="s">
        <v>25</v>
      </c>
      <c r="Z43" s="6"/>
    </row>
    <row r="44" spans="1:26" s="11" customFormat="1" ht="19.5" customHeight="1">
      <c r="A44" s="62"/>
      <c r="B44" s="47"/>
      <c r="C44" s="47"/>
      <c r="D44" s="47"/>
      <c r="E44" s="49"/>
      <c r="F44" s="49"/>
      <c r="G44" s="50"/>
      <c r="H44" s="72"/>
      <c r="I44" s="69" t="s">
        <v>442</v>
      </c>
      <c r="J44" s="322"/>
      <c r="K44" s="321"/>
      <c r="L44" s="321"/>
      <c r="M44" s="321">
        <v>5000</v>
      </c>
      <c r="N44" s="321" t="s">
        <v>423</v>
      </c>
      <c r="O44" s="322" t="s">
        <v>428</v>
      </c>
      <c r="P44" s="359">
        <v>54</v>
      </c>
      <c r="Q44" s="360">
        <v>12</v>
      </c>
      <c r="R44" s="321" t="s">
        <v>426</v>
      </c>
      <c r="S44" s="431">
        <v>0.183</v>
      </c>
      <c r="T44" s="321"/>
      <c r="U44" s="321" t="s">
        <v>427</v>
      </c>
      <c r="V44" s="321"/>
      <c r="W44" s="70"/>
      <c r="X44" s="70">
        <f t="shared" ref="X44:X45" si="16">ROUNDUP(M44*P44*Q44*S44,-3)</f>
        <v>593000</v>
      </c>
      <c r="Y44" s="59" t="s">
        <v>25</v>
      </c>
      <c r="Z44" s="6"/>
    </row>
    <row r="45" spans="1:26" s="11" customFormat="1" ht="19.5" customHeight="1">
      <c r="A45" s="62"/>
      <c r="B45" s="47"/>
      <c r="C45" s="47"/>
      <c r="D45" s="47"/>
      <c r="E45" s="49"/>
      <c r="F45" s="49"/>
      <c r="G45" s="50"/>
      <c r="H45" s="72"/>
      <c r="I45" s="69" t="s">
        <v>443</v>
      </c>
      <c r="J45" s="322"/>
      <c r="K45" s="321"/>
      <c r="L45" s="321"/>
      <c r="M45" s="321">
        <v>20000</v>
      </c>
      <c r="N45" s="321" t="s">
        <v>423</v>
      </c>
      <c r="O45" s="322" t="s">
        <v>428</v>
      </c>
      <c r="P45" s="359">
        <v>54</v>
      </c>
      <c r="Q45" s="360">
        <v>4</v>
      </c>
      <c r="R45" s="321" t="s">
        <v>444</v>
      </c>
      <c r="S45" s="431">
        <v>0.183</v>
      </c>
      <c r="T45" s="321"/>
      <c r="U45" s="321" t="s">
        <v>427</v>
      </c>
      <c r="V45" s="321"/>
      <c r="W45" s="70"/>
      <c r="X45" s="70">
        <f t="shared" si="16"/>
        <v>791000</v>
      </c>
      <c r="Y45" s="59" t="s">
        <v>25</v>
      </c>
      <c r="Z45" s="6"/>
    </row>
    <row r="46" spans="1:26" s="11" customFormat="1" ht="19.5" customHeight="1">
      <c r="A46" s="62"/>
      <c r="B46" s="47"/>
      <c r="C46" s="47"/>
      <c r="D46" s="47"/>
      <c r="E46" s="49"/>
      <c r="F46" s="49"/>
      <c r="G46" s="50"/>
      <c r="H46" s="72"/>
      <c r="I46" s="69" t="s">
        <v>445</v>
      </c>
      <c r="J46" s="322"/>
      <c r="K46" s="321"/>
      <c r="L46" s="321"/>
      <c r="M46" s="321">
        <v>12000</v>
      </c>
      <c r="N46" s="321" t="s">
        <v>423</v>
      </c>
      <c r="O46" s="322" t="s">
        <v>428</v>
      </c>
      <c r="P46" s="359">
        <v>54</v>
      </c>
      <c r="Q46" s="360">
        <v>4</v>
      </c>
      <c r="R46" s="321" t="s">
        <v>444</v>
      </c>
      <c r="S46" s="431">
        <v>0.183</v>
      </c>
      <c r="T46" s="321"/>
      <c r="U46" s="321" t="s">
        <v>427</v>
      </c>
      <c r="V46" s="321"/>
      <c r="W46" s="70"/>
      <c r="X46" s="70">
        <f>ROUND(M46*P46*Q46*S46,-3)</f>
        <v>474000</v>
      </c>
      <c r="Y46" s="59" t="s">
        <v>25</v>
      </c>
      <c r="Z46" s="6"/>
    </row>
    <row r="47" spans="1:26" s="11" customFormat="1" ht="19.5" customHeight="1">
      <c r="A47" s="62"/>
      <c r="B47" s="47"/>
      <c r="C47" s="47"/>
      <c r="D47" s="47"/>
      <c r="E47" s="49"/>
      <c r="F47" s="49"/>
      <c r="G47" s="50"/>
      <c r="H47" s="72"/>
      <c r="I47" s="69" t="s">
        <v>446</v>
      </c>
      <c r="J47" s="322"/>
      <c r="K47" s="321"/>
      <c r="L47" s="321"/>
      <c r="M47" s="321"/>
      <c r="N47" s="321"/>
      <c r="O47" s="322"/>
      <c r="P47" s="359"/>
      <c r="Q47" s="360"/>
      <c r="R47" s="321"/>
      <c r="S47" s="321"/>
      <c r="T47" s="321"/>
      <c r="U47" s="321"/>
      <c r="V47" s="321"/>
      <c r="W47" s="70"/>
      <c r="X47" s="70"/>
      <c r="Y47" s="59"/>
      <c r="Z47" s="6"/>
    </row>
    <row r="48" spans="1:26" s="11" customFormat="1" ht="19.5" customHeight="1">
      <c r="A48" s="62"/>
      <c r="B48" s="47"/>
      <c r="C48" s="47"/>
      <c r="D48" s="47"/>
      <c r="E48" s="49"/>
      <c r="F48" s="49"/>
      <c r="G48" s="50"/>
      <c r="H48" s="72"/>
      <c r="I48" s="69" t="s">
        <v>447</v>
      </c>
      <c r="J48" s="322"/>
      <c r="K48" s="321"/>
      <c r="L48" s="321"/>
      <c r="M48" s="321">
        <v>40000</v>
      </c>
      <c r="N48" s="321" t="s">
        <v>423</v>
      </c>
      <c r="O48" s="322" t="s">
        <v>428</v>
      </c>
      <c r="P48" s="359">
        <v>54</v>
      </c>
      <c r="Q48" s="360">
        <v>1</v>
      </c>
      <c r="R48" s="321" t="s">
        <v>444</v>
      </c>
      <c r="S48" s="431">
        <v>0.183</v>
      </c>
      <c r="T48" s="321"/>
      <c r="U48" s="321" t="s">
        <v>427</v>
      </c>
      <c r="V48" s="321"/>
      <c r="W48" s="70"/>
      <c r="X48" s="70">
        <f>ROUND(M48*P48*Q48*S48,-3)</f>
        <v>395000</v>
      </c>
      <c r="Y48" s="59" t="s">
        <v>25</v>
      </c>
      <c r="Z48" s="6"/>
    </row>
    <row r="49" spans="1:26" s="11" customFormat="1" ht="19.5" customHeight="1">
      <c r="A49" s="62"/>
      <c r="B49" s="47"/>
      <c r="C49" s="47"/>
      <c r="D49" s="61"/>
      <c r="E49" s="63"/>
      <c r="F49" s="63"/>
      <c r="G49" s="64"/>
      <c r="H49" s="92"/>
      <c r="I49" s="324"/>
      <c r="J49" s="74"/>
      <c r="K49" s="343"/>
      <c r="L49" s="343"/>
      <c r="M49" s="323"/>
      <c r="N49" s="323"/>
      <c r="O49" s="344"/>
      <c r="P49" s="323"/>
      <c r="Q49" s="159"/>
      <c r="R49" s="345"/>
      <c r="S49" s="89"/>
      <c r="T49" s="294"/>
      <c r="U49" s="294"/>
      <c r="V49" s="346"/>
      <c r="W49" s="324"/>
      <c r="X49" s="74"/>
      <c r="Y49" s="75"/>
      <c r="Z49" s="6"/>
    </row>
    <row r="50" spans="1:26" s="11" customFormat="1" ht="19.5" customHeight="1" thickBot="1">
      <c r="A50" s="62"/>
      <c r="B50" s="47"/>
      <c r="C50" s="47"/>
      <c r="D50" s="37" t="s">
        <v>448</v>
      </c>
      <c r="E50" s="38">
        <v>27099</v>
      </c>
      <c r="F50" s="338">
        <f>ROUND(X50/1000,0)</f>
        <v>27237</v>
      </c>
      <c r="G50" s="39">
        <f t="shared" ref="G50" si="17">F50-E50</f>
        <v>138</v>
      </c>
      <c r="H50" s="134">
        <f t="shared" ref="H50" si="18">IF(E50=0,0,G50/E50)</f>
        <v>5.092438835381379E-3</v>
      </c>
      <c r="I50" s="350" t="s">
        <v>450</v>
      </c>
      <c r="J50" s="349"/>
      <c r="K50" s="357"/>
      <c r="L50" s="357"/>
      <c r="M50" s="96"/>
      <c r="N50" s="96"/>
      <c r="O50" s="339"/>
      <c r="P50" s="96"/>
      <c r="Q50" s="340"/>
      <c r="R50" s="347"/>
      <c r="S50" s="348"/>
      <c r="T50" s="353"/>
      <c r="U50" s="353"/>
      <c r="V50" s="351" t="s">
        <v>412</v>
      </c>
      <c r="W50" s="352"/>
      <c r="X50" s="352">
        <f>X51+X69</f>
        <v>27237000</v>
      </c>
      <c r="Y50" s="388" t="s">
        <v>57</v>
      </c>
      <c r="Z50" s="6"/>
    </row>
    <row r="51" spans="1:26" s="11" customFormat="1" ht="19.5" customHeight="1">
      <c r="A51" s="62"/>
      <c r="B51" s="47"/>
      <c r="C51" s="47"/>
      <c r="D51" s="47" t="s">
        <v>449</v>
      </c>
      <c r="E51" s="49"/>
      <c r="F51" s="49"/>
      <c r="G51" s="50"/>
      <c r="H51" s="72"/>
      <c r="I51" s="362" t="s">
        <v>451</v>
      </c>
      <c r="J51" s="70"/>
      <c r="K51" s="305"/>
      <c r="L51" s="305"/>
      <c r="M51" s="321"/>
      <c r="N51" s="321"/>
      <c r="O51" s="302"/>
      <c r="P51" s="321"/>
      <c r="Q51" s="55"/>
      <c r="R51" s="304"/>
      <c r="S51" s="57"/>
      <c r="T51" s="354"/>
      <c r="U51" s="354"/>
      <c r="V51" s="323" t="s">
        <v>456</v>
      </c>
      <c r="W51" s="74"/>
      <c r="X51" s="323">
        <f>SUM(X52,X55,X60,X62)</f>
        <v>24192000</v>
      </c>
      <c r="Y51" s="75" t="s">
        <v>25</v>
      </c>
      <c r="Z51" s="6"/>
    </row>
    <row r="52" spans="1:26" s="11" customFormat="1" ht="19.5" customHeight="1">
      <c r="A52" s="62"/>
      <c r="B52" s="47"/>
      <c r="C52" s="47"/>
      <c r="D52" s="47"/>
      <c r="E52" s="49"/>
      <c r="F52" s="49"/>
      <c r="G52" s="50"/>
      <c r="H52" s="72"/>
      <c r="I52" s="73" t="s">
        <v>452</v>
      </c>
      <c r="J52" s="322"/>
      <c r="K52" s="321"/>
      <c r="L52" s="321"/>
      <c r="M52" s="321"/>
      <c r="N52" s="321"/>
      <c r="O52" s="76"/>
      <c r="P52" s="80"/>
      <c r="Q52" s="321"/>
      <c r="R52" s="321"/>
      <c r="S52" s="321"/>
      <c r="T52" s="321"/>
      <c r="U52" s="321"/>
      <c r="V52" s="323" t="s">
        <v>430</v>
      </c>
      <c r="W52" s="74"/>
      <c r="X52" s="323">
        <f>SUM(X53:X54)</f>
        <v>6683000</v>
      </c>
      <c r="Y52" s="75" t="s">
        <v>25</v>
      </c>
      <c r="Z52" s="6"/>
    </row>
    <row r="53" spans="1:26" s="11" customFormat="1" ht="19.5" customHeight="1">
      <c r="A53" s="62"/>
      <c r="B53" s="47"/>
      <c r="C53" s="47"/>
      <c r="D53" s="47"/>
      <c r="E53" s="49"/>
      <c r="F53" s="49"/>
      <c r="G53" s="50"/>
      <c r="H53" s="72"/>
      <c r="I53" s="451" t="s">
        <v>662</v>
      </c>
      <c r="J53" s="322"/>
      <c r="K53" s="321"/>
      <c r="L53" s="321"/>
      <c r="M53" s="321">
        <v>21100000</v>
      </c>
      <c r="N53" s="321" t="s">
        <v>417</v>
      </c>
      <c r="O53" s="76" t="s">
        <v>428</v>
      </c>
      <c r="P53" s="80">
        <v>0.15</v>
      </c>
      <c r="Q53" s="321"/>
      <c r="R53" s="321"/>
      <c r="S53" s="321"/>
      <c r="T53" s="321"/>
      <c r="U53" s="321" t="s">
        <v>429</v>
      </c>
      <c r="V53" s="96"/>
      <c r="W53" s="349"/>
      <c r="X53" s="96">
        <f>ROUNDDOWN(M53*P53,-3)</f>
        <v>3165000</v>
      </c>
      <c r="Y53" s="136" t="s">
        <v>417</v>
      </c>
      <c r="Z53" s="6"/>
    </row>
    <row r="54" spans="1:26" s="11" customFormat="1" ht="19.5" customHeight="1">
      <c r="A54" s="62"/>
      <c r="B54" s="47"/>
      <c r="C54" s="47"/>
      <c r="D54" s="47"/>
      <c r="E54" s="49"/>
      <c r="F54" s="49"/>
      <c r="G54" s="50"/>
      <c r="H54" s="72"/>
      <c r="I54" s="445" t="s">
        <v>663</v>
      </c>
      <c r="J54" s="322"/>
      <c r="K54" s="321"/>
      <c r="L54" s="321"/>
      <c r="M54" s="321">
        <v>23450000</v>
      </c>
      <c r="N54" s="321" t="s">
        <v>417</v>
      </c>
      <c r="O54" s="76" t="s">
        <v>428</v>
      </c>
      <c r="P54" s="80">
        <v>0.15</v>
      </c>
      <c r="Q54" s="321"/>
      <c r="R54" s="321"/>
      <c r="S54" s="321"/>
      <c r="T54" s="321"/>
      <c r="U54" s="321" t="s">
        <v>429</v>
      </c>
      <c r="V54" s="321"/>
      <c r="W54" s="70"/>
      <c r="X54" s="321">
        <f t="shared" ref="X54" si="19">ROUND(M54*P54,-3)</f>
        <v>3518000</v>
      </c>
      <c r="Y54" s="59" t="s">
        <v>417</v>
      </c>
      <c r="Z54" s="6"/>
    </row>
    <row r="55" spans="1:26" s="11" customFormat="1" ht="19.5" customHeight="1">
      <c r="A55" s="62"/>
      <c r="B55" s="47"/>
      <c r="C55" s="47"/>
      <c r="D55" s="47"/>
      <c r="E55" s="49"/>
      <c r="F55" s="49"/>
      <c r="G55" s="50"/>
      <c r="H55" s="72"/>
      <c r="I55" s="73" t="s">
        <v>453</v>
      </c>
      <c r="J55" s="322"/>
      <c r="K55" s="321"/>
      <c r="L55" s="321"/>
      <c r="M55" s="321"/>
      <c r="N55" s="321"/>
      <c r="O55" s="321"/>
      <c r="P55" s="321"/>
      <c r="Q55" s="321"/>
      <c r="R55" s="321"/>
      <c r="S55" s="321"/>
      <c r="T55" s="321"/>
      <c r="U55" s="321"/>
      <c r="V55" s="323" t="s">
        <v>430</v>
      </c>
      <c r="W55" s="74"/>
      <c r="X55" s="323">
        <f>SUM(X56:X59)</f>
        <v>15934000</v>
      </c>
      <c r="Y55" s="75" t="s">
        <v>25</v>
      </c>
      <c r="Z55" s="6"/>
    </row>
    <row r="56" spans="1:26" s="11" customFormat="1" ht="19.5" customHeight="1">
      <c r="A56" s="62"/>
      <c r="B56" s="47"/>
      <c r="C56" s="47"/>
      <c r="D56" s="47"/>
      <c r="E56" s="49"/>
      <c r="F56" s="49"/>
      <c r="G56" s="50"/>
      <c r="H56" s="72"/>
      <c r="I56" s="445" t="s">
        <v>664</v>
      </c>
      <c r="J56" s="322"/>
      <c r="K56" s="321"/>
      <c r="L56" s="321"/>
      <c r="M56" s="321">
        <v>4468800</v>
      </c>
      <c r="N56" s="321" t="s">
        <v>417</v>
      </c>
      <c r="O56" s="76" t="s">
        <v>428</v>
      </c>
      <c r="P56" s="80">
        <v>0.15</v>
      </c>
      <c r="Q56" s="321"/>
      <c r="R56" s="321"/>
      <c r="S56" s="321"/>
      <c r="T56" s="321"/>
      <c r="U56" s="321" t="s">
        <v>429</v>
      </c>
      <c r="V56" s="590"/>
      <c r="W56" s="590"/>
      <c r="X56" s="349">
        <f t="shared" ref="X56:X58" si="20">ROUND(M56*P56,-3)</f>
        <v>670000</v>
      </c>
      <c r="Y56" s="136" t="s">
        <v>423</v>
      </c>
      <c r="Z56" s="6"/>
    </row>
    <row r="57" spans="1:26" s="11" customFormat="1" ht="19.5" customHeight="1">
      <c r="A57" s="62"/>
      <c r="B57" s="47"/>
      <c r="C57" s="47"/>
      <c r="D57" s="47"/>
      <c r="E57" s="49"/>
      <c r="F57" s="49"/>
      <c r="G57" s="50"/>
      <c r="H57" s="72"/>
      <c r="I57" s="452" t="s">
        <v>665</v>
      </c>
      <c r="J57" s="322"/>
      <c r="K57" s="321"/>
      <c r="L57" s="321"/>
      <c r="M57" s="321">
        <v>1200000</v>
      </c>
      <c r="N57" s="321" t="s">
        <v>417</v>
      </c>
      <c r="O57" s="76" t="s">
        <v>428</v>
      </c>
      <c r="P57" s="80">
        <v>0.15</v>
      </c>
      <c r="Q57" s="321"/>
      <c r="R57" s="321"/>
      <c r="S57" s="321"/>
      <c r="T57" s="321"/>
      <c r="U57" s="321" t="s">
        <v>429</v>
      </c>
      <c r="V57" s="591"/>
      <c r="W57" s="591"/>
      <c r="X57" s="70">
        <f t="shared" si="20"/>
        <v>180000</v>
      </c>
      <c r="Y57" s="59" t="s">
        <v>423</v>
      </c>
      <c r="Z57" s="6"/>
    </row>
    <row r="58" spans="1:26" s="11" customFormat="1" ht="19.5" customHeight="1">
      <c r="A58" s="62"/>
      <c r="B58" s="47"/>
      <c r="C58" s="47"/>
      <c r="D58" s="47"/>
      <c r="E58" s="49"/>
      <c r="F58" s="49"/>
      <c r="G58" s="50"/>
      <c r="H58" s="72"/>
      <c r="I58" s="445" t="s">
        <v>666</v>
      </c>
      <c r="J58" s="322"/>
      <c r="K58" s="321"/>
      <c r="L58" s="321"/>
      <c r="M58" s="321">
        <v>10260400</v>
      </c>
      <c r="N58" s="321" t="s">
        <v>417</v>
      </c>
      <c r="O58" s="76" t="s">
        <v>428</v>
      </c>
      <c r="P58" s="80">
        <v>0.15</v>
      </c>
      <c r="Q58" s="321"/>
      <c r="R58" s="321"/>
      <c r="S58" s="321"/>
      <c r="T58" s="321"/>
      <c r="U58" s="321" t="s">
        <v>429</v>
      </c>
      <c r="V58" s="591"/>
      <c r="W58" s="591"/>
      <c r="X58" s="70">
        <f t="shared" si="20"/>
        <v>1539000</v>
      </c>
      <c r="Y58" s="59" t="s">
        <v>423</v>
      </c>
      <c r="Z58" s="6"/>
    </row>
    <row r="59" spans="1:26" s="11" customFormat="1" ht="19.5" customHeight="1">
      <c r="A59" s="62"/>
      <c r="B59" s="47"/>
      <c r="C59" s="47"/>
      <c r="D59" s="47"/>
      <c r="E59" s="49"/>
      <c r="F59" s="49"/>
      <c r="G59" s="50"/>
      <c r="H59" s="72"/>
      <c r="I59" s="445" t="s">
        <v>667</v>
      </c>
      <c r="J59" s="322"/>
      <c r="K59" s="321"/>
      <c r="L59" s="321"/>
      <c r="M59" s="321">
        <v>90300000</v>
      </c>
      <c r="N59" s="321" t="s">
        <v>417</v>
      </c>
      <c r="O59" s="76" t="s">
        <v>428</v>
      </c>
      <c r="P59" s="80">
        <v>0.15</v>
      </c>
      <c r="Q59" s="321"/>
      <c r="R59" s="321"/>
      <c r="S59" s="321"/>
      <c r="T59" s="321"/>
      <c r="U59" s="321" t="s">
        <v>429</v>
      </c>
      <c r="V59" s="591"/>
      <c r="W59" s="591"/>
      <c r="X59" s="70">
        <f t="shared" ref="X59" si="21">ROUND(M59*P59,-3)</f>
        <v>13545000</v>
      </c>
      <c r="Y59" s="59" t="s">
        <v>423</v>
      </c>
      <c r="Z59" s="6"/>
    </row>
    <row r="60" spans="1:26" s="11" customFormat="1" ht="19.5" customHeight="1">
      <c r="A60" s="62"/>
      <c r="B60" s="47"/>
      <c r="C60" s="47"/>
      <c r="D60" s="47"/>
      <c r="E60" s="49"/>
      <c r="F60" s="49"/>
      <c r="G60" s="50"/>
      <c r="H60" s="72"/>
      <c r="I60" s="73" t="s">
        <v>454</v>
      </c>
      <c r="J60" s="322"/>
      <c r="K60" s="321"/>
      <c r="L60" s="321"/>
      <c r="M60" s="321"/>
      <c r="N60" s="321"/>
      <c r="O60" s="321"/>
      <c r="P60" s="321"/>
      <c r="Q60" s="321"/>
      <c r="R60" s="321"/>
      <c r="S60" s="321"/>
      <c r="T60" s="321"/>
      <c r="U60" s="321"/>
      <c r="V60" s="323" t="s">
        <v>430</v>
      </c>
      <c r="W60" s="74"/>
      <c r="X60" s="323">
        <f>X61</f>
        <v>756000</v>
      </c>
      <c r="Y60" s="75" t="s">
        <v>25</v>
      </c>
      <c r="Z60" s="6"/>
    </row>
    <row r="61" spans="1:26" s="11" customFormat="1" ht="19.5" customHeight="1">
      <c r="A61" s="62"/>
      <c r="B61" s="47"/>
      <c r="C61" s="47"/>
      <c r="D61" s="47"/>
      <c r="E61" s="49"/>
      <c r="F61" s="49"/>
      <c r="G61" s="50"/>
      <c r="H61" s="72"/>
      <c r="I61" s="445" t="s">
        <v>668</v>
      </c>
      <c r="J61" s="322"/>
      <c r="K61" s="321"/>
      <c r="L61" s="321"/>
      <c r="M61" s="321">
        <f>SUM(M52:M58)</f>
        <v>60479200</v>
      </c>
      <c r="N61" s="55" t="s">
        <v>423</v>
      </c>
      <c r="O61" s="354" t="s">
        <v>425</v>
      </c>
      <c r="P61" s="79">
        <v>12</v>
      </c>
      <c r="Q61" s="302" t="s">
        <v>426</v>
      </c>
      <c r="R61" s="76" t="s">
        <v>428</v>
      </c>
      <c r="S61" s="80">
        <v>0.15</v>
      </c>
      <c r="T61" s="321"/>
      <c r="U61" s="321" t="s">
        <v>427</v>
      </c>
      <c r="V61" s="96"/>
      <c r="W61" s="96"/>
      <c r="X61" s="349">
        <f>ROUNDUP(M61/P61*S61,-3)</f>
        <v>756000</v>
      </c>
      <c r="Y61" s="390" t="s">
        <v>417</v>
      </c>
      <c r="Z61" s="6"/>
    </row>
    <row r="62" spans="1:26" s="11" customFormat="1" ht="19.5" customHeight="1">
      <c r="A62" s="62"/>
      <c r="B62" s="47"/>
      <c r="C62" s="47"/>
      <c r="D62" s="47"/>
      <c r="E62" s="49"/>
      <c r="F62" s="49"/>
      <c r="G62" s="50"/>
      <c r="H62" s="72"/>
      <c r="I62" s="73" t="s">
        <v>455</v>
      </c>
      <c r="J62" s="322"/>
      <c r="K62" s="321"/>
      <c r="L62" s="321"/>
      <c r="M62" s="321"/>
      <c r="N62" s="55"/>
      <c r="O62" s="321"/>
      <c r="P62" s="321"/>
      <c r="Q62" s="321"/>
      <c r="R62" s="321"/>
      <c r="S62" s="321"/>
      <c r="T62" s="321"/>
      <c r="U62" s="321"/>
      <c r="V62" s="323" t="s">
        <v>430</v>
      </c>
      <c r="W62" s="74"/>
      <c r="X62" s="323">
        <f>SUM(X63:X67)</f>
        <v>819000</v>
      </c>
      <c r="Y62" s="75" t="s">
        <v>25</v>
      </c>
      <c r="Z62" s="6"/>
    </row>
    <row r="63" spans="1:26" s="11" customFormat="1" ht="19.5" customHeight="1">
      <c r="A63" s="62"/>
      <c r="B63" s="47"/>
      <c r="C63" s="47"/>
      <c r="D63" s="47"/>
      <c r="E63" s="49"/>
      <c r="F63" s="49"/>
      <c r="G63" s="50"/>
      <c r="H63" s="72"/>
      <c r="I63" s="445" t="s">
        <v>669</v>
      </c>
      <c r="J63" s="322"/>
      <c r="K63" s="321"/>
      <c r="L63" s="321"/>
      <c r="M63" s="321">
        <f>M61</f>
        <v>60479200</v>
      </c>
      <c r="N63" s="55" t="s">
        <v>423</v>
      </c>
      <c r="O63" s="76" t="s">
        <v>428</v>
      </c>
      <c r="P63" s="355">
        <v>0.09</v>
      </c>
      <c r="Q63" s="354">
        <v>2</v>
      </c>
      <c r="R63" s="76" t="s">
        <v>428</v>
      </c>
      <c r="S63" s="80">
        <v>0.15</v>
      </c>
      <c r="T63" s="78"/>
      <c r="U63" s="354" t="s">
        <v>427</v>
      </c>
      <c r="V63" s="321"/>
      <c r="W63" s="70"/>
      <c r="X63" s="70">
        <f>ROUND(M63*P63/Q63*S63,-3)</f>
        <v>408000</v>
      </c>
      <c r="Y63" s="59" t="s">
        <v>423</v>
      </c>
      <c r="Z63" s="6"/>
    </row>
    <row r="64" spans="1:26" s="11" customFormat="1" ht="19.5" customHeight="1">
      <c r="A64" s="62"/>
      <c r="B64" s="47"/>
      <c r="C64" s="47"/>
      <c r="D64" s="47"/>
      <c r="E64" s="49"/>
      <c r="F64" s="49"/>
      <c r="G64" s="50"/>
      <c r="H64" s="72"/>
      <c r="I64" s="445" t="s">
        <v>670</v>
      </c>
      <c r="J64" s="322"/>
      <c r="K64" s="321"/>
      <c r="L64" s="321"/>
      <c r="M64" s="321">
        <f>M61</f>
        <v>60479200</v>
      </c>
      <c r="N64" s="55" t="s">
        <v>423</v>
      </c>
      <c r="O64" s="76" t="s">
        <v>428</v>
      </c>
      <c r="P64" s="356">
        <v>5.8900000000000001E-2</v>
      </c>
      <c r="Q64" s="354">
        <v>2</v>
      </c>
      <c r="R64" s="76" t="s">
        <v>428</v>
      </c>
      <c r="S64" s="80">
        <v>0.15</v>
      </c>
      <c r="T64" s="78"/>
      <c r="U64" s="354" t="s">
        <v>427</v>
      </c>
      <c r="V64" s="321"/>
      <c r="W64" s="70"/>
      <c r="X64" s="70">
        <f>ROUNDUP(M64*P64/Q64*S64,-3)</f>
        <v>268000</v>
      </c>
      <c r="Y64" s="59" t="s">
        <v>423</v>
      </c>
      <c r="Z64" s="6"/>
    </row>
    <row r="65" spans="1:26" s="11" customFormat="1" ht="19.5" customHeight="1">
      <c r="A65" s="62"/>
      <c r="B65" s="47"/>
      <c r="C65" s="47"/>
      <c r="D65" s="47"/>
      <c r="E65" s="49"/>
      <c r="F65" s="49"/>
      <c r="G65" s="50"/>
      <c r="H65" s="72"/>
      <c r="I65" s="445" t="s">
        <v>671</v>
      </c>
      <c r="J65" s="322"/>
      <c r="K65" s="321"/>
      <c r="L65" s="321"/>
      <c r="M65" s="321">
        <f>X64</f>
        <v>268000</v>
      </c>
      <c r="N65" s="55" t="s">
        <v>423</v>
      </c>
      <c r="O65" s="76" t="s">
        <v>428</v>
      </c>
      <c r="P65" s="82">
        <v>6.5500000000000003E-2</v>
      </c>
      <c r="Q65" s="83"/>
      <c r="R65" s="76"/>
      <c r="S65" s="80"/>
      <c r="T65" s="85"/>
      <c r="U65" s="354" t="s">
        <v>427</v>
      </c>
      <c r="V65" s="321"/>
      <c r="W65" s="70"/>
      <c r="X65" s="70">
        <f>ROUNDUP(M65*P65,-3)</f>
        <v>18000</v>
      </c>
      <c r="Y65" s="59" t="s">
        <v>423</v>
      </c>
      <c r="Z65" s="6"/>
    </row>
    <row r="66" spans="1:26" s="11" customFormat="1" ht="19.5" customHeight="1">
      <c r="A66" s="62"/>
      <c r="B66" s="47"/>
      <c r="C66" s="47"/>
      <c r="D66" s="47"/>
      <c r="E66" s="49"/>
      <c r="F66" s="49"/>
      <c r="G66" s="50"/>
      <c r="H66" s="72"/>
      <c r="I66" s="445" t="s">
        <v>672</v>
      </c>
      <c r="J66" s="322"/>
      <c r="K66" s="321"/>
      <c r="L66" s="321"/>
      <c r="M66" s="321">
        <f>M61</f>
        <v>60479200</v>
      </c>
      <c r="N66" s="55" t="s">
        <v>423</v>
      </c>
      <c r="O66" s="76" t="s">
        <v>428</v>
      </c>
      <c r="P66" s="82">
        <v>8.0000000000000002E-3</v>
      </c>
      <c r="Q66" s="76"/>
      <c r="R66" s="76" t="s">
        <v>428</v>
      </c>
      <c r="S66" s="80">
        <v>0.15</v>
      </c>
      <c r="T66" s="78"/>
      <c r="U66" s="354" t="s">
        <v>427</v>
      </c>
      <c r="V66" s="321"/>
      <c r="W66" s="70"/>
      <c r="X66" s="70">
        <f>ROUND(M66*P66*S66,-3)</f>
        <v>73000</v>
      </c>
      <c r="Y66" s="59" t="s">
        <v>423</v>
      </c>
      <c r="Z66" s="6"/>
    </row>
    <row r="67" spans="1:26" s="11" customFormat="1" ht="19.5" customHeight="1">
      <c r="A67" s="62"/>
      <c r="B67" s="47"/>
      <c r="C67" s="47"/>
      <c r="D67" s="47"/>
      <c r="E67" s="49"/>
      <c r="F67" s="49"/>
      <c r="G67" s="50"/>
      <c r="H67" s="72"/>
      <c r="I67" s="445" t="s">
        <v>673</v>
      </c>
      <c r="J67" s="322"/>
      <c r="K67" s="321"/>
      <c r="L67" s="321"/>
      <c r="M67" s="321">
        <f>M61</f>
        <v>60479200</v>
      </c>
      <c r="N67" s="55" t="s">
        <v>423</v>
      </c>
      <c r="O67" s="76" t="s">
        <v>428</v>
      </c>
      <c r="P67" s="410">
        <v>5.7400000000000003E-3</v>
      </c>
      <c r="Q67" s="76"/>
      <c r="R67" s="76" t="s">
        <v>428</v>
      </c>
      <c r="S67" s="80">
        <v>0.15</v>
      </c>
      <c r="T67" s="78"/>
      <c r="U67" s="354" t="s">
        <v>427</v>
      </c>
      <c r="V67" s="321"/>
      <c r="W67" s="70"/>
      <c r="X67" s="70">
        <f t="shared" ref="X67" si="22">ROUND(M67*P67*S67,-3)</f>
        <v>52000</v>
      </c>
      <c r="Y67" s="59" t="s">
        <v>423</v>
      </c>
      <c r="Z67" s="6"/>
    </row>
    <row r="68" spans="1:26" s="11" customFormat="1" ht="19.5" customHeight="1">
      <c r="A68" s="62"/>
      <c r="B68" s="47"/>
      <c r="C68" s="47"/>
      <c r="D68" s="47"/>
      <c r="E68" s="49"/>
      <c r="F68" s="49"/>
      <c r="G68" s="50"/>
      <c r="H68" s="72"/>
      <c r="I68" s="69"/>
      <c r="J68" s="70"/>
      <c r="K68" s="305"/>
      <c r="L68" s="305"/>
      <c r="M68" s="321"/>
      <c r="N68" s="321"/>
      <c r="O68" s="302"/>
      <c r="P68" s="321"/>
      <c r="Q68" s="55"/>
      <c r="R68" s="304"/>
      <c r="S68" s="57"/>
      <c r="T68" s="354"/>
      <c r="U68" s="354"/>
      <c r="V68" s="80"/>
      <c r="W68" s="322"/>
      <c r="X68" s="70"/>
      <c r="Y68" s="59"/>
      <c r="Z68" s="6"/>
    </row>
    <row r="69" spans="1:26" s="11" customFormat="1" ht="19.5" customHeight="1">
      <c r="A69" s="62"/>
      <c r="B69" s="47"/>
      <c r="C69" s="47"/>
      <c r="D69" s="47"/>
      <c r="E69" s="49"/>
      <c r="F69" s="49"/>
      <c r="G69" s="50"/>
      <c r="H69" s="72"/>
      <c r="I69" s="73" t="s">
        <v>457</v>
      </c>
      <c r="J69" s="70"/>
      <c r="K69" s="305"/>
      <c r="L69" s="305"/>
      <c r="M69" s="321"/>
      <c r="N69" s="321"/>
      <c r="O69" s="302"/>
      <c r="P69" s="321"/>
      <c r="Q69" s="55"/>
      <c r="R69" s="304"/>
      <c r="S69" s="57"/>
      <c r="T69" s="354"/>
      <c r="U69" s="354"/>
      <c r="V69" s="323" t="s">
        <v>456</v>
      </c>
      <c r="W69" s="74"/>
      <c r="X69" s="323">
        <f>SUM(X70:X73)</f>
        <v>3045000</v>
      </c>
      <c r="Y69" s="75" t="s">
        <v>25</v>
      </c>
      <c r="Z69" s="6"/>
    </row>
    <row r="70" spans="1:26" s="11" customFormat="1" ht="19.5" customHeight="1">
      <c r="A70" s="62"/>
      <c r="B70" s="47"/>
      <c r="C70" s="47"/>
      <c r="D70" s="47"/>
      <c r="E70" s="49"/>
      <c r="F70" s="49"/>
      <c r="G70" s="50"/>
      <c r="H70" s="72"/>
      <c r="I70" s="69" t="s">
        <v>458</v>
      </c>
      <c r="J70" s="322"/>
      <c r="K70" s="321"/>
      <c r="L70" s="321"/>
      <c r="M70" s="363">
        <v>300000</v>
      </c>
      <c r="N70" s="71" t="s">
        <v>423</v>
      </c>
      <c r="O70" s="71" t="s">
        <v>428</v>
      </c>
      <c r="P70" s="411">
        <v>1</v>
      </c>
      <c r="Q70" s="360">
        <v>12</v>
      </c>
      <c r="R70" s="71" t="s">
        <v>426</v>
      </c>
      <c r="S70" s="361">
        <v>0.15</v>
      </c>
      <c r="T70" s="71"/>
      <c r="U70" s="71" t="s">
        <v>427</v>
      </c>
      <c r="V70" s="321"/>
      <c r="W70" s="70"/>
      <c r="X70" s="321">
        <f>M70*P70*Q70*S70</f>
        <v>540000</v>
      </c>
      <c r="Y70" s="59" t="s">
        <v>423</v>
      </c>
      <c r="Z70" s="6"/>
    </row>
    <row r="71" spans="1:26" s="11" customFormat="1" ht="19.5" customHeight="1">
      <c r="A71" s="62"/>
      <c r="B71" s="47"/>
      <c r="C71" s="47"/>
      <c r="D71" s="47"/>
      <c r="E71" s="49"/>
      <c r="F71" s="49"/>
      <c r="G71" s="50"/>
      <c r="H71" s="72"/>
      <c r="I71" s="445" t="s">
        <v>641</v>
      </c>
      <c r="J71" s="322"/>
      <c r="K71" s="321"/>
      <c r="L71" s="321"/>
      <c r="M71" s="363">
        <v>5000000</v>
      </c>
      <c r="N71" s="71" t="s">
        <v>423</v>
      </c>
      <c r="O71" s="71" t="s">
        <v>428</v>
      </c>
      <c r="P71" s="80">
        <v>0.15</v>
      </c>
      <c r="Q71" s="360"/>
      <c r="R71" s="71"/>
      <c r="S71" s="361"/>
      <c r="T71" s="71"/>
      <c r="U71" s="71" t="s">
        <v>429</v>
      </c>
      <c r="V71" s="321"/>
      <c r="W71" s="70"/>
      <c r="X71" s="321">
        <f>M71*P71</f>
        <v>750000</v>
      </c>
      <c r="Y71" s="59" t="s">
        <v>423</v>
      </c>
      <c r="Z71" s="6"/>
    </row>
    <row r="72" spans="1:26" s="11" customFormat="1" ht="19.5" customHeight="1">
      <c r="A72" s="62"/>
      <c r="B72" s="47"/>
      <c r="C72" s="47"/>
      <c r="D72" s="47"/>
      <c r="E72" s="49"/>
      <c r="F72" s="49"/>
      <c r="G72" s="50"/>
      <c r="H72" s="72"/>
      <c r="I72" s="445" t="s">
        <v>747</v>
      </c>
      <c r="J72" s="322"/>
      <c r="K72" s="321"/>
      <c r="L72" s="321"/>
      <c r="M72" s="363">
        <v>70000</v>
      </c>
      <c r="N72" s="71" t="s">
        <v>423</v>
      </c>
      <c r="O72" s="71" t="s">
        <v>428</v>
      </c>
      <c r="P72" s="364">
        <v>1</v>
      </c>
      <c r="Q72" s="360">
        <v>90</v>
      </c>
      <c r="R72" s="71" t="s">
        <v>441</v>
      </c>
      <c r="S72" s="361">
        <v>0.15</v>
      </c>
      <c r="T72" s="71"/>
      <c r="U72" s="71" t="s">
        <v>427</v>
      </c>
      <c r="V72" s="321"/>
      <c r="W72" s="70"/>
      <c r="X72" s="321">
        <f t="shared" ref="X72:X73" si="23">M72*P72*Q72*S72</f>
        <v>945000</v>
      </c>
      <c r="Y72" s="59" t="s">
        <v>423</v>
      </c>
      <c r="Z72" s="6"/>
    </row>
    <row r="73" spans="1:26" s="11" customFormat="1" ht="19.5" customHeight="1">
      <c r="A73" s="62"/>
      <c r="B73" s="47"/>
      <c r="C73" s="47"/>
      <c r="D73" s="47"/>
      <c r="E73" s="49"/>
      <c r="F73" s="49"/>
      <c r="G73" s="50"/>
      <c r="H73" s="72"/>
      <c r="I73" s="69" t="s">
        <v>459</v>
      </c>
      <c r="J73" s="322"/>
      <c r="K73" s="321"/>
      <c r="L73" s="321"/>
      <c r="M73" s="363">
        <v>45000</v>
      </c>
      <c r="N73" s="71" t="s">
        <v>423</v>
      </c>
      <c r="O73" s="71" t="s">
        <v>428</v>
      </c>
      <c r="P73" s="364">
        <v>1</v>
      </c>
      <c r="Q73" s="360">
        <v>120</v>
      </c>
      <c r="R73" s="71" t="s">
        <v>441</v>
      </c>
      <c r="S73" s="361">
        <v>0.15</v>
      </c>
      <c r="T73" s="71"/>
      <c r="U73" s="71" t="s">
        <v>427</v>
      </c>
      <c r="V73" s="321"/>
      <c r="W73" s="70"/>
      <c r="X73" s="321">
        <f t="shared" si="23"/>
        <v>810000</v>
      </c>
      <c r="Y73" s="59" t="s">
        <v>423</v>
      </c>
      <c r="Z73" s="6"/>
    </row>
    <row r="74" spans="1:26" s="11" customFormat="1" ht="19.5" customHeight="1">
      <c r="A74" s="62"/>
      <c r="B74" s="47"/>
      <c r="C74" s="47"/>
      <c r="D74" s="61"/>
      <c r="E74" s="63"/>
      <c r="F74" s="63"/>
      <c r="G74" s="64"/>
      <c r="H74" s="92"/>
      <c r="I74" s="324"/>
      <c r="J74" s="74"/>
      <c r="K74" s="343"/>
      <c r="L74" s="343"/>
      <c r="M74" s="323"/>
      <c r="N74" s="323"/>
      <c r="O74" s="344"/>
      <c r="P74" s="323"/>
      <c r="Q74" s="159"/>
      <c r="R74" s="345"/>
      <c r="S74" s="323"/>
      <c r="T74" s="294"/>
      <c r="U74" s="294"/>
      <c r="V74" s="346"/>
      <c r="W74" s="324"/>
      <c r="X74" s="74"/>
      <c r="Y74" s="75"/>
      <c r="Z74" s="6"/>
    </row>
    <row r="75" spans="1:26" s="11" customFormat="1" ht="19.5" customHeight="1">
      <c r="A75" s="62"/>
      <c r="B75" s="47"/>
      <c r="C75" s="47"/>
      <c r="D75" s="47" t="s">
        <v>461</v>
      </c>
      <c r="E75" s="49">
        <v>562</v>
      </c>
      <c r="F75" s="338">
        <f>ROUND(X75/1000,0)</f>
        <v>562</v>
      </c>
      <c r="G75" s="50">
        <f t="shared" ref="G75" si="24">F75-E75</f>
        <v>0</v>
      </c>
      <c r="H75" s="72">
        <f t="shared" ref="H75" si="25">IF(E75=0,0,G75/E75)</f>
        <v>0</v>
      </c>
      <c r="I75" s="73" t="s">
        <v>465</v>
      </c>
      <c r="J75" s="70"/>
      <c r="K75" s="305"/>
      <c r="L75" s="305"/>
      <c r="M75" s="321"/>
      <c r="N75" s="321"/>
      <c r="O75" s="302"/>
      <c r="P75" s="321"/>
      <c r="Q75" s="55"/>
      <c r="R75" s="304"/>
      <c r="S75" s="57"/>
      <c r="T75" s="354"/>
      <c r="U75" s="354"/>
      <c r="V75" s="323" t="s">
        <v>463</v>
      </c>
      <c r="W75" s="74"/>
      <c r="X75" s="323">
        <f>SUM(X76:X76)</f>
        <v>562000</v>
      </c>
      <c r="Y75" s="75" t="s">
        <v>25</v>
      </c>
      <c r="Z75" s="6"/>
    </row>
    <row r="76" spans="1:26" s="11" customFormat="1" ht="19.5" customHeight="1">
      <c r="A76" s="62"/>
      <c r="B76" s="47"/>
      <c r="C76" s="47"/>
      <c r="D76" s="47" t="s">
        <v>462</v>
      </c>
      <c r="E76" s="49"/>
      <c r="F76" s="49"/>
      <c r="G76" s="50"/>
      <c r="H76" s="72"/>
      <c r="I76" s="322" t="s">
        <v>464</v>
      </c>
      <c r="J76" s="70"/>
      <c r="K76" s="305"/>
      <c r="L76" s="305"/>
      <c r="M76" s="363">
        <v>5616000</v>
      </c>
      <c r="N76" s="71" t="s">
        <v>423</v>
      </c>
      <c r="O76" s="71" t="s">
        <v>428</v>
      </c>
      <c r="P76" s="80">
        <v>0.1</v>
      </c>
      <c r="Q76" s="360"/>
      <c r="R76" s="71"/>
      <c r="S76" s="361"/>
      <c r="T76" s="71"/>
      <c r="U76" s="71" t="s">
        <v>429</v>
      </c>
      <c r="V76" s="321"/>
      <c r="W76" s="70"/>
      <c r="X76" s="321">
        <f>ROUND(M76*P76,-3)</f>
        <v>562000</v>
      </c>
      <c r="Y76" s="59" t="s">
        <v>423</v>
      </c>
      <c r="Z76" s="6"/>
    </row>
    <row r="77" spans="1:26" s="11" customFormat="1" ht="19.5" customHeight="1">
      <c r="A77" s="62"/>
      <c r="B77" s="90"/>
      <c r="C77" s="91"/>
      <c r="D77" s="61"/>
      <c r="E77" s="63"/>
      <c r="F77" s="63"/>
      <c r="G77" s="64"/>
      <c r="H77" s="92"/>
      <c r="I77" s="324"/>
      <c r="J77" s="323"/>
      <c r="K77" s="93"/>
      <c r="L77" s="93"/>
      <c r="M77" s="323"/>
      <c r="N77" s="323"/>
      <c r="O77" s="324"/>
      <c r="P77" s="323"/>
      <c r="Q77" s="323"/>
      <c r="R77" s="324"/>
      <c r="S77" s="324"/>
      <c r="T77" s="324"/>
      <c r="U77" s="324"/>
      <c r="V77" s="324"/>
      <c r="W77" s="324"/>
      <c r="X77" s="323"/>
      <c r="Y77" s="75"/>
      <c r="Z77" s="6"/>
    </row>
    <row r="78" spans="1:26" ht="21" customHeight="1">
      <c r="A78" s="46"/>
      <c r="B78" s="47"/>
      <c r="C78" s="47" t="s">
        <v>363</v>
      </c>
      <c r="D78" s="384" t="s">
        <v>281</v>
      </c>
      <c r="E78" s="314">
        <f>SUM(E79:E142)</f>
        <v>713549</v>
      </c>
      <c r="F78" s="314">
        <f>SUM(F79:F142)</f>
        <v>733048</v>
      </c>
      <c r="G78" s="315">
        <f t="shared" ref="G78:G79" si="26">F78-E78</f>
        <v>19499</v>
      </c>
      <c r="H78" s="316">
        <f t="shared" ref="H78:H79" si="27">IF(E78=0,0,G78/E78)</f>
        <v>2.7326784845890052E-2</v>
      </c>
      <c r="I78" s="298" t="s">
        <v>364</v>
      </c>
      <c r="J78" s="299"/>
      <c r="K78" s="300"/>
      <c r="L78" s="300"/>
      <c r="M78" s="300"/>
      <c r="N78" s="300"/>
      <c r="O78" s="300"/>
      <c r="P78" s="301"/>
      <c r="Q78" s="301"/>
      <c r="R78" s="301"/>
      <c r="S78" s="301"/>
      <c r="T78" s="301"/>
      <c r="U78" s="301"/>
      <c r="V78" s="335" t="s">
        <v>75</v>
      </c>
      <c r="W78" s="336"/>
      <c r="X78" s="337">
        <f>SUM(X79,X84,X99,X103,X111,X136)</f>
        <v>733048000</v>
      </c>
      <c r="Y78" s="387" t="s">
        <v>57</v>
      </c>
    </row>
    <row r="79" spans="1:26" ht="21" customHeight="1">
      <c r="A79" s="46"/>
      <c r="B79" s="47"/>
      <c r="C79" s="47" t="s">
        <v>414</v>
      </c>
      <c r="D79" s="37" t="s">
        <v>413</v>
      </c>
      <c r="E79" s="338">
        <v>5664</v>
      </c>
      <c r="F79" s="338">
        <f>ROUND(X79/1000,0)</f>
        <v>6723</v>
      </c>
      <c r="G79" s="403">
        <f t="shared" si="26"/>
        <v>1059</v>
      </c>
      <c r="H79" s="262">
        <f t="shared" si="27"/>
        <v>0.18697033898305085</v>
      </c>
      <c r="I79" s="196" t="s">
        <v>411</v>
      </c>
      <c r="J79" s="216"/>
      <c r="K79" s="96"/>
      <c r="L79" s="96"/>
      <c r="M79" s="96"/>
      <c r="N79" s="353"/>
      <c r="O79" s="339"/>
      <c r="P79" s="96"/>
      <c r="Q79" s="340"/>
      <c r="R79" s="341"/>
      <c r="S79" s="342"/>
      <c r="T79" s="342"/>
      <c r="U79" s="353"/>
      <c r="V79" s="320" t="s">
        <v>412</v>
      </c>
      <c r="W79" s="198"/>
      <c r="X79" s="198">
        <f>SUM(X80:X82)</f>
        <v>6723000</v>
      </c>
      <c r="Y79" s="199" t="s">
        <v>57</v>
      </c>
    </row>
    <row r="80" spans="1:26" ht="21" customHeight="1">
      <c r="A80" s="46"/>
      <c r="B80" s="47"/>
      <c r="C80" s="47"/>
      <c r="D80" s="47"/>
      <c r="E80" s="49"/>
      <c r="F80" s="49"/>
      <c r="G80" s="50"/>
      <c r="H80" s="72"/>
      <c r="I80" s="445" t="s">
        <v>674</v>
      </c>
      <c r="J80" s="322"/>
      <c r="K80" s="321"/>
      <c r="L80" s="321"/>
      <c r="M80" s="444">
        <v>200296</v>
      </c>
      <c r="N80" s="354" t="s">
        <v>25</v>
      </c>
      <c r="O80" s="302" t="s">
        <v>26</v>
      </c>
      <c r="P80" s="457">
        <v>27</v>
      </c>
      <c r="Q80" s="55" t="s">
        <v>264</v>
      </c>
      <c r="R80" s="303" t="s">
        <v>26</v>
      </c>
      <c r="S80" s="306">
        <v>12</v>
      </c>
      <c r="T80" s="306" t="s">
        <v>29</v>
      </c>
      <c r="U80" s="354" t="s">
        <v>26</v>
      </c>
      <c r="V80" s="358">
        <v>0.1</v>
      </c>
      <c r="W80" s="70" t="s">
        <v>27</v>
      </c>
      <c r="X80" s="70">
        <f>ROUND(M80*P80*S80*V80,-3)</f>
        <v>6490000</v>
      </c>
      <c r="Y80" s="59" t="s">
        <v>356</v>
      </c>
    </row>
    <row r="81" spans="1:25" ht="21" customHeight="1">
      <c r="A81" s="46"/>
      <c r="B81" s="47"/>
      <c r="C81" s="47"/>
      <c r="D81" s="47"/>
      <c r="E81" s="49"/>
      <c r="F81" s="49"/>
      <c r="G81" s="50"/>
      <c r="H81" s="72"/>
      <c r="I81" s="445" t="s">
        <v>360</v>
      </c>
      <c r="J81" s="322"/>
      <c r="K81" s="321"/>
      <c r="L81" s="321"/>
      <c r="M81" s="444">
        <v>28114</v>
      </c>
      <c r="N81" s="354" t="s">
        <v>25</v>
      </c>
      <c r="O81" s="302" t="s">
        <v>26</v>
      </c>
      <c r="P81" s="457">
        <v>27</v>
      </c>
      <c r="Q81" s="302" t="s">
        <v>264</v>
      </c>
      <c r="R81" s="304" t="s">
        <v>26</v>
      </c>
      <c r="S81" s="306">
        <v>1</v>
      </c>
      <c r="T81" s="306" t="s">
        <v>359</v>
      </c>
      <c r="U81" s="354" t="s">
        <v>26</v>
      </c>
      <c r="V81" s="358">
        <v>0.1</v>
      </c>
      <c r="W81" s="70" t="s">
        <v>27</v>
      </c>
      <c r="X81" s="70">
        <f>ROUND(M81*P81*S81*V81,-3)</f>
        <v>76000</v>
      </c>
      <c r="Y81" s="59" t="s">
        <v>356</v>
      </c>
    </row>
    <row r="82" spans="1:25" ht="21" customHeight="1">
      <c r="A82" s="46"/>
      <c r="B82" s="47"/>
      <c r="C82" s="47"/>
      <c r="D82" s="47"/>
      <c r="E82" s="49"/>
      <c r="F82" s="49"/>
      <c r="G82" s="50"/>
      <c r="H82" s="72"/>
      <c r="I82" s="445" t="s">
        <v>361</v>
      </c>
      <c r="J82" s="70"/>
      <c r="K82" s="305"/>
      <c r="L82" s="305"/>
      <c r="M82" s="444">
        <v>29000</v>
      </c>
      <c r="N82" s="321" t="s">
        <v>25</v>
      </c>
      <c r="O82" s="302" t="s">
        <v>26</v>
      </c>
      <c r="P82" s="457">
        <v>27</v>
      </c>
      <c r="Q82" s="55" t="s">
        <v>264</v>
      </c>
      <c r="R82" s="304" t="s">
        <v>26</v>
      </c>
      <c r="S82" s="57">
        <v>2</v>
      </c>
      <c r="T82" s="354" t="s">
        <v>359</v>
      </c>
      <c r="U82" s="354" t="s">
        <v>26</v>
      </c>
      <c r="V82" s="358">
        <v>0.1</v>
      </c>
      <c r="W82" s="322" t="s">
        <v>27</v>
      </c>
      <c r="X82" s="70">
        <f>ROUNDUP(M82*P82*S82*V82,-3)</f>
        <v>157000</v>
      </c>
      <c r="Y82" s="59" t="s">
        <v>362</v>
      </c>
    </row>
    <row r="83" spans="1:25" ht="21" customHeight="1">
      <c r="A83" s="46"/>
      <c r="B83" s="47"/>
      <c r="C83" s="47"/>
      <c r="D83" s="61"/>
      <c r="E83" s="63"/>
      <c r="F83" s="63"/>
      <c r="G83" s="64"/>
      <c r="H83" s="92"/>
      <c r="I83" s="73"/>
      <c r="J83" s="74"/>
      <c r="K83" s="343"/>
      <c r="L83" s="343"/>
      <c r="M83" s="323"/>
      <c r="N83" s="323"/>
      <c r="O83" s="344"/>
      <c r="P83" s="323"/>
      <c r="Q83" s="159"/>
      <c r="R83" s="345"/>
      <c r="S83" s="89"/>
      <c r="T83" s="294"/>
      <c r="U83" s="294"/>
      <c r="V83" s="346"/>
      <c r="W83" s="324"/>
      <c r="X83" s="74"/>
      <c r="Y83" s="75"/>
    </row>
    <row r="84" spans="1:25" ht="21" customHeight="1" thickBot="1">
      <c r="A84" s="46"/>
      <c r="B84" s="47"/>
      <c r="C84" s="47"/>
      <c r="D84" s="37" t="s">
        <v>422</v>
      </c>
      <c r="E84" s="38">
        <v>491176</v>
      </c>
      <c r="F84" s="338">
        <f>ROUND(X84/1000,0)</f>
        <v>509048</v>
      </c>
      <c r="G84" s="39">
        <f t="shared" ref="G84" si="28">F84-E84</f>
        <v>17872</v>
      </c>
      <c r="H84" s="134">
        <f t="shared" ref="H84" si="29">IF(E84=0,0,G84/E84)</f>
        <v>3.6386142645406128E-2</v>
      </c>
      <c r="I84" s="350" t="s">
        <v>431</v>
      </c>
      <c r="J84" s="349"/>
      <c r="K84" s="357"/>
      <c r="L84" s="357"/>
      <c r="M84" s="96"/>
      <c r="N84" s="96"/>
      <c r="O84" s="339"/>
      <c r="P84" s="96"/>
      <c r="Q84" s="340"/>
      <c r="R84" s="347"/>
      <c r="S84" s="348"/>
      <c r="T84" s="353"/>
      <c r="U84" s="353"/>
      <c r="V84" s="351" t="s">
        <v>412</v>
      </c>
      <c r="W84" s="352"/>
      <c r="X84" s="352">
        <f>SUM(X85,X86,X90,X92)</f>
        <v>509048000</v>
      </c>
      <c r="Y84" s="388" t="s">
        <v>57</v>
      </c>
    </row>
    <row r="85" spans="1:25" ht="21" customHeight="1">
      <c r="A85" s="46"/>
      <c r="B85" s="47"/>
      <c r="C85" s="47"/>
      <c r="D85" s="47"/>
      <c r="E85" s="49"/>
      <c r="F85" s="49"/>
      <c r="G85" s="50"/>
      <c r="H85" s="72"/>
      <c r="I85" s="449" t="s">
        <v>650</v>
      </c>
      <c r="J85" s="322"/>
      <c r="K85" s="321"/>
      <c r="L85" s="321"/>
      <c r="M85" s="405">
        <v>753251000</v>
      </c>
      <c r="N85" s="321" t="s">
        <v>417</v>
      </c>
      <c r="O85" s="76" t="s">
        <v>428</v>
      </c>
      <c r="P85" s="430">
        <v>0.42699999999999999</v>
      </c>
      <c r="Q85" s="321"/>
      <c r="R85" s="321"/>
      <c r="S85" s="321"/>
      <c r="T85" s="321"/>
      <c r="U85" s="321" t="s">
        <v>429</v>
      </c>
      <c r="V85" s="323" t="s">
        <v>430</v>
      </c>
      <c r="W85" s="74"/>
      <c r="X85" s="323">
        <f>ROUND(M85*P85,-3)</f>
        <v>321638000</v>
      </c>
      <c r="Y85" s="75" t="s">
        <v>25</v>
      </c>
    </row>
    <row r="86" spans="1:25" ht="21" customHeight="1">
      <c r="A86" s="46"/>
      <c r="B86" s="47"/>
      <c r="C86" s="47"/>
      <c r="D86" s="47"/>
      <c r="E86" s="49"/>
      <c r="F86" s="49"/>
      <c r="G86" s="50"/>
      <c r="H86" s="72"/>
      <c r="I86" s="450" t="s">
        <v>675</v>
      </c>
      <c r="J86" s="322"/>
      <c r="K86" s="321"/>
      <c r="L86" s="321"/>
      <c r="M86" s="405"/>
      <c r="N86" s="321"/>
      <c r="O86" s="321"/>
      <c r="P86" s="321"/>
      <c r="Q86" s="321"/>
      <c r="R86" s="321"/>
      <c r="S86" s="321"/>
      <c r="T86" s="321"/>
      <c r="U86" s="321"/>
      <c r="V86" s="197" t="s">
        <v>430</v>
      </c>
      <c r="W86" s="198"/>
      <c r="X86" s="197">
        <f>SUM(X87:X89)</f>
        <v>112166000</v>
      </c>
      <c r="Y86" s="199" t="s">
        <v>25</v>
      </c>
    </row>
    <row r="87" spans="1:25" ht="21" customHeight="1">
      <c r="A87" s="46"/>
      <c r="B87" s="47"/>
      <c r="C87" s="47"/>
      <c r="D87" s="47"/>
      <c r="E87" s="49"/>
      <c r="F87" s="49"/>
      <c r="G87" s="50"/>
      <c r="H87" s="72"/>
      <c r="I87" s="445" t="s">
        <v>664</v>
      </c>
      <c r="J87" s="322"/>
      <c r="K87" s="321"/>
      <c r="L87" s="321"/>
      <c r="M87" s="405">
        <v>75093000</v>
      </c>
      <c r="N87" s="321" t="s">
        <v>417</v>
      </c>
      <c r="O87" s="76" t="s">
        <v>428</v>
      </c>
      <c r="P87" s="430">
        <v>0.42699999999999999</v>
      </c>
      <c r="Q87" s="321"/>
      <c r="R87" s="321"/>
      <c r="S87" s="321"/>
      <c r="T87" s="321"/>
      <c r="U87" s="321" t="s">
        <v>429</v>
      </c>
      <c r="V87" s="590"/>
      <c r="W87" s="590"/>
      <c r="X87" s="349">
        <f>ROUND(M87*P87,-3)</f>
        <v>32065000</v>
      </c>
      <c r="Y87" s="136" t="s">
        <v>423</v>
      </c>
    </row>
    <row r="88" spans="1:25" ht="21" customHeight="1">
      <c r="A88" s="46"/>
      <c r="B88" s="47"/>
      <c r="C88" s="47"/>
      <c r="D88" s="47"/>
      <c r="E88" s="49"/>
      <c r="F88" s="49"/>
      <c r="G88" s="50"/>
      <c r="H88" s="72"/>
      <c r="I88" s="452" t="s">
        <v>665</v>
      </c>
      <c r="J88" s="322"/>
      <c r="K88" s="321"/>
      <c r="L88" s="321"/>
      <c r="M88" s="405">
        <v>7200000</v>
      </c>
      <c r="N88" s="321" t="s">
        <v>417</v>
      </c>
      <c r="O88" s="76" t="s">
        <v>428</v>
      </c>
      <c r="P88" s="430">
        <v>0.42699999999999999</v>
      </c>
      <c r="Q88" s="321"/>
      <c r="R88" s="321"/>
      <c r="S88" s="321"/>
      <c r="T88" s="321"/>
      <c r="U88" s="321" t="s">
        <v>429</v>
      </c>
      <c r="V88" s="591"/>
      <c r="W88" s="591"/>
      <c r="X88" s="70">
        <f t="shared" ref="X88" si="30">ROUND(M88*P88,-3)</f>
        <v>3074000</v>
      </c>
      <c r="Y88" s="59" t="s">
        <v>423</v>
      </c>
    </row>
    <row r="89" spans="1:25" ht="21" customHeight="1">
      <c r="A89" s="46"/>
      <c r="B89" s="47"/>
      <c r="C89" s="47"/>
      <c r="D89" s="47"/>
      <c r="E89" s="49"/>
      <c r="F89" s="49"/>
      <c r="G89" s="50"/>
      <c r="H89" s="72"/>
      <c r="I89" s="445" t="s">
        <v>666</v>
      </c>
      <c r="J89" s="322"/>
      <c r="K89" s="321"/>
      <c r="L89" s="321"/>
      <c r="M89" s="405">
        <v>180391700</v>
      </c>
      <c r="N89" s="321" t="s">
        <v>417</v>
      </c>
      <c r="O89" s="76" t="s">
        <v>428</v>
      </c>
      <c r="P89" s="430">
        <v>0.42699999999999999</v>
      </c>
      <c r="Q89" s="321"/>
      <c r="R89" s="321"/>
      <c r="S89" s="321"/>
      <c r="T89" s="321"/>
      <c r="U89" s="321" t="s">
        <v>429</v>
      </c>
      <c r="V89" s="591"/>
      <c r="W89" s="591"/>
      <c r="X89" s="70">
        <f>ROUND(M89*P89,-3)</f>
        <v>77027000</v>
      </c>
      <c r="Y89" s="59" t="s">
        <v>423</v>
      </c>
    </row>
    <row r="90" spans="1:25" ht="21" customHeight="1">
      <c r="A90" s="46"/>
      <c r="B90" s="47"/>
      <c r="C90" s="47"/>
      <c r="D90" s="47"/>
      <c r="E90" s="49"/>
      <c r="F90" s="49"/>
      <c r="G90" s="50"/>
      <c r="H90" s="72"/>
      <c r="I90" s="449" t="s">
        <v>654</v>
      </c>
      <c r="J90" s="322"/>
      <c r="K90" s="321"/>
      <c r="L90" s="321"/>
      <c r="M90" s="321"/>
      <c r="N90" s="321"/>
      <c r="O90" s="321"/>
      <c r="P90" s="321"/>
      <c r="Q90" s="321"/>
      <c r="R90" s="321"/>
      <c r="S90" s="321"/>
      <c r="T90" s="321"/>
      <c r="U90" s="321"/>
      <c r="V90" s="323" t="s">
        <v>430</v>
      </c>
      <c r="W90" s="74"/>
      <c r="X90" s="323">
        <f>X91</f>
        <v>36150000</v>
      </c>
      <c r="Y90" s="75" t="s">
        <v>25</v>
      </c>
    </row>
    <row r="91" spans="1:25" ht="21" customHeight="1">
      <c r="A91" s="46"/>
      <c r="B91" s="47"/>
      <c r="C91" s="47"/>
      <c r="D91" s="47"/>
      <c r="E91" s="49"/>
      <c r="F91" s="49"/>
      <c r="G91" s="50"/>
      <c r="H91" s="72"/>
      <c r="I91" s="445" t="s">
        <v>655</v>
      </c>
      <c r="J91" s="322"/>
      <c r="K91" s="321"/>
      <c r="L91" s="321"/>
      <c r="M91" s="321">
        <f>SUM(M85:M89)</f>
        <v>1015935700</v>
      </c>
      <c r="N91" s="55" t="s">
        <v>423</v>
      </c>
      <c r="O91" s="354" t="s">
        <v>425</v>
      </c>
      <c r="P91" s="79">
        <v>12</v>
      </c>
      <c r="Q91" s="302" t="s">
        <v>426</v>
      </c>
      <c r="R91" s="76" t="s">
        <v>428</v>
      </c>
      <c r="S91" s="430">
        <v>0.42699999999999999</v>
      </c>
      <c r="T91" s="321"/>
      <c r="U91" s="321" t="s">
        <v>427</v>
      </c>
      <c r="V91" s="96"/>
      <c r="W91" s="96"/>
      <c r="X91" s="349">
        <f>ROUND(M91/P91*S91,-3)</f>
        <v>36150000</v>
      </c>
      <c r="Y91" s="390" t="s">
        <v>417</v>
      </c>
    </row>
    <row r="92" spans="1:25" ht="21" customHeight="1">
      <c r="A92" s="46"/>
      <c r="B92" s="47"/>
      <c r="C92" s="47"/>
      <c r="D92" s="47"/>
      <c r="E92" s="49"/>
      <c r="F92" s="49"/>
      <c r="G92" s="50"/>
      <c r="H92" s="72"/>
      <c r="I92" s="449" t="s">
        <v>656</v>
      </c>
      <c r="J92" s="322"/>
      <c r="K92" s="321"/>
      <c r="L92" s="321"/>
      <c r="M92" s="321"/>
      <c r="N92" s="55"/>
      <c r="O92" s="321"/>
      <c r="P92" s="321"/>
      <c r="Q92" s="321"/>
      <c r="R92" s="321"/>
      <c r="S92" s="321"/>
      <c r="T92" s="321"/>
      <c r="U92" s="321"/>
      <c r="V92" s="323" t="s">
        <v>430</v>
      </c>
      <c r="W92" s="74"/>
      <c r="X92" s="323">
        <f>SUM(X93:X97)</f>
        <v>39094000</v>
      </c>
      <c r="Y92" s="75" t="s">
        <v>25</v>
      </c>
    </row>
    <row r="93" spans="1:25" ht="21" customHeight="1">
      <c r="A93" s="46"/>
      <c r="B93" s="47"/>
      <c r="C93" s="47"/>
      <c r="D93" s="47"/>
      <c r="E93" s="49"/>
      <c r="F93" s="49"/>
      <c r="G93" s="50"/>
      <c r="H93" s="72"/>
      <c r="I93" s="445" t="s">
        <v>669</v>
      </c>
      <c r="J93" s="322"/>
      <c r="K93" s="321"/>
      <c r="L93" s="321"/>
      <c r="M93" s="321">
        <f>M91</f>
        <v>1015935700</v>
      </c>
      <c r="N93" s="55" t="s">
        <v>423</v>
      </c>
      <c r="O93" s="76" t="s">
        <v>428</v>
      </c>
      <c r="P93" s="355">
        <v>0.09</v>
      </c>
      <c r="Q93" s="354">
        <v>2</v>
      </c>
      <c r="R93" s="76" t="s">
        <v>428</v>
      </c>
      <c r="S93" s="430">
        <v>0.42699999999999999</v>
      </c>
      <c r="T93" s="78"/>
      <c r="U93" s="354" t="s">
        <v>427</v>
      </c>
      <c r="V93" s="321"/>
      <c r="W93" s="70"/>
      <c r="X93" s="70">
        <f>ROUND(M93*P93/Q93*S93,-3)</f>
        <v>19521000</v>
      </c>
      <c r="Y93" s="59" t="s">
        <v>423</v>
      </c>
    </row>
    <row r="94" spans="1:25" ht="21" customHeight="1">
      <c r="A94" s="46"/>
      <c r="B94" s="47"/>
      <c r="C94" s="47"/>
      <c r="D94" s="47"/>
      <c r="E94" s="49"/>
      <c r="F94" s="49"/>
      <c r="G94" s="50"/>
      <c r="H94" s="72"/>
      <c r="I94" s="445" t="s">
        <v>670</v>
      </c>
      <c r="J94" s="322"/>
      <c r="K94" s="321"/>
      <c r="L94" s="321"/>
      <c r="M94" s="321">
        <f>M91</f>
        <v>1015935700</v>
      </c>
      <c r="N94" s="55" t="s">
        <v>423</v>
      </c>
      <c r="O94" s="76" t="s">
        <v>428</v>
      </c>
      <c r="P94" s="356">
        <v>5.8900000000000001E-2</v>
      </c>
      <c r="Q94" s="354">
        <v>2</v>
      </c>
      <c r="R94" s="76" t="s">
        <v>428</v>
      </c>
      <c r="S94" s="430">
        <v>0.42699999999999999</v>
      </c>
      <c r="T94" s="78"/>
      <c r="U94" s="354" t="s">
        <v>427</v>
      </c>
      <c r="V94" s="321"/>
      <c r="W94" s="70"/>
      <c r="X94" s="70">
        <f>ROUND(M94*P94/Q94*S94,-3)</f>
        <v>12776000</v>
      </c>
      <c r="Y94" s="59" t="s">
        <v>423</v>
      </c>
    </row>
    <row r="95" spans="1:25" ht="21" customHeight="1">
      <c r="A95" s="46"/>
      <c r="B95" s="47"/>
      <c r="C95" s="47"/>
      <c r="D95" s="47"/>
      <c r="E95" s="49"/>
      <c r="F95" s="49"/>
      <c r="G95" s="50"/>
      <c r="H95" s="72"/>
      <c r="I95" s="445" t="s">
        <v>671</v>
      </c>
      <c r="J95" s="322"/>
      <c r="K95" s="321"/>
      <c r="L95" s="321"/>
      <c r="M95" s="321">
        <f>X94</f>
        <v>12776000</v>
      </c>
      <c r="N95" s="55" t="s">
        <v>423</v>
      </c>
      <c r="O95" s="76" t="s">
        <v>428</v>
      </c>
      <c r="P95" s="82">
        <v>6.5500000000000003E-2</v>
      </c>
      <c r="Q95" s="83"/>
      <c r="R95" s="76"/>
      <c r="S95" s="80"/>
      <c r="T95" s="85"/>
      <c r="U95" s="354" t="s">
        <v>427</v>
      </c>
      <c r="V95" s="321"/>
      <c r="W95" s="70"/>
      <c r="X95" s="70">
        <f>ROUND(M95*P95,-3)</f>
        <v>837000</v>
      </c>
      <c r="Y95" s="59" t="s">
        <v>423</v>
      </c>
    </row>
    <row r="96" spans="1:25" ht="21" customHeight="1">
      <c r="A96" s="46"/>
      <c r="B96" s="47"/>
      <c r="C96" s="47"/>
      <c r="D96" s="47"/>
      <c r="E96" s="49"/>
      <c r="F96" s="49"/>
      <c r="G96" s="50"/>
      <c r="H96" s="72"/>
      <c r="I96" s="445" t="s">
        <v>672</v>
      </c>
      <c r="J96" s="322"/>
      <c r="K96" s="321"/>
      <c r="L96" s="321"/>
      <c r="M96" s="321">
        <f>M91</f>
        <v>1015935700</v>
      </c>
      <c r="N96" s="55" t="s">
        <v>423</v>
      </c>
      <c r="O96" s="76" t="s">
        <v>428</v>
      </c>
      <c r="P96" s="82">
        <v>8.0000000000000002E-3</v>
      </c>
      <c r="Q96" s="76"/>
      <c r="R96" s="76" t="s">
        <v>428</v>
      </c>
      <c r="S96" s="430">
        <v>0.42699999999999999</v>
      </c>
      <c r="T96" s="78"/>
      <c r="U96" s="354" t="s">
        <v>427</v>
      </c>
      <c r="V96" s="321"/>
      <c r="W96" s="70"/>
      <c r="X96" s="70">
        <f t="shared" ref="X96:X97" si="31">ROUND(M96*P96*S96,-3)</f>
        <v>3470000</v>
      </c>
      <c r="Y96" s="59" t="s">
        <v>423</v>
      </c>
    </row>
    <row r="97" spans="1:25" ht="21" customHeight="1">
      <c r="A97" s="46"/>
      <c r="B97" s="47"/>
      <c r="C97" s="47"/>
      <c r="D97" s="47"/>
      <c r="E97" s="49"/>
      <c r="F97" s="49"/>
      <c r="G97" s="50"/>
      <c r="H97" s="72"/>
      <c r="I97" s="445" t="s">
        <v>673</v>
      </c>
      <c r="J97" s="322"/>
      <c r="K97" s="321"/>
      <c r="L97" s="321"/>
      <c r="M97" s="321">
        <f>M91</f>
        <v>1015935700</v>
      </c>
      <c r="N97" s="55" t="s">
        <v>423</v>
      </c>
      <c r="O97" s="76" t="s">
        <v>428</v>
      </c>
      <c r="P97" s="410">
        <v>5.7400000000000003E-3</v>
      </c>
      <c r="Q97" s="76"/>
      <c r="R97" s="76" t="s">
        <v>428</v>
      </c>
      <c r="S97" s="430">
        <v>0.42699999999999999</v>
      </c>
      <c r="T97" s="78"/>
      <c r="U97" s="354" t="s">
        <v>427</v>
      </c>
      <c r="V97" s="321"/>
      <c r="W97" s="70"/>
      <c r="X97" s="70">
        <f t="shared" si="31"/>
        <v>2490000</v>
      </c>
      <c r="Y97" s="59" t="s">
        <v>423</v>
      </c>
    </row>
    <row r="98" spans="1:25" ht="21" customHeight="1">
      <c r="A98" s="46"/>
      <c r="B98" s="47"/>
      <c r="C98" s="47"/>
      <c r="D98" s="61"/>
      <c r="E98" s="63"/>
      <c r="F98" s="63"/>
      <c r="G98" s="64"/>
      <c r="H98" s="92"/>
      <c r="I98" s="73"/>
      <c r="J98" s="74"/>
      <c r="K98" s="343"/>
      <c r="L98" s="343"/>
      <c r="M98" s="323"/>
      <c r="N98" s="323"/>
      <c r="O98" s="344"/>
      <c r="P98" s="323"/>
      <c r="Q98" s="159"/>
      <c r="R98" s="345"/>
      <c r="S98" s="89"/>
      <c r="T98" s="294"/>
      <c r="U98" s="294"/>
      <c r="V98" s="346"/>
      <c r="W98" s="324"/>
      <c r="X98" s="74"/>
      <c r="Y98" s="75"/>
    </row>
    <row r="99" spans="1:25" ht="21" customHeight="1" thickBot="1">
      <c r="A99" s="46"/>
      <c r="B99" s="47"/>
      <c r="C99" s="47"/>
      <c r="D99" s="37" t="s">
        <v>432</v>
      </c>
      <c r="E99" s="38">
        <v>30578</v>
      </c>
      <c r="F99" s="338">
        <f>ROUND(X99/1000,0)</f>
        <v>30578</v>
      </c>
      <c r="G99" s="39">
        <f t="shared" ref="G99" si="32">F99-E99</f>
        <v>0</v>
      </c>
      <c r="H99" s="134">
        <f t="shared" ref="H99" si="33">IF(E99=0,0,G99/E99)</f>
        <v>0</v>
      </c>
      <c r="I99" s="350" t="s">
        <v>433</v>
      </c>
      <c r="J99" s="349"/>
      <c r="K99" s="357"/>
      <c r="L99" s="357"/>
      <c r="M99" s="96"/>
      <c r="N99" s="96"/>
      <c r="O99" s="339"/>
      <c r="P99" s="96"/>
      <c r="Q99" s="340"/>
      <c r="R99" s="347"/>
      <c r="S99" s="348"/>
      <c r="T99" s="353"/>
      <c r="U99" s="353"/>
      <c r="V99" s="351" t="s">
        <v>412</v>
      </c>
      <c r="W99" s="352"/>
      <c r="X99" s="352">
        <f>SUM(X100:X101)</f>
        <v>30578000</v>
      </c>
      <c r="Y99" s="388" t="s">
        <v>57</v>
      </c>
    </row>
    <row r="100" spans="1:25" ht="21" customHeight="1">
      <c r="A100" s="46"/>
      <c r="B100" s="47"/>
      <c r="C100" s="47"/>
      <c r="D100" s="47"/>
      <c r="E100" s="49"/>
      <c r="F100" s="49"/>
      <c r="G100" s="50"/>
      <c r="H100" s="72"/>
      <c r="I100" s="322" t="s">
        <v>434</v>
      </c>
      <c r="J100" s="70"/>
      <c r="K100" s="305"/>
      <c r="L100" s="305"/>
      <c r="M100" s="321">
        <v>39591000</v>
      </c>
      <c r="N100" s="321" t="s">
        <v>417</v>
      </c>
      <c r="O100" s="76" t="s">
        <v>428</v>
      </c>
      <c r="P100" s="430">
        <v>0.42699999999999999</v>
      </c>
      <c r="Q100" s="321"/>
      <c r="R100" s="321"/>
      <c r="S100" s="321"/>
      <c r="T100" s="321"/>
      <c r="U100" s="321" t="s">
        <v>429</v>
      </c>
      <c r="V100" s="591"/>
      <c r="W100" s="591"/>
      <c r="X100" s="70">
        <f t="shared" ref="X100" si="34">ROUND(M100*P100,-3)</f>
        <v>16905000</v>
      </c>
      <c r="Y100" s="59" t="s">
        <v>423</v>
      </c>
    </row>
    <row r="101" spans="1:25" ht="21" customHeight="1">
      <c r="A101" s="46"/>
      <c r="B101" s="47"/>
      <c r="C101" s="47"/>
      <c r="D101" s="47"/>
      <c r="E101" s="49"/>
      <c r="F101" s="49"/>
      <c r="G101" s="50"/>
      <c r="H101" s="72"/>
      <c r="I101" s="322" t="s">
        <v>435</v>
      </c>
      <c r="J101" s="70"/>
      <c r="K101" s="305"/>
      <c r="L101" s="305"/>
      <c r="M101" s="321">
        <v>593000</v>
      </c>
      <c r="N101" s="321" t="s">
        <v>423</v>
      </c>
      <c r="O101" s="56" t="s">
        <v>428</v>
      </c>
      <c r="P101" s="354">
        <v>54</v>
      </c>
      <c r="Q101" s="321" t="s">
        <v>436</v>
      </c>
      <c r="R101" s="76" t="s">
        <v>428</v>
      </c>
      <c r="S101" s="430">
        <v>0.42699999999999999</v>
      </c>
      <c r="T101" s="321"/>
      <c r="U101" s="321" t="s">
        <v>429</v>
      </c>
      <c r="V101" s="591"/>
      <c r="W101" s="591"/>
      <c r="X101" s="70">
        <f>ROUND(M101*P101*S101,-3)</f>
        <v>13673000</v>
      </c>
      <c r="Y101" s="59" t="s">
        <v>423</v>
      </c>
    </row>
    <row r="102" spans="1:25" ht="21" customHeight="1">
      <c r="A102" s="46"/>
      <c r="B102" s="47"/>
      <c r="C102" s="47"/>
      <c r="D102" s="61"/>
      <c r="E102" s="63"/>
      <c r="F102" s="63"/>
      <c r="G102" s="64"/>
      <c r="H102" s="92"/>
      <c r="I102" s="73"/>
      <c r="J102" s="74"/>
      <c r="K102" s="343"/>
      <c r="L102" s="343"/>
      <c r="M102" s="323"/>
      <c r="N102" s="323"/>
      <c r="O102" s="344"/>
      <c r="P102" s="323"/>
      <c r="Q102" s="159"/>
      <c r="R102" s="345"/>
      <c r="S102" s="89"/>
      <c r="T102" s="294"/>
      <c r="U102" s="294"/>
      <c r="V102" s="346"/>
      <c r="W102" s="324"/>
      <c r="X102" s="74"/>
      <c r="Y102" s="75"/>
    </row>
    <row r="103" spans="1:25" ht="21" customHeight="1" thickBot="1">
      <c r="A103" s="46"/>
      <c r="B103" s="47"/>
      <c r="C103" s="47"/>
      <c r="D103" s="37" t="s">
        <v>437</v>
      </c>
      <c r="E103" s="38">
        <v>18111</v>
      </c>
      <c r="F103" s="338">
        <f>ROUND(X103/1000,0)</f>
        <v>18111</v>
      </c>
      <c r="G103" s="39">
        <f t="shared" ref="G103" si="35">F103-E103</f>
        <v>0</v>
      </c>
      <c r="H103" s="134">
        <f t="shared" ref="H103" si="36">IF(E103=0,0,G103/E103)</f>
        <v>0</v>
      </c>
      <c r="I103" s="350" t="s">
        <v>439</v>
      </c>
      <c r="J103" s="349"/>
      <c r="K103" s="357"/>
      <c r="L103" s="357"/>
      <c r="M103" s="96"/>
      <c r="N103" s="96"/>
      <c r="O103" s="339"/>
      <c r="P103" s="96"/>
      <c r="Q103" s="340"/>
      <c r="R103" s="347"/>
      <c r="S103" s="348"/>
      <c r="T103" s="353"/>
      <c r="U103" s="353"/>
      <c r="V103" s="351" t="s">
        <v>412</v>
      </c>
      <c r="W103" s="352"/>
      <c r="X103" s="352">
        <f>SUM(X104:X109)</f>
        <v>18111000</v>
      </c>
      <c r="Y103" s="388" t="s">
        <v>57</v>
      </c>
    </row>
    <row r="104" spans="1:25" ht="21" customHeight="1">
      <c r="A104" s="46"/>
      <c r="B104" s="47"/>
      <c r="C104" s="47"/>
      <c r="D104" s="47" t="s">
        <v>438</v>
      </c>
      <c r="E104" s="49"/>
      <c r="F104" s="49"/>
      <c r="G104" s="50"/>
      <c r="H104" s="72"/>
      <c r="I104" s="69" t="s">
        <v>440</v>
      </c>
      <c r="J104" s="322"/>
      <c r="K104" s="321"/>
      <c r="L104" s="321"/>
      <c r="M104" s="321">
        <v>500</v>
      </c>
      <c r="N104" s="321" t="s">
        <v>423</v>
      </c>
      <c r="O104" s="322" t="s">
        <v>428</v>
      </c>
      <c r="P104" s="359">
        <v>54</v>
      </c>
      <c r="Q104" s="360">
        <v>365</v>
      </c>
      <c r="R104" s="321" t="s">
        <v>441</v>
      </c>
      <c r="S104" s="431">
        <v>0.81699999999999995</v>
      </c>
      <c r="T104" s="321"/>
      <c r="U104" s="321" t="s">
        <v>427</v>
      </c>
      <c r="V104" s="321"/>
      <c r="W104" s="70"/>
      <c r="X104" s="70">
        <f>ROUND(M104*P104*Q104*S104,-3)</f>
        <v>8052000</v>
      </c>
      <c r="Y104" s="59" t="s">
        <v>25</v>
      </c>
    </row>
    <row r="105" spans="1:25" ht="21" customHeight="1">
      <c r="A105" s="46"/>
      <c r="B105" s="47"/>
      <c r="C105" s="47"/>
      <c r="D105" s="47"/>
      <c r="E105" s="49"/>
      <c r="F105" s="49"/>
      <c r="G105" s="50"/>
      <c r="H105" s="72"/>
      <c r="I105" s="69" t="s">
        <v>442</v>
      </c>
      <c r="J105" s="322"/>
      <c r="K105" s="321"/>
      <c r="L105" s="321"/>
      <c r="M105" s="321">
        <v>5000</v>
      </c>
      <c r="N105" s="321" t="s">
        <v>423</v>
      </c>
      <c r="O105" s="322" t="s">
        <v>428</v>
      </c>
      <c r="P105" s="359">
        <v>54</v>
      </c>
      <c r="Q105" s="360">
        <v>12</v>
      </c>
      <c r="R105" s="321" t="s">
        <v>426</v>
      </c>
      <c r="S105" s="431">
        <v>0.81699999999999995</v>
      </c>
      <c r="T105" s="321"/>
      <c r="U105" s="321" t="s">
        <v>427</v>
      </c>
      <c r="V105" s="321"/>
      <c r="W105" s="70"/>
      <c r="X105" s="70">
        <f>ROUND(M105*P105*Q105*S105,-3)</f>
        <v>2647000</v>
      </c>
      <c r="Y105" s="59" t="s">
        <v>25</v>
      </c>
    </row>
    <row r="106" spans="1:25" ht="21" customHeight="1">
      <c r="A106" s="46"/>
      <c r="B106" s="47"/>
      <c r="C106" s="47"/>
      <c r="D106" s="47"/>
      <c r="E106" s="49"/>
      <c r="F106" s="49"/>
      <c r="G106" s="50"/>
      <c r="H106" s="72"/>
      <c r="I106" s="69" t="s">
        <v>443</v>
      </c>
      <c r="J106" s="322"/>
      <c r="K106" s="321"/>
      <c r="L106" s="321"/>
      <c r="M106" s="321">
        <v>20000</v>
      </c>
      <c r="N106" s="321" t="s">
        <v>423</v>
      </c>
      <c r="O106" s="322" t="s">
        <v>428</v>
      </c>
      <c r="P106" s="359">
        <v>54</v>
      </c>
      <c r="Q106" s="360">
        <v>4</v>
      </c>
      <c r="R106" s="321" t="s">
        <v>444</v>
      </c>
      <c r="S106" s="431">
        <v>0.81699999999999995</v>
      </c>
      <c r="T106" s="321"/>
      <c r="U106" s="321" t="s">
        <v>427</v>
      </c>
      <c r="V106" s="321"/>
      <c r="W106" s="70"/>
      <c r="X106" s="70">
        <f>ROUND(M106*P106*Q106*S106,-3)</f>
        <v>3529000</v>
      </c>
      <c r="Y106" s="59" t="s">
        <v>25</v>
      </c>
    </row>
    <row r="107" spans="1:25" ht="21" customHeight="1">
      <c r="A107" s="46"/>
      <c r="B107" s="47"/>
      <c r="C107" s="47"/>
      <c r="D107" s="47"/>
      <c r="E107" s="49"/>
      <c r="F107" s="49"/>
      <c r="G107" s="50"/>
      <c r="H107" s="72"/>
      <c r="I107" s="69" t="s">
        <v>445</v>
      </c>
      <c r="J107" s="322"/>
      <c r="K107" s="321"/>
      <c r="L107" s="321"/>
      <c r="M107" s="321">
        <v>12000</v>
      </c>
      <c r="N107" s="321" t="s">
        <v>423</v>
      </c>
      <c r="O107" s="322" t="s">
        <v>428</v>
      </c>
      <c r="P107" s="359">
        <v>54</v>
      </c>
      <c r="Q107" s="360">
        <v>4</v>
      </c>
      <c r="R107" s="321" t="s">
        <v>444</v>
      </c>
      <c r="S107" s="431">
        <v>0.81699999999999995</v>
      </c>
      <c r="T107" s="321"/>
      <c r="U107" s="321" t="s">
        <v>427</v>
      </c>
      <c r="V107" s="321"/>
      <c r="W107" s="70"/>
      <c r="X107" s="70">
        <f>ROUND(M107*P107*Q107*S107,-3)</f>
        <v>2118000</v>
      </c>
      <c r="Y107" s="59" t="s">
        <v>25</v>
      </c>
    </row>
    <row r="108" spans="1:25" ht="21" customHeight="1">
      <c r="A108" s="46"/>
      <c r="B108" s="47"/>
      <c r="C108" s="47"/>
      <c r="D108" s="47"/>
      <c r="E108" s="49"/>
      <c r="F108" s="49"/>
      <c r="G108" s="50"/>
      <c r="H108" s="72"/>
      <c r="I108" s="69" t="s">
        <v>446</v>
      </c>
      <c r="J108" s="322"/>
      <c r="K108" s="321"/>
      <c r="L108" s="321"/>
      <c r="M108" s="321"/>
      <c r="N108" s="321"/>
      <c r="O108" s="322"/>
      <c r="P108" s="359"/>
      <c r="Q108" s="360"/>
      <c r="R108" s="321"/>
      <c r="S108" s="321"/>
      <c r="T108" s="321"/>
      <c r="U108" s="321"/>
      <c r="V108" s="321"/>
      <c r="W108" s="70"/>
      <c r="X108" s="70"/>
      <c r="Y108" s="59"/>
    </row>
    <row r="109" spans="1:25" ht="21" customHeight="1">
      <c r="A109" s="46"/>
      <c r="B109" s="47"/>
      <c r="C109" s="47"/>
      <c r="D109" s="47"/>
      <c r="E109" s="49"/>
      <c r="F109" s="49"/>
      <c r="G109" s="50"/>
      <c r="H109" s="72"/>
      <c r="I109" s="69" t="s">
        <v>447</v>
      </c>
      <c r="J109" s="322"/>
      <c r="K109" s="321"/>
      <c r="L109" s="321"/>
      <c r="M109" s="321">
        <v>40000</v>
      </c>
      <c r="N109" s="321" t="s">
        <v>423</v>
      </c>
      <c r="O109" s="322" t="s">
        <v>428</v>
      </c>
      <c r="P109" s="359">
        <v>54</v>
      </c>
      <c r="Q109" s="360">
        <v>1</v>
      </c>
      <c r="R109" s="321" t="s">
        <v>444</v>
      </c>
      <c r="S109" s="431">
        <v>0.81699999999999995</v>
      </c>
      <c r="T109" s="321"/>
      <c r="U109" s="321" t="s">
        <v>427</v>
      </c>
      <c r="V109" s="321"/>
      <c r="W109" s="70"/>
      <c r="X109" s="70">
        <f t="shared" ref="X109" si="37">ROUNDUP(M109*P109*Q109*S109,-3)</f>
        <v>1765000</v>
      </c>
      <c r="Y109" s="59" t="s">
        <v>25</v>
      </c>
    </row>
    <row r="110" spans="1:25" ht="21" customHeight="1">
      <c r="A110" s="46"/>
      <c r="B110" s="47"/>
      <c r="C110" s="47"/>
      <c r="D110" s="61"/>
      <c r="E110" s="63"/>
      <c r="F110" s="63"/>
      <c r="G110" s="64"/>
      <c r="H110" s="92"/>
      <c r="I110" s="73"/>
      <c r="J110" s="74"/>
      <c r="K110" s="343"/>
      <c r="L110" s="343"/>
      <c r="M110" s="323"/>
      <c r="N110" s="323"/>
      <c r="O110" s="344"/>
      <c r="P110" s="323"/>
      <c r="Q110" s="159"/>
      <c r="R110" s="345"/>
      <c r="S110" s="89"/>
      <c r="T110" s="294"/>
      <c r="U110" s="294"/>
      <c r="V110" s="346"/>
      <c r="W110" s="324"/>
      <c r="X110" s="74"/>
      <c r="Y110" s="75"/>
    </row>
    <row r="111" spans="1:25" ht="21" customHeight="1" thickBot="1">
      <c r="A111" s="46"/>
      <c r="B111" s="47"/>
      <c r="C111" s="47"/>
      <c r="D111" s="37" t="s">
        <v>448</v>
      </c>
      <c r="E111" s="38">
        <v>153566</v>
      </c>
      <c r="F111" s="338">
        <f>ROUND(X111/1000,0)</f>
        <v>154334</v>
      </c>
      <c r="G111" s="39">
        <f t="shared" ref="G111" si="38">F111-E111</f>
        <v>768</v>
      </c>
      <c r="H111" s="134">
        <f t="shared" ref="H111" si="39">IF(E111=0,0,G111/E111)</f>
        <v>5.0011070158759103E-3</v>
      </c>
      <c r="I111" s="350" t="s">
        <v>450</v>
      </c>
      <c r="J111" s="349"/>
      <c r="K111" s="357"/>
      <c r="L111" s="357"/>
      <c r="M111" s="96"/>
      <c r="N111" s="96"/>
      <c r="O111" s="339"/>
      <c r="P111" s="96"/>
      <c r="Q111" s="340"/>
      <c r="R111" s="347"/>
      <c r="S111" s="348"/>
      <c r="T111" s="353"/>
      <c r="U111" s="353"/>
      <c r="V111" s="351" t="s">
        <v>412</v>
      </c>
      <c r="W111" s="352"/>
      <c r="X111" s="352">
        <f>X112+X130</f>
        <v>154334000</v>
      </c>
      <c r="Y111" s="388" t="s">
        <v>57</v>
      </c>
    </row>
    <row r="112" spans="1:25" ht="21" customHeight="1">
      <c r="A112" s="46"/>
      <c r="B112" s="47"/>
      <c r="C112" s="47"/>
      <c r="D112" s="47" t="s">
        <v>449</v>
      </c>
      <c r="E112" s="49"/>
      <c r="F112" s="49"/>
      <c r="G112" s="50"/>
      <c r="H112" s="72"/>
      <c r="I112" s="362" t="s">
        <v>451</v>
      </c>
      <c r="J112" s="70"/>
      <c r="K112" s="305"/>
      <c r="L112" s="305"/>
      <c r="M112" s="321"/>
      <c r="N112" s="321"/>
      <c r="O112" s="302"/>
      <c r="P112" s="321"/>
      <c r="Q112" s="55"/>
      <c r="R112" s="304"/>
      <c r="S112" s="57"/>
      <c r="T112" s="354"/>
      <c r="U112" s="354"/>
      <c r="V112" s="323" t="s">
        <v>456</v>
      </c>
      <c r="W112" s="74"/>
      <c r="X112" s="323">
        <f>SUM(X113,X116,X121,X123)</f>
        <v>137079000</v>
      </c>
      <c r="Y112" s="75" t="s">
        <v>25</v>
      </c>
    </row>
    <row r="113" spans="1:25" ht="21" customHeight="1">
      <c r="A113" s="46"/>
      <c r="B113" s="47"/>
      <c r="C113" s="47"/>
      <c r="D113" s="47"/>
      <c r="E113" s="49"/>
      <c r="F113" s="49"/>
      <c r="G113" s="50"/>
      <c r="H113" s="72"/>
      <c r="I113" s="73" t="s">
        <v>452</v>
      </c>
      <c r="J113" s="322"/>
      <c r="K113" s="321"/>
      <c r="L113" s="321"/>
      <c r="M113" s="321"/>
      <c r="N113" s="321"/>
      <c r="O113" s="76"/>
      <c r="P113" s="80"/>
      <c r="Q113" s="321"/>
      <c r="R113" s="321"/>
      <c r="S113" s="321"/>
      <c r="T113" s="321"/>
      <c r="U113" s="321"/>
      <c r="V113" s="323" t="s">
        <v>430</v>
      </c>
      <c r="W113" s="74"/>
      <c r="X113" s="323">
        <f>SUM(X114:X115)</f>
        <v>37868000</v>
      </c>
      <c r="Y113" s="75" t="s">
        <v>25</v>
      </c>
    </row>
    <row r="114" spans="1:25" ht="21" customHeight="1">
      <c r="A114" s="46"/>
      <c r="B114" s="47"/>
      <c r="C114" s="47"/>
      <c r="D114" s="47"/>
      <c r="E114" s="49"/>
      <c r="F114" s="49"/>
      <c r="G114" s="50"/>
      <c r="H114" s="72"/>
      <c r="I114" s="451" t="s">
        <v>662</v>
      </c>
      <c r="J114" s="322"/>
      <c r="K114" s="321"/>
      <c r="L114" s="321"/>
      <c r="M114" s="405">
        <v>21100000</v>
      </c>
      <c r="N114" s="321" t="s">
        <v>417</v>
      </c>
      <c r="O114" s="76" t="s">
        <v>428</v>
      </c>
      <c r="P114" s="80">
        <v>0.85</v>
      </c>
      <c r="Q114" s="321"/>
      <c r="R114" s="321"/>
      <c r="S114" s="321"/>
      <c r="T114" s="321"/>
      <c r="U114" s="321" t="s">
        <v>429</v>
      </c>
      <c r="V114" s="96"/>
      <c r="W114" s="349"/>
      <c r="X114" s="96">
        <f>ROUND(M114*P114,-3)</f>
        <v>17935000</v>
      </c>
      <c r="Y114" s="136" t="s">
        <v>417</v>
      </c>
    </row>
    <row r="115" spans="1:25" ht="21" customHeight="1">
      <c r="A115" s="46"/>
      <c r="B115" s="47"/>
      <c r="C115" s="47"/>
      <c r="D115" s="47"/>
      <c r="E115" s="49"/>
      <c r="F115" s="49"/>
      <c r="G115" s="50"/>
      <c r="H115" s="72"/>
      <c r="I115" s="445" t="s">
        <v>663</v>
      </c>
      <c r="J115" s="322"/>
      <c r="K115" s="321"/>
      <c r="L115" s="321"/>
      <c r="M115" s="405">
        <v>23450000</v>
      </c>
      <c r="N115" s="321" t="s">
        <v>417</v>
      </c>
      <c r="O115" s="76" t="s">
        <v>428</v>
      </c>
      <c r="P115" s="80">
        <v>0.85</v>
      </c>
      <c r="Q115" s="321"/>
      <c r="R115" s="321"/>
      <c r="S115" s="321"/>
      <c r="T115" s="321"/>
      <c r="U115" s="321" t="s">
        <v>429</v>
      </c>
      <c r="V115" s="321"/>
      <c r="W115" s="70"/>
      <c r="X115" s="321">
        <f t="shared" ref="X115" si="40">ROUND(M115*P115,-3)</f>
        <v>19933000</v>
      </c>
      <c r="Y115" s="59" t="s">
        <v>417</v>
      </c>
    </row>
    <row r="116" spans="1:25" ht="21" customHeight="1">
      <c r="A116" s="46"/>
      <c r="B116" s="47"/>
      <c r="C116" s="47"/>
      <c r="D116" s="47"/>
      <c r="E116" s="49"/>
      <c r="F116" s="49"/>
      <c r="G116" s="50"/>
      <c r="H116" s="72"/>
      <c r="I116" s="73" t="s">
        <v>453</v>
      </c>
      <c r="J116" s="322"/>
      <c r="K116" s="321"/>
      <c r="L116" s="321"/>
      <c r="M116" s="405"/>
      <c r="N116" s="321"/>
      <c r="O116" s="321"/>
      <c r="P116" s="321"/>
      <c r="Q116" s="321"/>
      <c r="R116" s="321"/>
      <c r="S116" s="321"/>
      <c r="T116" s="321"/>
      <c r="U116" s="321"/>
      <c r="V116" s="323" t="s">
        <v>430</v>
      </c>
      <c r="W116" s="74"/>
      <c r="X116" s="323">
        <f>SUM(X117:X120)</f>
        <v>90294000</v>
      </c>
      <c r="Y116" s="75" t="s">
        <v>25</v>
      </c>
    </row>
    <row r="117" spans="1:25" ht="21" customHeight="1">
      <c r="A117" s="46"/>
      <c r="B117" s="47"/>
      <c r="C117" s="47"/>
      <c r="D117" s="47"/>
      <c r="E117" s="49"/>
      <c r="F117" s="49"/>
      <c r="G117" s="50"/>
      <c r="H117" s="72"/>
      <c r="I117" s="445" t="s">
        <v>664</v>
      </c>
      <c r="J117" s="322"/>
      <c r="K117" s="321"/>
      <c r="L117" s="321"/>
      <c r="M117" s="405">
        <v>4468800</v>
      </c>
      <c r="N117" s="321" t="s">
        <v>417</v>
      </c>
      <c r="O117" s="76" t="s">
        <v>428</v>
      </c>
      <c r="P117" s="80">
        <v>0.85</v>
      </c>
      <c r="Q117" s="321"/>
      <c r="R117" s="321"/>
      <c r="S117" s="321"/>
      <c r="T117" s="321"/>
      <c r="U117" s="321" t="s">
        <v>429</v>
      </c>
      <c r="V117" s="590"/>
      <c r="W117" s="590"/>
      <c r="X117" s="349">
        <f t="shared" ref="X117:X119" si="41">ROUND(M117*P117,-3)</f>
        <v>3798000</v>
      </c>
      <c r="Y117" s="136" t="s">
        <v>423</v>
      </c>
    </row>
    <row r="118" spans="1:25" ht="21" customHeight="1">
      <c r="A118" s="46"/>
      <c r="B118" s="47"/>
      <c r="C118" s="47"/>
      <c r="D118" s="47"/>
      <c r="E118" s="49"/>
      <c r="F118" s="49"/>
      <c r="G118" s="50"/>
      <c r="H118" s="72"/>
      <c r="I118" s="69" t="s">
        <v>424</v>
      </c>
      <c r="J118" s="322"/>
      <c r="K118" s="321"/>
      <c r="L118" s="321"/>
      <c r="M118" s="405">
        <v>1200000</v>
      </c>
      <c r="N118" s="321" t="s">
        <v>417</v>
      </c>
      <c r="O118" s="76" t="s">
        <v>428</v>
      </c>
      <c r="P118" s="80">
        <v>0.85</v>
      </c>
      <c r="Q118" s="321"/>
      <c r="R118" s="321"/>
      <c r="S118" s="321"/>
      <c r="T118" s="321"/>
      <c r="U118" s="321" t="s">
        <v>429</v>
      </c>
      <c r="V118" s="591"/>
      <c r="W118" s="591"/>
      <c r="X118" s="70">
        <f t="shared" si="41"/>
        <v>1020000</v>
      </c>
      <c r="Y118" s="59" t="s">
        <v>423</v>
      </c>
    </row>
    <row r="119" spans="1:25" ht="21" customHeight="1">
      <c r="A119" s="46"/>
      <c r="B119" s="47"/>
      <c r="C119" s="47"/>
      <c r="D119" s="47"/>
      <c r="E119" s="49"/>
      <c r="F119" s="49"/>
      <c r="G119" s="50"/>
      <c r="H119" s="72"/>
      <c r="I119" s="445" t="s">
        <v>666</v>
      </c>
      <c r="J119" s="322"/>
      <c r="K119" s="321"/>
      <c r="L119" s="321"/>
      <c r="M119" s="405">
        <v>10260400</v>
      </c>
      <c r="N119" s="321" t="s">
        <v>417</v>
      </c>
      <c r="O119" s="76" t="s">
        <v>428</v>
      </c>
      <c r="P119" s="80">
        <v>0.85</v>
      </c>
      <c r="Q119" s="321"/>
      <c r="R119" s="321"/>
      <c r="S119" s="321"/>
      <c r="T119" s="321"/>
      <c r="U119" s="321" t="s">
        <v>429</v>
      </c>
      <c r="V119" s="591"/>
      <c r="W119" s="591"/>
      <c r="X119" s="70">
        <f t="shared" si="41"/>
        <v>8721000</v>
      </c>
      <c r="Y119" s="59" t="s">
        <v>423</v>
      </c>
    </row>
    <row r="120" spans="1:25" ht="21" customHeight="1">
      <c r="A120" s="46"/>
      <c r="B120" s="47"/>
      <c r="C120" s="47"/>
      <c r="D120" s="47"/>
      <c r="E120" s="49"/>
      <c r="F120" s="49"/>
      <c r="G120" s="50"/>
      <c r="H120" s="72"/>
      <c r="I120" s="445" t="s">
        <v>667</v>
      </c>
      <c r="J120" s="322"/>
      <c r="K120" s="321"/>
      <c r="L120" s="321"/>
      <c r="M120" s="405">
        <v>90300000</v>
      </c>
      <c r="N120" s="321" t="s">
        <v>417</v>
      </c>
      <c r="O120" s="76" t="s">
        <v>428</v>
      </c>
      <c r="P120" s="80">
        <v>0.85</v>
      </c>
      <c r="Q120" s="321"/>
      <c r="R120" s="321"/>
      <c r="S120" s="321"/>
      <c r="T120" s="321"/>
      <c r="U120" s="321" t="s">
        <v>429</v>
      </c>
      <c r="V120" s="591"/>
      <c r="W120" s="591"/>
      <c r="X120" s="70">
        <f>ROUNDDOWN(M120*P120,-3)</f>
        <v>76755000</v>
      </c>
      <c r="Y120" s="59" t="s">
        <v>423</v>
      </c>
    </row>
    <row r="121" spans="1:25" ht="21" customHeight="1">
      <c r="A121" s="46"/>
      <c r="B121" s="47"/>
      <c r="C121" s="47"/>
      <c r="D121" s="47"/>
      <c r="E121" s="49"/>
      <c r="F121" s="49"/>
      <c r="G121" s="50"/>
      <c r="H121" s="72"/>
      <c r="I121" s="73" t="s">
        <v>454</v>
      </c>
      <c r="J121" s="322"/>
      <c r="K121" s="321"/>
      <c r="L121" s="321"/>
      <c r="M121" s="321"/>
      <c r="N121" s="321"/>
      <c r="O121" s="321"/>
      <c r="P121" s="321"/>
      <c r="Q121" s="321"/>
      <c r="R121" s="321"/>
      <c r="S121" s="321"/>
      <c r="T121" s="321"/>
      <c r="U121" s="321"/>
      <c r="V121" s="323" t="s">
        <v>430</v>
      </c>
      <c r="W121" s="74"/>
      <c r="X121" s="323">
        <f>X122</f>
        <v>4284000</v>
      </c>
      <c r="Y121" s="75" t="s">
        <v>25</v>
      </c>
    </row>
    <row r="122" spans="1:25" ht="21" customHeight="1">
      <c r="A122" s="46"/>
      <c r="B122" s="47"/>
      <c r="C122" s="47"/>
      <c r="D122" s="47"/>
      <c r="E122" s="49"/>
      <c r="F122" s="49"/>
      <c r="G122" s="50"/>
      <c r="H122" s="72"/>
      <c r="I122" s="445" t="s">
        <v>668</v>
      </c>
      <c r="J122" s="322"/>
      <c r="K122" s="321"/>
      <c r="L122" s="321"/>
      <c r="M122" s="321">
        <f>SUM(M113:M119)</f>
        <v>60479200</v>
      </c>
      <c r="N122" s="55" t="s">
        <v>423</v>
      </c>
      <c r="O122" s="354" t="s">
        <v>425</v>
      </c>
      <c r="P122" s="79">
        <v>12</v>
      </c>
      <c r="Q122" s="302" t="s">
        <v>426</v>
      </c>
      <c r="R122" s="76" t="s">
        <v>428</v>
      </c>
      <c r="S122" s="80">
        <v>0.85</v>
      </c>
      <c r="T122" s="321"/>
      <c r="U122" s="321" t="s">
        <v>427</v>
      </c>
      <c r="V122" s="96"/>
      <c r="W122" s="96"/>
      <c r="X122" s="349">
        <f>ROUND(M122/P122*S122,-3)</f>
        <v>4284000</v>
      </c>
      <c r="Y122" s="390" t="s">
        <v>417</v>
      </c>
    </row>
    <row r="123" spans="1:25" ht="21" customHeight="1">
      <c r="A123" s="46"/>
      <c r="B123" s="47"/>
      <c r="C123" s="47"/>
      <c r="D123" s="47"/>
      <c r="E123" s="49"/>
      <c r="F123" s="49"/>
      <c r="G123" s="50"/>
      <c r="H123" s="72"/>
      <c r="I123" s="73" t="s">
        <v>455</v>
      </c>
      <c r="J123" s="322"/>
      <c r="K123" s="321"/>
      <c r="L123" s="321"/>
      <c r="M123" s="321"/>
      <c r="N123" s="55"/>
      <c r="O123" s="321"/>
      <c r="P123" s="321"/>
      <c r="Q123" s="321"/>
      <c r="R123" s="321"/>
      <c r="S123" s="321"/>
      <c r="T123" s="321"/>
      <c r="U123" s="321"/>
      <c r="V123" s="323" t="s">
        <v>430</v>
      </c>
      <c r="W123" s="74"/>
      <c r="X123" s="323">
        <f>SUM(X124:X128)</f>
        <v>4633000</v>
      </c>
      <c r="Y123" s="75" t="s">
        <v>25</v>
      </c>
    </row>
    <row r="124" spans="1:25" ht="21" customHeight="1">
      <c r="A124" s="46"/>
      <c r="B124" s="47"/>
      <c r="C124" s="47"/>
      <c r="D124" s="47"/>
      <c r="E124" s="49"/>
      <c r="F124" s="49"/>
      <c r="G124" s="50"/>
      <c r="H124" s="72"/>
      <c r="I124" s="445" t="s">
        <v>676</v>
      </c>
      <c r="J124" s="322"/>
      <c r="K124" s="321"/>
      <c r="L124" s="321"/>
      <c r="M124" s="321">
        <f>M122</f>
        <v>60479200</v>
      </c>
      <c r="N124" s="55" t="s">
        <v>423</v>
      </c>
      <c r="O124" s="76" t="s">
        <v>428</v>
      </c>
      <c r="P124" s="355">
        <v>0.09</v>
      </c>
      <c r="Q124" s="354">
        <v>2</v>
      </c>
      <c r="R124" s="76" t="s">
        <v>428</v>
      </c>
      <c r="S124" s="80">
        <v>0.85</v>
      </c>
      <c r="T124" s="78"/>
      <c r="U124" s="354" t="s">
        <v>427</v>
      </c>
      <c r="V124" s="321"/>
      <c r="W124" s="70"/>
      <c r="X124" s="70">
        <f>ROUNDUP(M124*P124/Q124*S124,-3)</f>
        <v>2314000</v>
      </c>
      <c r="Y124" s="59" t="s">
        <v>423</v>
      </c>
    </row>
    <row r="125" spans="1:25" ht="21" customHeight="1">
      <c r="A125" s="46"/>
      <c r="B125" s="47"/>
      <c r="C125" s="47"/>
      <c r="D125" s="47"/>
      <c r="E125" s="49"/>
      <c r="F125" s="49"/>
      <c r="G125" s="50"/>
      <c r="H125" s="72"/>
      <c r="I125" s="445" t="s">
        <v>677</v>
      </c>
      <c r="J125" s="322"/>
      <c r="K125" s="321"/>
      <c r="L125" s="321"/>
      <c r="M125" s="321">
        <f>M122</f>
        <v>60479200</v>
      </c>
      <c r="N125" s="55" t="s">
        <v>423</v>
      </c>
      <c r="O125" s="76" t="s">
        <v>428</v>
      </c>
      <c r="P125" s="356">
        <v>5.8900000000000001E-2</v>
      </c>
      <c r="Q125" s="354">
        <v>2</v>
      </c>
      <c r="R125" s="76" t="s">
        <v>428</v>
      </c>
      <c r="S125" s="80">
        <v>0.85</v>
      </c>
      <c r="T125" s="78"/>
      <c r="U125" s="354" t="s">
        <v>427</v>
      </c>
      <c r="V125" s="321"/>
      <c r="W125" s="70"/>
      <c r="X125" s="70">
        <f>ROUND(M125*P125/Q125*S125,-3)</f>
        <v>1514000</v>
      </c>
      <c r="Y125" s="59" t="s">
        <v>423</v>
      </c>
    </row>
    <row r="126" spans="1:25" ht="21" customHeight="1">
      <c r="A126" s="46"/>
      <c r="B126" s="47"/>
      <c r="C126" s="47"/>
      <c r="D126" s="47"/>
      <c r="E126" s="49"/>
      <c r="F126" s="49"/>
      <c r="G126" s="50"/>
      <c r="H126" s="72"/>
      <c r="I126" s="445" t="s">
        <v>678</v>
      </c>
      <c r="J126" s="322"/>
      <c r="K126" s="321"/>
      <c r="L126" s="321"/>
      <c r="M126" s="321">
        <f>X125</f>
        <v>1514000</v>
      </c>
      <c r="N126" s="55" t="s">
        <v>423</v>
      </c>
      <c r="O126" s="76" t="s">
        <v>428</v>
      </c>
      <c r="P126" s="82">
        <v>6.5500000000000003E-2</v>
      </c>
      <c r="Q126" s="83"/>
      <c r="R126" s="76"/>
      <c r="S126" s="80"/>
      <c r="T126" s="85"/>
      <c r="U126" s="354" t="s">
        <v>427</v>
      </c>
      <c r="V126" s="321"/>
      <c r="W126" s="70"/>
      <c r="X126" s="70">
        <f>ROUND(M126*P126,-3)</f>
        <v>99000</v>
      </c>
      <c r="Y126" s="59" t="s">
        <v>423</v>
      </c>
    </row>
    <row r="127" spans="1:25" ht="21" customHeight="1">
      <c r="A127" s="46"/>
      <c r="B127" s="47"/>
      <c r="C127" s="47"/>
      <c r="D127" s="47"/>
      <c r="E127" s="49"/>
      <c r="F127" s="49"/>
      <c r="G127" s="50"/>
      <c r="H127" s="72"/>
      <c r="I127" s="445" t="s">
        <v>679</v>
      </c>
      <c r="J127" s="322"/>
      <c r="K127" s="321"/>
      <c r="L127" s="321"/>
      <c r="M127" s="321">
        <f>M122</f>
        <v>60479200</v>
      </c>
      <c r="N127" s="55" t="s">
        <v>423</v>
      </c>
      <c r="O127" s="76" t="s">
        <v>428</v>
      </c>
      <c r="P127" s="82">
        <v>8.0000000000000002E-3</v>
      </c>
      <c r="Q127" s="76"/>
      <c r="R127" s="76" t="s">
        <v>428</v>
      </c>
      <c r="S127" s="80">
        <v>0.85</v>
      </c>
      <c r="T127" s="78"/>
      <c r="U127" s="354" t="s">
        <v>427</v>
      </c>
      <c r="V127" s="321"/>
      <c r="W127" s="70"/>
      <c r="X127" s="70">
        <f>ROUND(M127*P127*S127,-3)</f>
        <v>411000</v>
      </c>
      <c r="Y127" s="59" t="s">
        <v>423</v>
      </c>
    </row>
    <row r="128" spans="1:25" ht="21" customHeight="1">
      <c r="A128" s="46"/>
      <c r="B128" s="47"/>
      <c r="C128" s="47"/>
      <c r="D128" s="47"/>
      <c r="E128" s="49"/>
      <c r="F128" s="49"/>
      <c r="G128" s="50"/>
      <c r="H128" s="72"/>
      <c r="I128" s="445" t="s">
        <v>680</v>
      </c>
      <c r="J128" s="322"/>
      <c r="K128" s="321"/>
      <c r="L128" s="321"/>
      <c r="M128" s="321">
        <f>M122</f>
        <v>60479200</v>
      </c>
      <c r="N128" s="55" t="s">
        <v>423</v>
      </c>
      <c r="O128" s="76" t="s">
        <v>428</v>
      </c>
      <c r="P128" s="410">
        <v>5.7400000000000003E-3</v>
      </c>
      <c r="Q128" s="76"/>
      <c r="R128" s="76" t="s">
        <v>428</v>
      </c>
      <c r="S128" s="80">
        <v>0.85</v>
      </c>
      <c r="T128" s="78"/>
      <c r="U128" s="354" t="s">
        <v>427</v>
      </c>
      <c r="V128" s="321"/>
      <c r="W128" s="70"/>
      <c r="X128" s="70">
        <f t="shared" ref="X128" si="42">ROUND(M128*P128*S128,-3)</f>
        <v>295000</v>
      </c>
      <c r="Y128" s="59" t="s">
        <v>423</v>
      </c>
    </row>
    <row r="129" spans="1:25" ht="21" customHeight="1">
      <c r="A129" s="46"/>
      <c r="B129" s="47"/>
      <c r="C129" s="47"/>
      <c r="D129" s="47"/>
      <c r="E129" s="49"/>
      <c r="F129" s="49"/>
      <c r="G129" s="50"/>
      <c r="H129" s="72"/>
      <c r="I129" s="69"/>
      <c r="J129" s="322"/>
      <c r="K129" s="321"/>
      <c r="L129" s="321"/>
      <c r="M129" s="321"/>
      <c r="N129" s="55"/>
      <c r="O129" s="76"/>
      <c r="P129" s="82"/>
      <c r="Q129" s="76"/>
      <c r="R129" s="76"/>
      <c r="S129" s="80"/>
      <c r="T129" s="78"/>
      <c r="U129" s="354"/>
      <c r="V129" s="321"/>
      <c r="W129" s="70"/>
      <c r="X129" s="70"/>
      <c r="Y129" s="59"/>
    </row>
    <row r="130" spans="1:25" ht="21" customHeight="1">
      <c r="A130" s="46"/>
      <c r="B130" s="47"/>
      <c r="C130" s="47"/>
      <c r="D130" s="47"/>
      <c r="E130" s="49"/>
      <c r="F130" s="49"/>
      <c r="G130" s="50"/>
      <c r="H130" s="72"/>
      <c r="I130" s="73" t="s">
        <v>457</v>
      </c>
      <c r="J130" s="70"/>
      <c r="K130" s="305"/>
      <c r="L130" s="305"/>
      <c r="M130" s="321"/>
      <c r="N130" s="321"/>
      <c r="O130" s="302"/>
      <c r="P130" s="321"/>
      <c r="Q130" s="55"/>
      <c r="R130" s="304"/>
      <c r="S130" s="57"/>
      <c r="T130" s="354"/>
      <c r="U130" s="354"/>
      <c r="V130" s="323" t="s">
        <v>456</v>
      </c>
      <c r="W130" s="74"/>
      <c r="X130" s="323">
        <f>SUM(X131:X134)</f>
        <v>17255000</v>
      </c>
      <c r="Y130" s="75" t="s">
        <v>25</v>
      </c>
    </row>
    <row r="131" spans="1:25" ht="21" customHeight="1">
      <c r="A131" s="46"/>
      <c r="B131" s="47"/>
      <c r="C131" s="47"/>
      <c r="D131" s="47"/>
      <c r="E131" s="49"/>
      <c r="F131" s="49"/>
      <c r="G131" s="50"/>
      <c r="H131" s="72"/>
      <c r="I131" s="69" t="s">
        <v>458</v>
      </c>
      <c r="J131" s="322"/>
      <c r="K131" s="321"/>
      <c r="L131" s="321"/>
      <c r="M131" s="363">
        <v>300000</v>
      </c>
      <c r="N131" s="71" t="s">
        <v>423</v>
      </c>
      <c r="O131" s="71" t="s">
        <v>428</v>
      </c>
      <c r="P131" s="365">
        <v>1</v>
      </c>
      <c r="Q131" s="360">
        <v>12</v>
      </c>
      <c r="R131" s="71" t="s">
        <v>426</v>
      </c>
      <c r="S131" s="361">
        <v>0.85</v>
      </c>
      <c r="T131" s="71"/>
      <c r="U131" s="71" t="s">
        <v>427</v>
      </c>
      <c r="V131" s="321"/>
      <c r="W131" s="70"/>
      <c r="X131" s="321">
        <f>M131*P131*Q131*S131</f>
        <v>3060000</v>
      </c>
      <c r="Y131" s="59" t="s">
        <v>423</v>
      </c>
    </row>
    <row r="132" spans="1:25" ht="21" customHeight="1">
      <c r="A132" s="46"/>
      <c r="B132" s="47"/>
      <c r="C132" s="47"/>
      <c r="D132" s="47"/>
      <c r="E132" s="49"/>
      <c r="F132" s="49"/>
      <c r="G132" s="50"/>
      <c r="H132" s="72"/>
      <c r="I132" s="445" t="s">
        <v>641</v>
      </c>
      <c r="J132" s="322"/>
      <c r="K132" s="321"/>
      <c r="L132" s="321"/>
      <c r="M132" s="363">
        <v>5000000</v>
      </c>
      <c r="N132" s="71" t="s">
        <v>423</v>
      </c>
      <c r="O132" s="71" t="s">
        <v>428</v>
      </c>
      <c r="P132" s="80">
        <v>0.85</v>
      </c>
      <c r="Q132" s="360"/>
      <c r="R132" s="71"/>
      <c r="S132" s="361"/>
      <c r="T132" s="71"/>
      <c r="U132" s="71" t="s">
        <v>429</v>
      </c>
      <c r="V132" s="321"/>
      <c r="W132" s="70"/>
      <c r="X132" s="321">
        <f>M132*P132</f>
        <v>4250000</v>
      </c>
      <c r="Y132" s="59" t="s">
        <v>423</v>
      </c>
    </row>
    <row r="133" spans="1:25" ht="21" customHeight="1">
      <c r="A133" s="46"/>
      <c r="B133" s="47"/>
      <c r="C133" s="47"/>
      <c r="D133" s="47"/>
      <c r="E133" s="49"/>
      <c r="F133" s="49"/>
      <c r="G133" s="50"/>
      <c r="H133" s="72"/>
      <c r="I133" s="445" t="s">
        <v>747</v>
      </c>
      <c r="J133" s="322"/>
      <c r="K133" s="321"/>
      <c r="L133" s="321"/>
      <c r="M133" s="363">
        <v>70000</v>
      </c>
      <c r="N133" s="71" t="s">
        <v>423</v>
      </c>
      <c r="O133" s="71" t="s">
        <v>428</v>
      </c>
      <c r="P133" s="364">
        <v>1</v>
      </c>
      <c r="Q133" s="360">
        <v>90</v>
      </c>
      <c r="R133" s="71" t="s">
        <v>441</v>
      </c>
      <c r="S133" s="361">
        <v>0.85</v>
      </c>
      <c r="T133" s="71"/>
      <c r="U133" s="71" t="s">
        <v>427</v>
      </c>
      <c r="V133" s="321"/>
      <c r="W133" s="70"/>
      <c r="X133" s="321">
        <f t="shared" ref="X133:X134" si="43">M133*P133*Q133*S133</f>
        <v>5355000</v>
      </c>
      <c r="Y133" s="59" t="s">
        <v>423</v>
      </c>
    </row>
    <row r="134" spans="1:25" ht="21" customHeight="1">
      <c r="A134" s="46"/>
      <c r="B134" s="47"/>
      <c r="C134" s="47"/>
      <c r="D134" s="47"/>
      <c r="E134" s="49"/>
      <c r="F134" s="49"/>
      <c r="G134" s="50"/>
      <c r="H134" s="72"/>
      <c r="I134" s="69" t="s">
        <v>459</v>
      </c>
      <c r="J134" s="322"/>
      <c r="K134" s="321"/>
      <c r="L134" s="321"/>
      <c r="M134" s="363">
        <v>45000</v>
      </c>
      <c r="N134" s="71" t="s">
        <v>423</v>
      </c>
      <c r="O134" s="71" t="s">
        <v>428</v>
      </c>
      <c r="P134" s="364">
        <v>1</v>
      </c>
      <c r="Q134" s="360">
        <v>120</v>
      </c>
      <c r="R134" s="71" t="s">
        <v>441</v>
      </c>
      <c r="S134" s="361">
        <v>0.85</v>
      </c>
      <c r="T134" s="71"/>
      <c r="U134" s="71" t="s">
        <v>427</v>
      </c>
      <c r="V134" s="321"/>
      <c r="W134" s="70"/>
      <c r="X134" s="321">
        <f t="shared" si="43"/>
        <v>4590000</v>
      </c>
      <c r="Y134" s="59" t="s">
        <v>423</v>
      </c>
    </row>
    <row r="135" spans="1:25" ht="21" customHeight="1">
      <c r="A135" s="46"/>
      <c r="B135" s="47"/>
      <c r="C135" s="47"/>
      <c r="D135" s="61"/>
      <c r="E135" s="63"/>
      <c r="F135" s="63"/>
      <c r="G135" s="64"/>
      <c r="H135" s="92"/>
      <c r="I135" s="73"/>
      <c r="J135" s="324"/>
      <c r="K135" s="323"/>
      <c r="L135" s="323"/>
      <c r="M135" s="323"/>
      <c r="N135" s="159"/>
      <c r="O135" s="307"/>
      <c r="P135" s="366"/>
      <c r="Q135" s="307"/>
      <c r="R135" s="307"/>
      <c r="S135" s="346"/>
      <c r="T135" s="310"/>
      <c r="U135" s="294"/>
      <c r="V135" s="323"/>
      <c r="W135" s="74"/>
      <c r="X135" s="74"/>
      <c r="Y135" s="75"/>
    </row>
    <row r="136" spans="1:25" ht="21" customHeight="1">
      <c r="A136" s="46"/>
      <c r="B136" s="47"/>
      <c r="C136" s="47"/>
      <c r="D136" s="47" t="s">
        <v>461</v>
      </c>
      <c r="E136" s="49">
        <v>14454</v>
      </c>
      <c r="F136" s="338">
        <f>ROUND(X136/1000,0)</f>
        <v>14254</v>
      </c>
      <c r="G136" s="50">
        <f t="shared" ref="G136" si="44">F136-E136</f>
        <v>-200</v>
      </c>
      <c r="H136" s="72">
        <f t="shared" ref="H136" si="45">IF(E136=0,0,G136/E136)</f>
        <v>-1.3837000138370002E-2</v>
      </c>
      <c r="I136" s="73" t="s">
        <v>460</v>
      </c>
      <c r="J136" s="70"/>
      <c r="K136" s="305"/>
      <c r="L136" s="305"/>
      <c r="M136" s="321"/>
      <c r="N136" s="321"/>
      <c r="O136" s="302"/>
      <c r="P136" s="321"/>
      <c r="Q136" s="55"/>
      <c r="R136" s="304"/>
      <c r="S136" s="57"/>
      <c r="T136" s="354"/>
      <c r="U136" s="354"/>
      <c r="V136" s="323" t="s">
        <v>463</v>
      </c>
      <c r="W136" s="74"/>
      <c r="X136" s="323">
        <f>SUM(X137:X141)</f>
        <v>14254000</v>
      </c>
      <c r="Y136" s="75" t="s">
        <v>25</v>
      </c>
    </row>
    <row r="137" spans="1:25" ht="21" customHeight="1">
      <c r="A137" s="46"/>
      <c r="B137" s="47"/>
      <c r="C137" s="47"/>
      <c r="D137" s="47" t="s">
        <v>462</v>
      </c>
      <c r="E137" s="49"/>
      <c r="F137" s="49"/>
      <c r="G137" s="50"/>
      <c r="H137" s="72"/>
      <c r="I137" s="322" t="s">
        <v>464</v>
      </c>
      <c r="J137" s="70"/>
      <c r="K137" s="305"/>
      <c r="L137" s="305"/>
      <c r="M137" s="363">
        <v>5616000</v>
      </c>
      <c r="N137" s="71" t="s">
        <v>423</v>
      </c>
      <c r="O137" s="71" t="s">
        <v>428</v>
      </c>
      <c r="P137" s="80">
        <v>0.9</v>
      </c>
      <c r="Q137" s="360"/>
      <c r="R137" s="71"/>
      <c r="S137" s="361"/>
      <c r="T137" s="71"/>
      <c r="U137" s="71" t="s">
        <v>429</v>
      </c>
      <c r="V137" s="321"/>
      <c r="W137" s="70"/>
      <c r="X137" s="321">
        <f>ROUND(M137*P137,-3)</f>
        <v>5054000</v>
      </c>
      <c r="Y137" s="59" t="s">
        <v>423</v>
      </c>
    </row>
    <row r="138" spans="1:25" ht="21" customHeight="1">
      <c r="A138" s="46"/>
      <c r="B138" s="47"/>
      <c r="C138" s="47"/>
      <c r="D138" s="47"/>
      <c r="E138" s="49"/>
      <c r="F138" s="49"/>
      <c r="G138" s="50"/>
      <c r="H138" s="72"/>
      <c r="I138" s="69" t="s">
        <v>466</v>
      </c>
      <c r="J138" s="322"/>
      <c r="K138" s="321"/>
      <c r="L138" s="321"/>
      <c r="M138" s="321"/>
      <c r="N138" s="55"/>
      <c r="O138" s="76"/>
      <c r="P138" s="82"/>
      <c r="Q138" s="76"/>
      <c r="R138" s="76"/>
      <c r="S138" s="80"/>
      <c r="T138" s="78"/>
      <c r="U138" s="354"/>
      <c r="V138" s="321"/>
      <c r="W138" s="70"/>
      <c r="X138" s="70">
        <v>2000000</v>
      </c>
      <c r="Y138" s="59" t="s">
        <v>417</v>
      </c>
    </row>
    <row r="139" spans="1:25" ht="21" customHeight="1">
      <c r="A139" s="46"/>
      <c r="B139" s="47"/>
      <c r="C139" s="47"/>
      <c r="D139" s="47"/>
      <c r="E139" s="49"/>
      <c r="F139" s="49"/>
      <c r="G139" s="50"/>
      <c r="H139" s="72"/>
      <c r="I139" s="69" t="s">
        <v>467</v>
      </c>
      <c r="J139" s="322"/>
      <c r="K139" s="321"/>
      <c r="L139" s="321"/>
      <c r="M139" s="321"/>
      <c r="N139" s="55"/>
      <c r="O139" s="76"/>
      <c r="P139" s="82"/>
      <c r="Q139" s="76"/>
      <c r="R139" s="76"/>
      <c r="S139" s="80"/>
      <c r="T139" s="78"/>
      <c r="U139" s="354"/>
      <c r="V139" s="321"/>
      <c r="W139" s="70"/>
      <c r="X139" s="70">
        <v>2000000</v>
      </c>
      <c r="Y139" s="59" t="s">
        <v>417</v>
      </c>
    </row>
    <row r="140" spans="1:25" ht="21" customHeight="1">
      <c r="A140" s="46"/>
      <c r="B140" s="47"/>
      <c r="C140" s="47"/>
      <c r="D140" s="47"/>
      <c r="E140" s="49"/>
      <c r="F140" s="49"/>
      <c r="G140" s="50"/>
      <c r="H140" s="72"/>
      <c r="I140" s="69" t="s">
        <v>468</v>
      </c>
      <c r="J140" s="322"/>
      <c r="K140" s="321"/>
      <c r="L140" s="321"/>
      <c r="M140" s="321"/>
      <c r="N140" s="55"/>
      <c r="O140" s="76"/>
      <c r="P140" s="82"/>
      <c r="Q140" s="76"/>
      <c r="R140" s="76"/>
      <c r="S140" s="80"/>
      <c r="T140" s="78"/>
      <c r="U140" s="354"/>
      <c r="V140" s="321"/>
      <c r="W140" s="70"/>
      <c r="X140" s="70">
        <v>2000000</v>
      </c>
      <c r="Y140" s="59" t="s">
        <v>417</v>
      </c>
    </row>
    <row r="141" spans="1:25" ht="21" customHeight="1">
      <c r="A141" s="46"/>
      <c r="B141" s="47"/>
      <c r="C141" s="47"/>
      <c r="D141" s="47"/>
      <c r="E141" s="49"/>
      <c r="F141" s="49"/>
      <c r="G141" s="50"/>
      <c r="H141" s="72"/>
      <c r="I141" s="445" t="s">
        <v>642</v>
      </c>
      <c r="J141" s="322"/>
      <c r="K141" s="321"/>
      <c r="L141" s="321"/>
      <c r="M141" s="363">
        <v>200000</v>
      </c>
      <c r="N141" s="71" t="s">
        <v>423</v>
      </c>
      <c r="O141" s="71" t="s">
        <v>428</v>
      </c>
      <c r="P141" s="364">
        <v>16</v>
      </c>
      <c r="Q141" s="360"/>
      <c r="R141" s="71"/>
      <c r="S141" s="361"/>
      <c r="T141" s="71"/>
      <c r="U141" s="71" t="s">
        <v>429</v>
      </c>
      <c r="V141" s="321"/>
      <c r="W141" s="70"/>
      <c r="X141" s="321">
        <f>ROUND(M141*P141,-3)</f>
        <v>3200000</v>
      </c>
      <c r="Y141" s="59" t="s">
        <v>423</v>
      </c>
    </row>
    <row r="142" spans="1:25" ht="21" customHeight="1">
      <c r="A142" s="46"/>
      <c r="B142" s="47"/>
      <c r="C142" s="47"/>
      <c r="D142" s="47"/>
      <c r="E142" s="49"/>
      <c r="F142" s="49"/>
      <c r="G142" s="50"/>
      <c r="H142" s="72"/>
      <c r="I142" s="69"/>
      <c r="J142" s="322"/>
      <c r="K142" s="321"/>
      <c r="L142" s="321"/>
      <c r="M142" s="321"/>
      <c r="N142" s="55"/>
      <c r="O142" s="76"/>
      <c r="P142" s="82"/>
      <c r="Q142" s="76"/>
      <c r="R142" s="76"/>
      <c r="S142" s="80"/>
      <c r="T142" s="78"/>
      <c r="U142" s="354"/>
      <c r="V142" s="321"/>
      <c r="W142" s="70"/>
      <c r="X142" s="70"/>
      <c r="Y142" s="59"/>
    </row>
    <row r="143" spans="1:25" ht="21" customHeight="1">
      <c r="A143" s="46"/>
      <c r="B143" s="47"/>
      <c r="C143" s="37" t="s">
        <v>365</v>
      </c>
      <c r="D143" s="384" t="s">
        <v>281</v>
      </c>
      <c r="E143" s="314">
        <f>E144</f>
        <v>0</v>
      </c>
      <c r="F143" s="314">
        <f>F144</f>
        <v>0</v>
      </c>
      <c r="G143" s="315">
        <f t="shared" ref="G143:G144" si="46">F143-E143</f>
        <v>0</v>
      </c>
      <c r="H143" s="316">
        <f t="shared" ref="H143:H144" si="47">IF(E143=0,0,G143/E143)</f>
        <v>0</v>
      </c>
      <c r="I143" s="298" t="s">
        <v>364</v>
      </c>
      <c r="J143" s="299"/>
      <c r="K143" s="300"/>
      <c r="L143" s="300"/>
      <c r="M143" s="300"/>
      <c r="N143" s="300"/>
      <c r="O143" s="300"/>
      <c r="P143" s="301"/>
      <c r="Q143" s="301"/>
      <c r="R143" s="301"/>
      <c r="S143" s="301"/>
      <c r="T143" s="301"/>
      <c r="U143" s="301"/>
      <c r="V143" s="335" t="s">
        <v>75</v>
      </c>
      <c r="W143" s="336"/>
      <c r="X143" s="336">
        <f>SUM(X144:X144)</f>
        <v>0</v>
      </c>
      <c r="Y143" s="387" t="s">
        <v>57</v>
      </c>
    </row>
    <row r="144" spans="1:25" ht="21" customHeight="1">
      <c r="A144" s="46"/>
      <c r="B144" s="47"/>
      <c r="C144" s="47" t="s">
        <v>358</v>
      </c>
      <c r="D144" s="47" t="s">
        <v>366</v>
      </c>
      <c r="E144" s="49">
        <v>0</v>
      </c>
      <c r="F144" s="49">
        <f>ROUND(X144/1000,0)</f>
        <v>0</v>
      </c>
      <c r="G144" s="403">
        <f t="shared" si="46"/>
        <v>0</v>
      </c>
      <c r="H144" s="262">
        <f t="shared" si="47"/>
        <v>0</v>
      </c>
      <c r="I144" s="69"/>
      <c r="J144" s="322"/>
      <c r="K144" s="321"/>
      <c r="L144" s="321"/>
      <c r="M144" s="321"/>
      <c r="N144" s="354"/>
      <c r="O144" s="302"/>
      <c r="P144" s="321"/>
      <c r="Q144" s="55"/>
      <c r="R144" s="303"/>
      <c r="S144" s="306"/>
      <c r="T144" s="306"/>
      <c r="U144" s="354"/>
      <c r="V144" s="135"/>
      <c r="W144" s="70"/>
      <c r="X144" s="70">
        <v>0</v>
      </c>
      <c r="Y144" s="59" t="s">
        <v>362</v>
      </c>
    </row>
    <row r="145" spans="1:26" s="11" customFormat="1" ht="19.5" customHeight="1">
      <c r="A145" s="391"/>
      <c r="B145" s="91"/>
      <c r="C145" s="91"/>
      <c r="D145" s="61"/>
      <c r="E145" s="63"/>
      <c r="F145" s="63"/>
      <c r="G145" s="64"/>
      <c r="H145" s="92"/>
      <c r="I145" s="73"/>
      <c r="J145" s="323"/>
      <c r="K145" s="93"/>
      <c r="L145" s="93"/>
      <c r="M145" s="94"/>
      <c r="N145" s="323"/>
      <c r="O145" s="93"/>
      <c r="P145" s="323"/>
      <c r="Q145" s="323"/>
      <c r="R145" s="323"/>
      <c r="S145" s="323"/>
      <c r="T145" s="323"/>
      <c r="U145" s="323"/>
      <c r="V145" s="323"/>
      <c r="W145" s="323"/>
      <c r="X145" s="323"/>
      <c r="Y145" s="75"/>
      <c r="Z145" s="6"/>
    </row>
    <row r="146" spans="1:26" ht="21" customHeight="1">
      <c r="A146" s="36" t="s">
        <v>80</v>
      </c>
      <c r="B146" s="37" t="s">
        <v>30</v>
      </c>
      <c r="C146" s="600" t="s">
        <v>506</v>
      </c>
      <c r="D146" s="601"/>
      <c r="E146" s="367">
        <f>SUM(E147,E156)</f>
        <v>90600</v>
      </c>
      <c r="F146" s="367">
        <f>SUM(F147,F156)</f>
        <v>90600</v>
      </c>
      <c r="G146" s="368">
        <f t="shared" ref="G146" si="48">F146-E146</f>
        <v>0</v>
      </c>
      <c r="H146" s="369">
        <f t="shared" ref="H146" si="49">IF(E146=0,0,G146/E146)</f>
        <v>0</v>
      </c>
      <c r="I146" s="370" t="s">
        <v>507</v>
      </c>
      <c r="J146" s="371"/>
      <c r="K146" s="372"/>
      <c r="L146" s="372"/>
      <c r="M146" s="371"/>
      <c r="N146" s="371"/>
      <c r="O146" s="371"/>
      <c r="P146" s="371"/>
      <c r="Q146" s="371" t="s">
        <v>70</v>
      </c>
      <c r="R146" s="373"/>
      <c r="S146" s="373"/>
      <c r="T146" s="373"/>
      <c r="U146" s="373"/>
      <c r="V146" s="373"/>
      <c r="W146" s="373"/>
      <c r="X146" s="374">
        <f>X147+X156</f>
        <v>90600000</v>
      </c>
      <c r="Y146" s="386" t="s">
        <v>25</v>
      </c>
    </row>
    <row r="147" spans="1:26" ht="21" customHeight="1">
      <c r="A147" s="46" t="s">
        <v>347</v>
      </c>
      <c r="B147" s="47" t="s">
        <v>347</v>
      </c>
      <c r="C147" s="37" t="s">
        <v>367</v>
      </c>
      <c r="D147" s="384" t="s">
        <v>512</v>
      </c>
      <c r="E147" s="314">
        <f>E148+E154</f>
        <v>30600</v>
      </c>
      <c r="F147" s="314">
        <f>F148+F154</f>
        <v>30600</v>
      </c>
      <c r="G147" s="315">
        <f t="shared" ref="G147:G148" si="50">F147-E147</f>
        <v>0</v>
      </c>
      <c r="H147" s="316">
        <f t="shared" ref="H147:H148" si="51">IF(E147=0,0,G147/E147)</f>
        <v>0</v>
      </c>
      <c r="I147" s="298" t="s">
        <v>513</v>
      </c>
      <c r="J147" s="299"/>
      <c r="K147" s="300"/>
      <c r="L147" s="300"/>
      <c r="M147" s="300"/>
      <c r="N147" s="300"/>
      <c r="O147" s="300"/>
      <c r="P147" s="301"/>
      <c r="Q147" s="301"/>
      <c r="R147" s="301"/>
      <c r="S147" s="301"/>
      <c r="T147" s="301"/>
      <c r="U147" s="301"/>
      <c r="V147" s="335" t="s">
        <v>501</v>
      </c>
      <c r="W147" s="336"/>
      <c r="X147" s="337">
        <f>SUM(X148,X154)</f>
        <v>30600000</v>
      </c>
      <c r="Y147" s="387" t="s">
        <v>491</v>
      </c>
    </row>
    <row r="148" spans="1:26" ht="21.75" customHeight="1">
      <c r="A148" s="46"/>
      <c r="B148" s="47"/>
      <c r="C148" s="47" t="s">
        <v>368</v>
      </c>
      <c r="D148" s="37" t="s">
        <v>369</v>
      </c>
      <c r="E148" s="38">
        <v>30000</v>
      </c>
      <c r="F148" s="49">
        <f>ROUND(X148/1000,0)</f>
        <v>30000</v>
      </c>
      <c r="G148" s="403">
        <f t="shared" si="50"/>
        <v>0</v>
      </c>
      <c r="H148" s="262">
        <f t="shared" si="51"/>
        <v>0</v>
      </c>
      <c r="I148" s="196" t="s">
        <v>370</v>
      </c>
      <c r="J148" s="216"/>
      <c r="K148" s="96"/>
      <c r="L148" s="96"/>
      <c r="M148" s="96"/>
      <c r="N148" s="96"/>
      <c r="O148" s="96"/>
      <c r="P148" s="96"/>
      <c r="Q148" s="96"/>
      <c r="R148" s="96"/>
      <c r="S148" s="96"/>
      <c r="T148" s="96"/>
      <c r="U148" s="96"/>
      <c r="V148" s="602" t="s">
        <v>75</v>
      </c>
      <c r="W148" s="602"/>
      <c r="X148" s="198">
        <f>SUM(X149:X153)</f>
        <v>30000000</v>
      </c>
      <c r="Y148" s="199" t="s">
        <v>68</v>
      </c>
    </row>
    <row r="149" spans="1:26" ht="18" customHeight="1">
      <c r="A149" s="46"/>
      <c r="B149" s="47"/>
      <c r="C149" s="47"/>
      <c r="D149" s="47"/>
      <c r="E149" s="49"/>
      <c r="F149" s="49"/>
      <c r="G149" s="50"/>
      <c r="H149" s="32"/>
      <c r="I149" s="69" t="s">
        <v>212</v>
      </c>
      <c r="J149" s="322"/>
      <c r="K149" s="321"/>
      <c r="L149" s="321"/>
      <c r="M149" s="321">
        <v>300000</v>
      </c>
      <c r="N149" s="354" t="s">
        <v>71</v>
      </c>
      <c r="O149" s="76" t="s">
        <v>72</v>
      </c>
      <c r="P149" s="71">
        <v>12</v>
      </c>
      <c r="Q149" s="76" t="s">
        <v>306</v>
      </c>
      <c r="R149" s="86"/>
      <c r="S149" s="78"/>
      <c r="T149" s="78"/>
      <c r="U149" s="354" t="s">
        <v>73</v>
      </c>
      <c r="V149" s="321"/>
      <c r="W149" s="70"/>
      <c r="X149" s="70">
        <f>M149*P149</f>
        <v>3600000</v>
      </c>
      <c r="Y149" s="59" t="s">
        <v>68</v>
      </c>
    </row>
    <row r="150" spans="1:26" ht="18" customHeight="1">
      <c r="A150" s="46"/>
      <c r="B150" s="47"/>
      <c r="C150" s="47"/>
      <c r="D150" s="47"/>
      <c r="E150" s="49"/>
      <c r="F150" s="49"/>
      <c r="G150" s="50"/>
      <c r="H150" s="32"/>
      <c r="I150" s="69" t="s">
        <v>597</v>
      </c>
      <c r="J150" s="427"/>
      <c r="K150" s="426"/>
      <c r="L150" s="426"/>
      <c r="M150" s="426">
        <v>200000</v>
      </c>
      <c r="N150" s="423" t="s">
        <v>57</v>
      </c>
      <c r="O150" s="76" t="s">
        <v>58</v>
      </c>
      <c r="P150" s="71">
        <v>12</v>
      </c>
      <c r="Q150" s="76" t="s">
        <v>0</v>
      </c>
      <c r="R150" s="86"/>
      <c r="S150" s="78"/>
      <c r="T150" s="78"/>
      <c r="U150" s="423" t="s">
        <v>53</v>
      </c>
      <c r="V150" s="426"/>
      <c r="W150" s="70"/>
      <c r="X150" s="70">
        <f>M150*P150</f>
        <v>2400000</v>
      </c>
      <c r="Y150" s="59" t="s">
        <v>57</v>
      </c>
    </row>
    <row r="151" spans="1:26" ht="18" customHeight="1">
      <c r="A151" s="46"/>
      <c r="B151" s="47"/>
      <c r="C151" s="47"/>
      <c r="D151" s="47"/>
      <c r="E151" s="49"/>
      <c r="F151" s="49"/>
      <c r="G151" s="50"/>
      <c r="H151" s="32"/>
      <c r="I151" s="69" t="s">
        <v>598</v>
      </c>
      <c r="J151" s="406"/>
      <c r="K151" s="405"/>
      <c r="L151" s="405"/>
      <c r="M151" s="405"/>
      <c r="N151" s="404"/>
      <c r="O151" s="76"/>
      <c r="P151" s="71"/>
      <c r="Q151" s="76"/>
      <c r="R151" s="86"/>
      <c r="S151" s="78"/>
      <c r="T151" s="78"/>
      <c r="U151" s="404"/>
      <c r="V151" s="405"/>
      <c r="W151" s="70"/>
      <c r="X151" s="70">
        <v>4000000</v>
      </c>
      <c r="Y151" s="59" t="s">
        <v>57</v>
      </c>
    </row>
    <row r="152" spans="1:26" ht="18" customHeight="1">
      <c r="A152" s="46"/>
      <c r="B152" s="47"/>
      <c r="C152" s="47"/>
      <c r="D152" s="47"/>
      <c r="E152" s="49"/>
      <c r="F152" s="49"/>
      <c r="G152" s="50"/>
      <c r="H152" s="32"/>
      <c r="I152" s="69" t="s">
        <v>699</v>
      </c>
      <c r="J152" s="417"/>
      <c r="K152" s="416"/>
      <c r="L152" s="416"/>
      <c r="M152" s="416"/>
      <c r="N152" s="415"/>
      <c r="O152" s="76"/>
      <c r="P152" s="71"/>
      <c r="Q152" s="76"/>
      <c r="R152" s="86"/>
      <c r="S152" s="78"/>
      <c r="T152" s="78"/>
      <c r="U152" s="415"/>
      <c r="V152" s="416"/>
      <c r="W152" s="70"/>
      <c r="X152" s="70">
        <v>20000000</v>
      </c>
      <c r="Y152" s="59" t="s">
        <v>579</v>
      </c>
    </row>
    <row r="153" spans="1:26" ht="18" customHeight="1">
      <c r="A153" s="46"/>
      <c r="B153" s="47"/>
      <c r="C153" s="47"/>
      <c r="D153" s="61"/>
      <c r="E153" s="63"/>
      <c r="F153" s="63"/>
      <c r="G153" s="64"/>
      <c r="H153" s="297"/>
      <c r="I153" s="73"/>
      <c r="J153" s="324"/>
      <c r="K153" s="323"/>
      <c r="L153" s="323"/>
      <c r="M153" s="323"/>
      <c r="N153" s="294"/>
      <c r="O153" s="307"/>
      <c r="P153" s="308"/>
      <c r="Q153" s="307"/>
      <c r="R153" s="309"/>
      <c r="S153" s="310"/>
      <c r="T153" s="310"/>
      <c r="U153" s="294"/>
      <c r="V153" s="323"/>
      <c r="W153" s="74"/>
      <c r="X153" s="74"/>
      <c r="Y153" s="75"/>
    </row>
    <row r="154" spans="1:26" ht="18" customHeight="1">
      <c r="A154" s="46"/>
      <c r="B154" s="47"/>
      <c r="C154" s="47"/>
      <c r="D154" s="37" t="s">
        <v>502</v>
      </c>
      <c r="E154" s="38">
        <v>600</v>
      </c>
      <c r="F154" s="49">
        <f>ROUND(X154/1000,0)</f>
        <v>600</v>
      </c>
      <c r="G154" s="39">
        <f t="shared" ref="G154" si="52">F154-E154</f>
        <v>0</v>
      </c>
      <c r="H154" s="40">
        <f t="shared" ref="H154" si="53">IF(E154=0,0,G154/E154)</f>
        <v>0</v>
      </c>
      <c r="I154" s="196" t="s">
        <v>370</v>
      </c>
      <c r="J154" s="216"/>
      <c r="K154" s="96"/>
      <c r="L154" s="96"/>
      <c r="M154" s="96"/>
      <c r="N154" s="96"/>
      <c r="O154" s="96"/>
      <c r="P154" s="96"/>
      <c r="Q154" s="96"/>
      <c r="R154" s="96"/>
      <c r="S154" s="96"/>
      <c r="T154" s="96"/>
      <c r="U154" s="96"/>
      <c r="V154" s="602" t="s">
        <v>75</v>
      </c>
      <c r="W154" s="602"/>
      <c r="X154" s="198">
        <f>X155</f>
        <v>600000</v>
      </c>
      <c r="Y154" s="199" t="s">
        <v>57</v>
      </c>
    </row>
    <row r="155" spans="1:26" ht="18" customHeight="1">
      <c r="A155" s="46"/>
      <c r="B155" s="47"/>
      <c r="C155" s="61"/>
      <c r="D155" s="61"/>
      <c r="E155" s="63"/>
      <c r="F155" s="63"/>
      <c r="G155" s="64"/>
      <c r="H155" s="297"/>
      <c r="I155" s="69" t="s">
        <v>503</v>
      </c>
      <c r="J155" s="322"/>
      <c r="K155" s="321"/>
      <c r="L155" s="321"/>
      <c r="M155" s="321">
        <v>50000</v>
      </c>
      <c r="N155" s="354" t="s">
        <v>57</v>
      </c>
      <c r="O155" s="76" t="s">
        <v>58</v>
      </c>
      <c r="P155" s="71">
        <v>12</v>
      </c>
      <c r="Q155" s="76" t="s">
        <v>0</v>
      </c>
      <c r="R155" s="86"/>
      <c r="S155" s="78"/>
      <c r="T155" s="78"/>
      <c r="U155" s="354" t="s">
        <v>53</v>
      </c>
      <c r="V155" s="321"/>
      <c r="W155" s="70"/>
      <c r="X155" s="70">
        <f>M155*P155</f>
        <v>600000</v>
      </c>
      <c r="Y155" s="59" t="s">
        <v>57</v>
      </c>
    </row>
    <row r="156" spans="1:26" ht="25.5" customHeight="1">
      <c r="A156" s="46"/>
      <c r="B156" s="47"/>
      <c r="C156" s="47" t="s">
        <v>371</v>
      </c>
      <c r="D156" s="384" t="s">
        <v>281</v>
      </c>
      <c r="E156" s="314">
        <f>E157</f>
        <v>60000</v>
      </c>
      <c r="F156" s="314">
        <f>F157</f>
        <v>60000</v>
      </c>
      <c r="G156" s="315">
        <f t="shared" ref="G156:G157" si="54">F156-E156</f>
        <v>0</v>
      </c>
      <c r="H156" s="316">
        <f t="shared" ref="H156:H157" si="55">IF(E156=0,0,G156/E156)</f>
        <v>0</v>
      </c>
      <c r="I156" s="298" t="s">
        <v>373</v>
      </c>
      <c r="J156" s="299"/>
      <c r="K156" s="300"/>
      <c r="L156" s="300"/>
      <c r="M156" s="300"/>
      <c r="N156" s="300"/>
      <c r="O156" s="300"/>
      <c r="P156" s="301"/>
      <c r="Q156" s="301"/>
      <c r="R156" s="301"/>
      <c r="S156" s="301"/>
      <c r="T156" s="301"/>
      <c r="U156" s="301"/>
      <c r="V156" s="335" t="s">
        <v>75</v>
      </c>
      <c r="W156" s="336"/>
      <c r="X156" s="336">
        <f>SUM(X157:X157)</f>
        <v>60000000</v>
      </c>
      <c r="Y156" s="387" t="s">
        <v>57</v>
      </c>
    </row>
    <row r="157" spans="1:26" ht="21" customHeight="1">
      <c r="A157" s="46"/>
      <c r="B157" s="47"/>
      <c r="C157" s="47" t="s">
        <v>368</v>
      </c>
      <c r="D157" s="47" t="s">
        <v>372</v>
      </c>
      <c r="E157" s="49">
        <v>60000</v>
      </c>
      <c r="F157" s="49">
        <f>ROUND(X157/1000,0)</f>
        <v>60000</v>
      </c>
      <c r="G157" s="403">
        <f t="shared" si="54"/>
        <v>0</v>
      </c>
      <c r="H157" s="262">
        <f t="shared" si="55"/>
        <v>0</v>
      </c>
      <c r="I157" s="69" t="s">
        <v>81</v>
      </c>
      <c r="J157" s="322" t="s">
        <v>82</v>
      </c>
      <c r="K157" s="321"/>
      <c r="L157" s="321"/>
      <c r="M157" s="321">
        <v>5000000</v>
      </c>
      <c r="N157" s="354" t="s">
        <v>71</v>
      </c>
      <c r="O157" s="76" t="s">
        <v>72</v>
      </c>
      <c r="P157" s="71">
        <v>12</v>
      </c>
      <c r="Q157" s="76" t="s">
        <v>306</v>
      </c>
      <c r="R157" s="86"/>
      <c r="S157" s="78"/>
      <c r="T157" s="78"/>
      <c r="U157" s="354" t="s">
        <v>73</v>
      </c>
      <c r="V157" s="321"/>
      <c r="W157" s="70"/>
      <c r="X157" s="70">
        <f>M157*P157</f>
        <v>60000000</v>
      </c>
      <c r="Y157" s="59" t="s">
        <v>68</v>
      </c>
    </row>
    <row r="158" spans="1:26" ht="21" customHeight="1">
      <c r="A158" s="60"/>
      <c r="B158" s="61"/>
      <c r="C158" s="61"/>
      <c r="D158" s="61"/>
      <c r="E158" s="63"/>
      <c r="F158" s="63"/>
      <c r="G158" s="64"/>
      <c r="H158" s="297"/>
      <c r="I158" s="73"/>
      <c r="J158" s="324"/>
      <c r="K158" s="323"/>
      <c r="L158" s="323"/>
      <c r="M158" s="323"/>
      <c r="N158" s="294"/>
      <c r="O158" s="307"/>
      <c r="P158" s="308"/>
      <c r="Q158" s="307"/>
      <c r="R158" s="309"/>
      <c r="S158" s="310"/>
      <c r="T158" s="310"/>
      <c r="U158" s="294"/>
      <c r="V158" s="323"/>
      <c r="W158" s="74"/>
      <c r="X158" s="74"/>
      <c r="Y158" s="75"/>
    </row>
    <row r="159" spans="1:26" ht="21" customHeight="1">
      <c r="A159" s="36" t="s">
        <v>374</v>
      </c>
      <c r="B159" s="37" t="s">
        <v>374</v>
      </c>
      <c r="C159" s="600" t="s">
        <v>506</v>
      </c>
      <c r="D159" s="601"/>
      <c r="E159" s="367">
        <f>E160+E163</f>
        <v>0</v>
      </c>
      <c r="F159" s="367">
        <f>F160+F163</f>
        <v>0</v>
      </c>
      <c r="G159" s="368">
        <f t="shared" ref="G159:G161" si="56">F159-E159</f>
        <v>0</v>
      </c>
      <c r="H159" s="369">
        <f t="shared" ref="H159:H161" si="57">IF(E159=0,0,G159/E159)</f>
        <v>0</v>
      </c>
      <c r="I159" s="370" t="s">
        <v>508</v>
      </c>
      <c r="J159" s="371"/>
      <c r="K159" s="372"/>
      <c r="L159" s="372"/>
      <c r="M159" s="371"/>
      <c r="N159" s="371"/>
      <c r="O159" s="371"/>
      <c r="P159" s="371"/>
      <c r="Q159" s="371" t="s">
        <v>69</v>
      </c>
      <c r="R159" s="373"/>
      <c r="S159" s="373"/>
      <c r="T159" s="373"/>
      <c r="U159" s="373"/>
      <c r="V159" s="373"/>
      <c r="W159" s="373"/>
      <c r="X159" s="374">
        <f>X160+X163</f>
        <v>0</v>
      </c>
      <c r="Y159" s="386" t="s">
        <v>25</v>
      </c>
    </row>
    <row r="160" spans="1:26" ht="21" customHeight="1">
      <c r="A160" s="46"/>
      <c r="B160" s="47"/>
      <c r="C160" s="37" t="s">
        <v>375</v>
      </c>
      <c r="D160" s="384" t="s">
        <v>281</v>
      </c>
      <c r="E160" s="314">
        <f>E161</f>
        <v>0</v>
      </c>
      <c r="F160" s="314">
        <f>F161</f>
        <v>0</v>
      </c>
      <c r="G160" s="315">
        <f t="shared" si="56"/>
        <v>0</v>
      </c>
      <c r="H160" s="316">
        <f t="shared" si="57"/>
        <v>0</v>
      </c>
      <c r="I160" s="298" t="s">
        <v>378</v>
      </c>
      <c r="J160" s="299"/>
      <c r="K160" s="300"/>
      <c r="L160" s="300"/>
      <c r="M160" s="300"/>
      <c r="N160" s="300"/>
      <c r="O160" s="300"/>
      <c r="P160" s="301"/>
      <c r="Q160" s="301"/>
      <c r="R160" s="301"/>
      <c r="S160" s="301"/>
      <c r="T160" s="301"/>
      <c r="U160" s="301"/>
      <c r="V160" s="335" t="s">
        <v>75</v>
      </c>
      <c r="W160" s="336"/>
      <c r="X160" s="337">
        <f>X161</f>
        <v>0</v>
      </c>
      <c r="Y160" s="387" t="s">
        <v>57</v>
      </c>
    </row>
    <row r="161" spans="1:27" ht="21" customHeight="1">
      <c r="A161" s="46"/>
      <c r="B161" s="47"/>
      <c r="C161" s="47" t="s">
        <v>376</v>
      </c>
      <c r="D161" s="37" t="s">
        <v>380</v>
      </c>
      <c r="E161" s="38">
        <v>0</v>
      </c>
      <c r="F161" s="49">
        <f>ROUND(X161/1000,0)</f>
        <v>0</v>
      </c>
      <c r="G161" s="39">
        <f t="shared" si="56"/>
        <v>0</v>
      </c>
      <c r="H161" s="40">
        <f t="shared" si="57"/>
        <v>0</v>
      </c>
      <c r="I161" s="196" t="s">
        <v>378</v>
      </c>
      <c r="J161" s="216"/>
      <c r="K161" s="96"/>
      <c r="L161" s="96"/>
      <c r="M161" s="96"/>
      <c r="N161" s="96"/>
      <c r="O161" s="96"/>
      <c r="P161" s="96"/>
      <c r="Q161" s="96"/>
      <c r="R161" s="96"/>
      <c r="S161" s="96"/>
      <c r="T161" s="96"/>
      <c r="U161" s="96"/>
      <c r="V161" s="602" t="s">
        <v>75</v>
      </c>
      <c r="W161" s="602"/>
      <c r="X161" s="198">
        <f>X162</f>
        <v>0</v>
      </c>
      <c r="Y161" s="199" t="s">
        <v>57</v>
      </c>
    </row>
    <row r="162" spans="1:27" ht="21" customHeight="1">
      <c r="A162" s="46"/>
      <c r="B162" s="47"/>
      <c r="C162" s="47" t="s">
        <v>374</v>
      </c>
      <c r="D162" s="47" t="s">
        <v>374</v>
      </c>
      <c r="E162" s="49"/>
      <c r="F162" s="49"/>
      <c r="G162" s="50"/>
      <c r="H162" s="32"/>
      <c r="I162" s="69" t="s">
        <v>379</v>
      </c>
      <c r="J162" s="322"/>
      <c r="K162" s="321"/>
      <c r="L162" s="321"/>
      <c r="M162" s="321"/>
      <c r="N162" s="354"/>
      <c r="O162" s="76"/>
      <c r="P162" s="71"/>
      <c r="Q162" s="76"/>
      <c r="R162" s="86"/>
      <c r="S162" s="78"/>
      <c r="T162" s="78"/>
      <c r="U162" s="354"/>
      <c r="V162" s="321"/>
      <c r="W162" s="70"/>
      <c r="X162" s="70">
        <v>0</v>
      </c>
      <c r="Y162" s="59" t="s">
        <v>57</v>
      </c>
    </row>
    <row r="163" spans="1:27" ht="21" customHeight="1">
      <c r="A163" s="46"/>
      <c r="B163" s="47"/>
      <c r="C163" s="37" t="s">
        <v>365</v>
      </c>
      <c r="D163" s="384" t="s">
        <v>281</v>
      </c>
      <c r="E163" s="314">
        <f>E164</f>
        <v>0</v>
      </c>
      <c r="F163" s="314">
        <f>F164</f>
        <v>0</v>
      </c>
      <c r="G163" s="315">
        <f t="shared" ref="G163:G164" si="58">F163-E163</f>
        <v>0</v>
      </c>
      <c r="H163" s="316">
        <f t="shared" ref="H163:H164" si="59">IF(E163=0,0,G163/E163)</f>
        <v>0</v>
      </c>
      <c r="I163" s="298" t="s">
        <v>381</v>
      </c>
      <c r="J163" s="299"/>
      <c r="K163" s="300"/>
      <c r="L163" s="300"/>
      <c r="M163" s="300"/>
      <c r="N163" s="300"/>
      <c r="O163" s="300"/>
      <c r="P163" s="301"/>
      <c r="Q163" s="301"/>
      <c r="R163" s="301"/>
      <c r="S163" s="301"/>
      <c r="T163" s="301"/>
      <c r="U163" s="301"/>
      <c r="V163" s="335" t="s">
        <v>75</v>
      </c>
      <c r="W163" s="336"/>
      <c r="X163" s="336">
        <f>X164</f>
        <v>0</v>
      </c>
      <c r="Y163" s="387" t="s">
        <v>57</v>
      </c>
    </row>
    <row r="164" spans="1:27" ht="21" customHeight="1">
      <c r="A164" s="46"/>
      <c r="B164" s="47"/>
      <c r="C164" s="47" t="s">
        <v>374</v>
      </c>
      <c r="D164" s="47" t="s">
        <v>377</v>
      </c>
      <c r="E164" s="49">
        <v>0</v>
      </c>
      <c r="F164" s="49">
        <f>ROUND(X164/1000,0)</f>
        <v>0</v>
      </c>
      <c r="G164" s="39">
        <f t="shared" si="58"/>
        <v>0</v>
      </c>
      <c r="H164" s="40">
        <f t="shared" si="59"/>
        <v>0</v>
      </c>
      <c r="I164" s="69" t="s">
        <v>382</v>
      </c>
      <c r="J164" s="322"/>
      <c r="K164" s="321"/>
      <c r="L164" s="321"/>
      <c r="M164" s="321"/>
      <c r="N164" s="354"/>
      <c r="O164" s="76"/>
      <c r="P164" s="71"/>
      <c r="Q164" s="76"/>
      <c r="R164" s="86"/>
      <c r="S164" s="78"/>
      <c r="T164" s="78"/>
      <c r="U164" s="354"/>
      <c r="V164" s="321"/>
      <c r="W164" s="70"/>
      <c r="X164" s="70">
        <v>0</v>
      </c>
      <c r="Y164" s="59" t="s">
        <v>57</v>
      </c>
    </row>
    <row r="165" spans="1:27" ht="21" customHeight="1">
      <c r="A165" s="60"/>
      <c r="B165" s="61"/>
      <c r="C165" s="61"/>
      <c r="D165" s="61"/>
      <c r="E165" s="63"/>
      <c r="F165" s="63"/>
      <c r="G165" s="64"/>
      <c r="H165" s="297"/>
      <c r="I165" s="73"/>
      <c r="J165" s="324"/>
      <c r="K165" s="323"/>
      <c r="L165" s="323"/>
      <c r="M165" s="323"/>
      <c r="N165" s="294"/>
      <c r="O165" s="307"/>
      <c r="P165" s="308"/>
      <c r="Q165" s="307"/>
      <c r="R165" s="309"/>
      <c r="S165" s="310"/>
      <c r="T165" s="310"/>
      <c r="U165" s="294"/>
      <c r="V165" s="323"/>
      <c r="W165" s="74"/>
      <c r="X165" s="74"/>
      <c r="Y165" s="75"/>
    </row>
    <row r="166" spans="1:27" ht="21" customHeight="1">
      <c r="A166" s="36" t="s">
        <v>83</v>
      </c>
      <c r="B166" s="37" t="s">
        <v>13</v>
      </c>
      <c r="C166" s="600" t="s">
        <v>506</v>
      </c>
      <c r="D166" s="601"/>
      <c r="E166" s="367">
        <f>SUM(E167,E171)</f>
        <v>31515</v>
      </c>
      <c r="F166" s="367">
        <f>SUM(F167,F171)</f>
        <v>31815</v>
      </c>
      <c r="G166" s="368">
        <f t="shared" ref="G166:G168" si="60">F166-E166</f>
        <v>300</v>
      </c>
      <c r="H166" s="369">
        <f t="shared" ref="H166:H168" si="61">IF(E166=0,0,G166/E166)</f>
        <v>9.5192765349833407E-3</v>
      </c>
      <c r="I166" s="370" t="s">
        <v>509</v>
      </c>
      <c r="J166" s="371"/>
      <c r="K166" s="372"/>
      <c r="L166" s="372"/>
      <c r="M166" s="371"/>
      <c r="N166" s="371"/>
      <c r="O166" s="371"/>
      <c r="P166" s="371"/>
      <c r="Q166" s="371" t="s">
        <v>69</v>
      </c>
      <c r="R166" s="373"/>
      <c r="S166" s="373"/>
      <c r="T166" s="373"/>
      <c r="U166" s="373"/>
      <c r="V166" s="373"/>
      <c r="W166" s="373"/>
      <c r="X166" s="374">
        <f>X168+X171</f>
        <v>31815000</v>
      </c>
      <c r="Y166" s="386" t="s">
        <v>25</v>
      </c>
      <c r="Z166" s="23"/>
      <c r="AA166" s="24"/>
    </row>
    <row r="167" spans="1:27" ht="21" customHeight="1">
      <c r="A167" s="46"/>
      <c r="B167" s="47"/>
      <c r="C167" s="37" t="s">
        <v>383</v>
      </c>
      <c r="D167" s="384" t="s">
        <v>512</v>
      </c>
      <c r="E167" s="314">
        <f>E168</f>
        <v>0</v>
      </c>
      <c r="F167" s="314">
        <f>F168</f>
        <v>0</v>
      </c>
      <c r="G167" s="315">
        <f t="shared" si="60"/>
        <v>0</v>
      </c>
      <c r="H167" s="316">
        <f t="shared" si="61"/>
        <v>0</v>
      </c>
      <c r="I167" s="298" t="s">
        <v>514</v>
      </c>
      <c r="J167" s="299"/>
      <c r="K167" s="300"/>
      <c r="L167" s="300"/>
      <c r="M167" s="300"/>
      <c r="N167" s="300"/>
      <c r="O167" s="300"/>
      <c r="P167" s="301"/>
      <c r="Q167" s="301"/>
      <c r="R167" s="301"/>
      <c r="S167" s="301"/>
      <c r="T167" s="301"/>
      <c r="U167" s="301"/>
      <c r="V167" s="335" t="s">
        <v>501</v>
      </c>
      <c r="W167" s="336"/>
      <c r="X167" s="337">
        <f>SUM(X168:X168)</f>
        <v>0</v>
      </c>
      <c r="Y167" s="387" t="s">
        <v>491</v>
      </c>
      <c r="Z167" s="23"/>
      <c r="AA167" s="24"/>
    </row>
    <row r="168" spans="1:27" ht="21" customHeight="1">
      <c r="A168" s="46"/>
      <c r="B168" s="47"/>
      <c r="C168" s="47" t="s">
        <v>384</v>
      </c>
      <c r="D168" s="37" t="s">
        <v>385</v>
      </c>
      <c r="E168" s="38">
        <v>0</v>
      </c>
      <c r="F168" s="49">
        <f>ROUND(X168/1000,0)</f>
        <v>0</v>
      </c>
      <c r="G168" s="39">
        <f t="shared" si="60"/>
        <v>0</v>
      </c>
      <c r="H168" s="40">
        <f t="shared" si="61"/>
        <v>0</v>
      </c>
      <c r="I168" s="196" t="s">
        <v>389</v>
      </c>
      <c r="J168" s="216"/>
      <c r="K168" s="96"/>
      <c r="L168" s="96"/>
      <c r="M168" s="96"/>
      <c r="N168" s="96"/>
      <c r="O168" s="96"/>
      <c r="P168" s="96"/>
      <c r="Q168" s="96"/>
      <c r="R168" s="96"/>
      <c r="S168" s="96"/>
      <c r="T168" s="96"/>
      <c r="U168" s="96"/>
      <c r="V168" s="602" t="s">
        <v>75</v>
      </c>
      <c r="W168" s="602"/>
      <c r="X168" s="198">
        <f>SUM(X170:X170)</f>
        <v>0</v>
      </c>
      <c r="Y168" s="199" t="s">
        <v>57</v>
      </c>
      <c r="Z168" s="23"/>
      <c r="AA168" s="24"/>
    </row>
    <row r="169" spans="1:27" ht="21" customHeight="1">
      <c r="A169" s="46"/>
      <c r="B169" s="47"/>
      <c r="C169" s="47"/>
      <c r="D169" s="47"/>
      <c r="E169" s="49"/>
      <c r="F169" s="49"/>
      <c r="G169" s="50"/>
      <c r="H169" s="32"/>
      <c r="I169" s="69" t="s">
        <v>471</v>
      </c>
      <c r="J169" s="322"/>
      <c r="K169" s="321"/>
      <c r="L169" s="321"/>
      <c r="M169" s="321"/>
      <c r="N169" s="321"/>
      <c r="O169" s="321"/>
      <c r="P169" s="321"/>
      <c r="Q169" s="321"/>
      <c r="R169" s="321"/>
      <c r="S169" s="321"/>
      <c r="T169" s="321"/>
      <c r="U169" s="321"/>
      <c r="V169" s="354"/>
      <c r="W169" s="354"/>
      <c r="X169" s="70"/>
      <c r="Y169" s="59" t="s">
        <v>472</v>
      </c>
      <c r="Z169" s="23"/>
      <c r="AA169" s="24"/>
    </row>
    <row r="170" spans="1:27" ht="21" customHeight="1">
      <c r="A170" s="46"/>
      <c r="B170" s="47"/>
      <c r="C170" s="47"/>
      <c r="D170" s="47"/>
      <c r="E170" s="49"/>
      <c r="F170" s="49"/>
      <c r="G170" s="50"/>
      <c r="H170" s="32"/>
      <c r="I170" s="69"/>
      <c r="J170" s="322"/>
      <c r="K170" s="321"/>
      <c r="L170" s="321"/>
      <c r="M170" s="321"/>
      <c r="N170" s="354"/>
      <c r="O170" s="76"/>
      <c r="P170" s="71"/>
      <c r="Q170" s="76"/>
      <c r="R170" s="86"/>
      <c r="S170" s="78"/>
      <c r="T170" s="78"/>
      <c r="U170" s="354"/>
      <c r="V170" s="321"/>
      <c r="W170" s="70"/>
      <c r="X170" s="70"/>
      <c r="Y170" s="59"/>
      <c r="Z170" s="23"/>
      <c r="AA170" s="24"/>
    </row>
    <row r="171" spans="1:27" ht="21" customHeight="1">
      <c r="A171" s="46"/>
      <c r="B171" s="47"/>
      <c r="C171" s="37" t="s">
        <v>386</v>
      </c>
      <c r="D171" s="384" t="s">
        <v>512</v>
      </c>
      <c r="E171" s="314">
        <f>E172</f>
        <v>31515</v>
      </c>
      <c r="F171" s="314">
        <f>F172</f>
        <v>31815</v>
      </c>
      <c r="G171" s="315">
        <f t="shared" ref="G171:G172" si="62">F171-E171</f>
        <v>300</v>
      </c>
      <c r="H171" s="316">
        <f t="shared" ref="H171:H172" si="63">IF(E171=0,0,G171/E171)</f>
        <v>9.5192765349833407E-3</v>
      </c>
      <c r="I171" s="298" t="s">
        <v>515</v>
      </c>
      <c r="J171" s="299"/>
      <c r="K171" s="300"/>
      <c r="L171" s="300"/>
      <c r="M171" s="300"/>
      <c r="N171" s="300"/>
      <c r="O171" s="300"/>
      <c r="P171" s="301"/>
      <c r="Q171" s="301"/>
      <c r="R171" s="301"/>
      <c r="S171" s="301"/>
      <c r="T171" s="301"/>
      <c r="U171" s="301"/>
      <c r="V171" s="335" t="s">
        <v>501</v>
      </c>
      <c r="W171" s="336"/>
      <c r="X171" s="336">
        <f>SUM(X172:X172)</f>
        <v>31815000</v>
      </c>
      <c r="Y171" s="387" t="s">
        <v>491</v>
      </c>
      <c r="Z171" s="23"/>
      <c r="AA171" s="24"/>
    </row>
    <row r="172" spans="1:27" ht="21" customHeight="1">
      <c r="A172" s="46"/>
      <c r="B172" s="47"/>
      <c r="C172" s="47" t="s">
        <v>384</v>
      </c>
      <c r="D172" s="47" t="s">
        <v>385</v>
      </c>
      <c r="E172" s="49">
        <v>31515</v>
      </c>
      <c r="F172" s="49">
        <f>ROUND(X172/1000,0)</f>
        <v>31815</v>
      </c>
      <c r="G172" s="39">
        <f t="shared" si="62"/>
        <v>300</v>
      </c>
      <c r="H172" s="40">
        <f t="shared" si="63"/>
        <v>9.5192765349833407E-3</v>
      </c>
      <c r="I172" s="196" t="s">
        <v>390</v>
      </c>
      <c r="J172" s="200"/>
      <c r="K172" s="321"/>
      <c r="L172" s="321"/>
      <c r="M172" s="321"/>
      <c r="N172" s="354"/>
      <c r="O172" s="76"/>
      <c r="P172" s="71"/>
      <c r="Q172" s="76"/>
      <c r="R172" s="86"/>
      <c r="S172" s="78"/>
      <c r="T172" s="78"/>
      <c r="U172" s="354"/>
      <c r="V172" s="602" t="s">
        <v>75</v>
      </c>
      <c r="W172" s="602"/>
      <c r="X172" s="198">
        <f>SUM(X173,X182,X186,X189,X193,X202,X207,X212)</f>
        <v>31815000</v>
      </c>
      <c r="Y172" s="199" t="s">
        <v>57</v>
      </c>
    </row>
    <row r="173" spans="1:27" ht="21" customHeight="1" thickBot="1">
      <c r="A173" s="46"/>
      <c r="B173" s="47"/>
      <c r="C173" s="47" t="s">
        <v>469</v>
      </c>
      <c r="D173" s="47" t="s">
        <v>470</v>
      </c>
      <c r="E173" s="49"/>
      <c r="F173" s="49"/>
      <c r="G173" s="50"/>
      <c r="H173" s="32"/>
      <c r="I173" s="393" t="s">
        <v>517</v>
      </c>
      <c r="J173" s="66"/>
      <c r="K173" s="321"/>
      <c r="L173" s="321"/>
      <c r="M173" s="321"/>
      <c r="N173" s="321"/>
      <c r="O173" s="321"/>
      <c r="P173" s="321"/>
      <c r="Q173" s="609" t="s">
        <v>518</v>
      </c>
      <c r="R173" s="609"/>
      <c r="S173" s="609"/>
      <c r="T173" s="609"/>
      <c r="U173" s="609"/>
      <c r="V173" s="609"/>
      <c r="W173" s="609"/>
      <c r="X173" s="394">
        <f>SUM(X174:X180)</f>
        <v>12251000</v>
      </c>
      <c r="Y173" s="395" t="s">
        <v>57</v>
      </c>
    </row>
    <row r="174" spans="1:27" ht="21" customHeight="1">
      <c r="A174" s="46"/>
      <c r="B174" s="47"/>
      <c r="C174" s="47"/>
      <c r="D174" s="47"/>
      <c r="E174" s="49"/>
      <c r="F174" s="49"/>
      <c r="G174" s="50"/>
      <c r="H174" s="32"/>
      <c r="I174" s="322" t="s">
        <v>519</v>
      </c>
      <c r="J174" s="322"/>
      <c r="K174" s="321"/>
      <c r="L174" s="321"/>
      <c r="M174" s="321">
        <v>870000</v>
      </c>
      <c r="N174" s="321" t="s">
        <v>57</v>
      </c>
      <c r="O174" s="322" t="s">
        <v>58</v>
      </c>
      <c r="P174" s="354">
        <v>1</v>
      </c>
      <c r="Q174" s="321" t="s">
        <v>56</v>
      </c>
      <c r="R174" s="322" t="s">
        <v>58</v>
      </c>
      <c r="S174" s="321">
        <v>12</v>
      </c>
      <c r="T174" s="321" t="s">
        <v>0</v>
      </c>
      <c r="U174" s="321" t="s">
        <v>53</v>
      </c>
      <c r="V174" s="321"/>
      <c r="W174" s="70"/>
      <c r="X174" s="70">
        <f>M174*P174*S174</f>
        <v>10440000</v>
      </c>
      <c r="Y174" s="59" t="s">
        <v>57</v>
      </c>
    </row>
    <row r="175" spans="1:27" ht="21" customHeight="1">
      <c r="A175" s="46"/>
      <c r="B175" s="47"/>
      <c r="C175" s="47"/>
      <c r="D175" s="47"/>
      <c r="E175" s="49"/>
      <c r="F175" s="49"/>
      <c r="G175" s="50"/>
      <c r="H175" s="32"/>
      <c r="I175" s="322" t="s">
        <v>520</v>
      </c>
      <c r="J175" s="322"/>
      <c r="K175" s="321"/>
      <c r="L175" s="321"/>
      <c r="M175" s="321">
        <f>X174</f>
        <v>10440000</v>
      </c>
      <c r="N175" s="354" t="s">
        <v>57</v>
      </c>
      <c r="O175" s="76" t="s">
        <v>58</v>
      </c>
      <c r="P175" s="80">
        <v>0.09</v>
      </c>
      <c r="Q175" s="354" t="s">
        <v>76</v>
      </c>
      <c r="R175" s="81">
        <v>2</v>
      </c>
      <c r="S175" s="78"/>
      <c r="T175" s="78"/>
      <c r="U175" s="354" t="s">
        <v>53</v>
      </c>
      <c r="V175" s="250"/>
      <c r="W175" s="53"/>
      <c r="X175" s="70">
        <f>ROUND(M175*P175/R175,-3)</f>
        <v>470000</v>
      </c>
      <c r="Y175" s="59" t="s">
        <v>57</v>
      </c>
    </row>
    <row r="176" spans="1:27" ht="21" customHeight="1">
      <c r="A176" s="46"/>
      <c r="B176" s="47"/>
      <c r="C176" s="47"/>
      <c r="D176" s="47"/>
      <c r="E176" s="49"/>
      <c r="F176" s="49"/>
      <c r="G176" s="50"/>
      <c r="H176" s="32"/>
      <c r="I176" s="322" t="s">
        <v>521</v>
      </c>
      <c r="J176" s="322"/>
      <c r="K176" s="321"/>
      <c r="L176" s="321"/>
      <c r="M176" s="321">
        <f>X174</f>
        <v>10440000</v>
      </c>
      <c r="N176" s="354" t="s">
        <v>57</v>
      </c>
      <c r="O176" s="76" t="s">
        <v>58</v>
      </c>
      <c r="P176" s="82">
        <v>5.8900000000000001E-2</v>
      </c>
      <c r="Q176" s="354" t="s">
        <v>76</v>
      </c>
      <c r="R176" s="81">
        <v>2</v>
      </c>
      <c r="S176" s="78"/>
      <c r="T176" s="78"/>
      <c r="U176" s="354" t="s">
        <v>53</v>
      </c>
      <c r="V176" s="250"/>
      <c r="W176" s="53"/>
      <c r="X176" s="70">
        <f>ROUND(M176*P176/R176,-3)</f>
        <v>307000</v>
      </c>
      <c r="Y176" s="59" t="s">
        <v>57</v>
      </c>
    </row>
    <row r="177" spans="1:25" ht="21" customHeight="1">
      <c r="A177" s="46"/>
      <c r="B177" s="47"/>
      <c r="C177" s="47"/>
      <c r="D177" s="47"/>
      <c r="E177" s="49"/>
      <c r="F177" s="49"/>
      <c r="G177" s="50"/>
      <c r="H177" s="32"/>
      <c r="I177" s="322" t="s">
        <v>522</v>
      </c>
      <c r="J177" s="322"/>
      <c r="K177" s="321"/>
      <c r="L177" s="321"/>
      <c r="M177" s="321">
        <f>X176</f>
        <v>307000</v>
      </c>
      <c r="N177" s="354" t="s">
        <v>57</v>
      </c>
      <c r="O177" s="76" t="s">
        <v>58</v>
      </c>
      <c r="P177" s="82">
        <v>6.5500000000000003E-2</v>
      </c>
      <c r="Q177" s="83"/>
      <c r="R177" s="84"/>
      <c r="S177" s="85"/>
      <c r="T177" s="85"/>
      <c r="U177" s="354" t="s">
        <v>53</v>
      </c>
      <c r="V177" s="321"/>
      <c r="W177" s="70"/>
      <c r="X177" s="70">
        <f>ROUND(M177*P177,-3)</f>
        <v>20000</v>
      </c>
      <c r="Y177" s="59" t="s">
        <v>57</v>
      </c>
    </row>
    <row r="178" spans="1:25" ht="21" customHeight="1">
      <c r="A178" s="46"/>
      <c r="B178" s="47"/>
      <c r="C178" s="47"/>
      <c r="D178" s="47"/>
      <c r="E178" s="49"/>
      <c r="F178" s="49"/>
      <c r="G178" s="50"/>
      <c r="H178" s="32"/>
      <c r="I178" s="322" t="s">
        <v>523</v>
      </c>
      <c r="J178" s="322"/>
      <c r="K178" s="321"/>
      <c r="L178" s="321"/>
      <c r="M178" s="321">
        <f>X174</f>
        <v>10440000</v>
      </c>
      <c r="N178" s="354" t="s">
        <v>57</v>
      </c>
      <c r="O178" s="76" t="s">
        <v>58</v>
      </c>
      <c r="P178" s="82">
        <v>8.0000000000000002E-3</v>
      </c>
      <c r="Q178" s="76"/>
      <c r="R178" s="86"/>
      <c r="S178" s="78"/>
      <c r="T178" s="78"/>
      <c r="U178" s="354" t="s">
        <v>53</v>
      </c>
      <c r="V178" s="321"/>
      <c r="W178" s="70"/>
      <c r="X178" s="70">
        <f>ROUND(M178*P178,-3)</f>
        <v>84000</v>
      </c>
      <c r="Y178" s="59" t="s">
        <v>57</v>
      </c>
    </row>
    <row r="179" spans="1:25" ht="21" customHeight="1">
      <c r="A179" s="46"/>
      <c r="B179" s="47"/>
      <c r="C179" s="47"/>
      <c r="D179" s="47"/>
      <c r="E179" s="49"/>
      <c r="F179" s="49"/>
      <c r="G179" s="50"/>
      <c r="H179" s="32"/>
      <c r="I179" s="322" t="s">
        <v>524</v>
      </c>
      <c r="J179" s="322"/>
      <c r="K179" s="321"/>
      <c r="L179" s="321"/>
      <c r="M179" s="321">
        <f>X174</f>
        <v>10440000</v>
      </c>
      <c r="N179" s="354" t="s">
        <v>57</v>
      </c>
      <c r="O179" s="76" t="s">
        <v>58</v>
      </c>
      <c r="P179" s="410">
        <v>5.7400000000000003E-3</v>
      </c>
      <c r="Q179" s="76"/>
      <c r="R179" s="86"/>
      <c r="S179" s="78"/>
      <c r="T179" s="78"/>
      <c r="U179" s="354" t="s">
        <v>53</v>
      </c>
      <c r="V179" s="321"/>
      <c r="W179" s="70"/>
      <c r="X179" s="70">
        <f>ROUNDUP(M179*P179,-3)</f>
        <v>60000</v>
      </c>
      <c r="Y179" s="59" t="s">
        <v>57</v>
      </c>
    </row>
    <row r="180" spans="1:25" ht="21" customHeight="1">
      <c r="A180" s="46"/>
      <c r="B180" s="47"/>
      <c r="C180" s="47"/>
      <c r="D180" s="47"/>
      <c r="E180" s="49"/>
      <c r="F180" s="49"/>
      <c r="G180" s="50"/>
      <c r="H180" s="32"/>
      <c r="I180" s="322" t="s">
        <v>525</v>
      </c>
      <c r="J180" s="322"/>
      <c r="K180" s="321"/>
      <c r="L180" s="321"/>
      <c r="M180" s="321">
        <f>X174</f>
        <v>10440000</v>
      </c>
      <c r="N180" s="354" t="s">
        <v>57</v>
      </c>
      <c r="O180" s="354" t="s">
        <v>76</v>
      </c>
      <c r="P180" s="354">
        <v>12</v>
      </c>
      <c r="Q180" s="321" t="s">
        <v>0</v>
      </c>
      <c r="R180" s="321"/>
      <c r="S180" s="321"/>
      <c r="T180" s="321"/>
      <c r="U180" s="321" t="s">
        <v>53</v>
      </c>
      <c r="V180" s="321"/>
      <c r="W180" s="70"/>
      <c r="X180" s="70">
        <f>M180/P180</f>
        <v>870000</v>
      </c>
      <c r="Y180" s="59" t="s">
        <v>57</v>
      </c>
    </row>
    <row r="181" spans="1:25" ht="21" customHeight="1">
      <c r="A181" s="46"/>
      <c r="B181" s="47"/>
      <c r="C181" s="47"/>
      <c r="D181" s="47"/>
      <c r="E181" s="49"/>
      <c r="F181" s="49"/>
      <c r="G181" s="50"/>
      <c r="H181" s="32"/>
      <c r="I181" s="322"/>
      <c r="J181" s="322"/>
      <c r="K181" s="321"/>
      <c r="L181" s="321"/>
      <c r="M181" s="321"/>
      <c r="N181" s="321"/>
      <c r="O181" s="321"/>
      <c r="P181" s="321"/>
      <c r="Q181" s="321"/>
      <c r="R181" s="321"/>
      <c r="S181" s="321"/>
      <c r="T181" s="321"/>
      <c r="U181" s="321"/>
      <c r="V181" s="321"/>
      <c r="W181" s="70"/>
      <c r="X181" s="70"/>
      <c r="Y181" s="59"/>
    </row>
    <row r="182" spans="1:25" ht="21" customHeight="1" thickBot="1">
      <c r="A182" s="46"/>
      <c r="B182" s="47"/>
      <c r="C182" s="47"/>
      <c r="D182" s="47"/>
      <c r="E182" s="49"/>
      <c r="F182" s="49"/>
      <c r="G182" s="50"/>
      <c r="H182" s="32"/>
      <c r="I182" s="393" t="s">
        <v>526</v>
      </c>
      <c r="J182" s="322"/>
      <c r="K182" s="321"/>
      <c r="L182" s="321"/>
      <c r="M182" s="321"/>
      <c r="N182" s="321"/>
      <c r="O182" s="321"/>
      <c r="P182" s="321"/>
      <c r="Q182" s="609" t="s">
        <v>527</v>
      </c>
      <c r="R182" s="609"/>
      <c r="S182" s="609"/>
      <c r="T182" s="609"/>
      <c r="U182" s="609"/>
      <c r="V182" s="609"/>
      <c r="W182" s="609"/>
      <c r="X182" s="394">
        <f>SUM(X183:X184)</f>
        <v>5400000</v>
      </c>
      <c r="Y182" s="395" t="s">
        <v>57</v>
      </c>
    </row>
    <row r="183" spans="1:25" ht="21" customHeight="1">
      <c r="A183" s="46"/>
      <c r="B183" s="47"/>
      <c r="C183" s="47"/>
      <c r="D183" s="47"/>
      <c r="E183" s="49"/>
      <c r="F183" s="49"/>
      <c r="G183" s="50"/>
      <c r="H183" s="32"/>
      <c r="I183" s="441" t="s">
        <v>635</v>
      </c>
      <c r="J183" s="322"/>
      <c r="K183" s="321"/>
      <c r="L183" s="321"/>
      <c r="M183" s="321">
        <v>150000</v>
      </c>
      <c r="N183" s="321" t="s">
        <v>57</v>
      </c>
      <c r="O183" s="76" t="s">
        <v>58</v>
      </c>
      <c r="P183" s="321">
        <v>1</v>
      </c>
      <c r="Q183" s="321" t="s">
        <v>56</v>
      </c>
      <c r="R183" s="76" t="s">
        <v>58</v>
      </c>
      <c r="S183" s="321">
        <v>12</v>
      </c>
      <c r="T183" s="321" t="s">
        <v>0</v>
      </c>
      <c r="U183" s="321" t="s">
        <v>53</v>
      </c>
      <c r="V183" s="321"/>
      <c r="W183" s="70"/>
      <c r="X183" s="70">
        <f t="shared" ref="X183" si="64">M183*P183*S183</f>
        <v>1800000</v>
      </c>
      <c r="Y183" s="59" t="s">
        <v>57</v>
      </c>
    </row>
    <row r="184" spans="1:25" ht="21" customHeight="1">
      <c r="A184" s="46"/>
      <c r="B184" s="47"/>
      <c r="C184" s="47"/>
      <c r="D184" s="47"/>
      <c r="E184" s="49"/>
      <c r="F184" s="49"/>
      <c r="G184" s="50"/>
      <c r="H184" s="32"/>
      <c r="I184" s="441" t="s">
        <v>599</v>
      </c>
      <c r="J184" s="427"/>
      <c r="K184" s="426"/>
      <c r="L184" s="426"/>
      <c r="M184" s="426">
        <v>100000</v>
      </c>
      <c r="N184" s="426" t="s">
        <v>57</v>
      </c>
      <c r="O184" s="76" t="s">
        <v>58</v>
      </c>
      <c r="P184" s="426">
        <v>3</v>
      </c>
      <c r="Q184" s="426" t="s">
        <v>56</v>
      </c>
      <c r="R184" s="76" t="s">
        <v>58</v>
      </c>
      <c r="S184" s="426">
        <v>12</v>
      </c>
      <c r="T184" s="426" t="s">
        <v>29</v>
      </c>
      <c r="U184" s="426" t="s">
        <v>53</v>
      </c>
      <c r="V184" s="426"/>
      <c r="W184" s="70"/>
      <c r="X184" s="70">
        <f t="shared" ref="X184" si="65">M184*P184*S184</f>
        <v>3600000</v>
      </c>
      <c r="Y184" s="59" t="s">
        <v>57</v>
      </c>
    </row>
    <row r="185" spans="1:25" ht="21" customHeight="1">
      <c r="A185" s="46"/>
      <c r="B185" s="47"/>
      <c r="C185" s="47"/>
      <c r="D185" s="47"/>
      <c r="E185" s="49"/>
      <c r="F185" s="49"/>
      <c r="G185" s="50"/>
      <c r="H185" s="32"/>
      <c r="I185" s="427"/>
      <c r="J185" s="427"/>
      <c r="K185" s="426"/>
      <c r="L185" s="426"/>
      <c r="M185" s="426"/>
      <c r="N185" s="426"/>
      <c r="O185" s="76"/>
      <c r="P185" s="426"/>
      <c r="Q185" s="426"/>
      <c r="R185" s="76"/>
      <c r="S185" s="426"/>
      <c r="T185" s="426"/>
      <c r="U185" s="426"/>
      <c r="V185" s="426"/>
      <c r="W185" s="70"/>
      <c r="X185" s="70"/>
      <c r="Y185" s="59"/>
    </row>
    <row r="186" spans="1:25" ht="21" customHeight="1" thickBot="1">
      <c r="A186" s="46"/>
      <c r="B186" s="47"/>
      <c r="C186" s="47"/>
      <c r="D186" s="47"/>
      <c r="E186" s="49"/>
      <c r="F186" s="49"/>
      <c r="G186" s="50"/>
      <c r="H186" s="32"/>
      <c r="I186" s="393" t="s">
        <v>600</v>
      </c>
      <c r="J186" s="427"/>
      <c r="K186" s="426"/>
      <c r="L186" s="426"/>
      <c r="M186" s="426"/>
      <c r="N186" s="426"/>
      <c r="O186" s="426"/>
      <c r="P186" s="426"/>
      <c r="Q186" s="609" t="s">
        <v>605</v>
      </c>
      <c r="R186" s="609"/>
      <c r="S186" s="609"/>
      <c r="T186" s="609"/>
      <c r="U186" s="609"/>
      <c r="V186" s="609"/>
      <c r="W186" s="609"/>
      <c r="X186" s="424">
        <f>X187</f>
        <v>2080000</v>
      </c>
      <c r="Y186" s="395" t="s">
        <v>57</v>
      </c>
    </row>
    <row r="187" spans="1:25" ht="21" customHeight="1">
      <c r="A187" s="46"/>
      <c r="B187" s="47"/>
      <c r="C187" s="47"/>
      <c r="D187" s="47"/>
      <c r="E187" s="49"/>
      <c r="F187" s="49"/>
      <c r="G187" s="50"/>
      <c r="H187" s="32"/>
      <c r="I187" s="427" t="s">
        <v>601</v>
      </c>
      <c r="J187" s="427"/>
      <c r="K187" s="426"/>
      <c r="L187" s="426"/>
      <c r="M187" s="426">
        <v>40000</v>
      </c>
      <c r="N187" s="426" t="s">
        <v>57</v>
      </c>
      <c r="O187" s="76" t="s">
        <v>58</v>
      </c>
      <c r="P187" s="426">
        <v>52</v>
      </c>
      <c r="Q187" s="426" t="s">
        <v>602</v>
      </c>
      <c r="R187" s="76"/>
      <c r="S187" s="426"/>
      <c r="T187" s="426"/>
      <c r="U187" s="426" t="s">
        <v>53</v>
      </c>
      <c r="V187" s="426"/>
      <c r="W187" s="70"/>
      <c r="X187" s="70">
        <f>M187*P187</f>
        <v>2080000</v>
      </c>
      <c r="Y187" s="59" t="s">
        <v>57</v>
      </c>
    </row>
    <row r="188" spans="1:25" ht="21" customHeight="1">
      <c r="A188" s="46"/>
      <c r="B188" s="47"/>
      <c r="C188" s="47"/>
      <c r="D188" s="47"/>
      <c r="E188" s="49"/>
      <c r="F188" s="49"/>
      <c r="G188" s="50"/>
      <c r="H188" s="32"/>
      <c r="I188" s="322"/>
      <c r="J188" s="322"/>
      <c r="K188" s="321"/>
      <c r="L188" s="321"/>
      <c r="M188" s="321"/>
      <c r="N188" s="321"/>
      <c r="O188" s="76"/>
      <c r="P188" s="321"/>
      <c r="Q188" s="321"/>
      <c r="R188" s="76"/>
      <c r="S188" s="321"/>
      <c r="T188" s="321"/>
      <c r="U188" s="321"/>
      <c r="V188" s="321"/>
      <c r="W188" s="70"/>
      <c r="X188" s="70"/>
      <c r="Y188" s="59"/>
    </row>
    <row r="189" spans="1:25" ht="21" customHeight="1" thickBot="1">
      <c r="A189" s="46"/>
      <c r="B189" s="47"/>
      <c r="C189" s="47"/>
      <c r="D189" s="47"/>
      <c r="E189" s="49"/>
      <c r="F189" s="49"/>
      <c r="G189" s="50"/>
      <c r="H189" s="32"/>
      <c r="I189" s="393" t="s">
        <v>603</v>
      </c>
      <c r="J189" s="66"/>
      <c r="K189" s="321"/>
      <c r="L189" s="321"/>
      <c r="M189" s="321"/>
      <c r="N189" s="321"/>
      <c r="O189" s="321"/>
      <c r="P189" s="321"/>
      <c r="Q189" s="609" t="s">
        <v>528</v>
      </c>
      <c r="R189" s="609"/>
      <c r="S189" s="609"/>
      <c r="T189" s="609"/>
      <c r="U189" s="609"/>
      <c r="V189" s="609"/>
      <c r="W189" s="609"/>
      <c r="X189" s="394">
        <f>ROUND(SUM(X190:X191),-3)</f>
        <v>624000</v>
      </c>
      <c r="Y189" s="395" t="s">
        <v>57</v>
      </c>
    </row>
    <row r="190" spans="1:25" ht="21" customHeight="1">
      <c r="A190" s="46"/>
      <c r="B190" s="47"/>
      <c r="C190" s="47"/>
      <c r="D190" s="47"/>
      <c r="E190" s="49"/>
      <c r="F190" s="49"/>
      <c r="G190" s="50"/>
      <c r="H190" s="32"/>
      <c r="I190" s="322" t="s">
        <v>529</v>
      </c>
      <c r="J190" s="322"/>
      <c r="K190" s="321"/>
      <c r="L190" s="321"/>
      <c r="M190" s="321">
        <f>X182</f>
        <v>5400000</v>
      </c>
      <c r="N190" s="354" t="s">
        <v>57</v>
      </c>
      <c r="O190" s="354" t="s">
        <v>76</v>
      </c>
      <c r="P190" s="321">
        <v>12</v>
      </c>
      <c r="Q190" s="321" t="s">
        <v>0</v>
      </c>
      <c r="R190" s="321"/>
      <c r="S190" s="321"/>
      <c r="T190" s="321"/>
      <c r="U190" s="321" t="s">
        <v>53</v>
      </c>
      <c r="V190" s="321"/>
      <c r="W190" s="70"/>
      <c r="X190" s="70">
        <f>M190/P190</f>
        <v>450000</v>
      </c>
      <c r="Y190" s="59" t="s">
        <v>57</v>
      </c>
    </row>
    <row r="191" spans="1:25" ht="21" customHeight="1">
      <c r="A191" s="46"/>
      <c r="B191" s="47"/>
      <c r="C191" s="47"/>
      <c r="D191" s="47"/>
      <c r="E191" s="49"/>
      <c r="F191" s="49"/>
      <c r="G191" s="50"/>
      <c r="H191" s="32"/>
      <c r="I191" s="427" t="s">
        <v>604</v>
      </c>
      <c r="J191" s="427"/>
      <c r="K191" s="426"/>
      <c r="L191" s="426"/>
      <c r="M191" s="426">
        <f>X187</f>
        <v>2080000</v>
      </c>
      <c r="N191" s="423" t="s">
        <v>57</v>
      </c>
      <c r="O191" s="423" t="s">
        <v>76</v>
      </c>
      <c r="P191" s="426">
        <v>12</v>
      </c>
      <c r="Q191" s="426" t="s">
        <v>0</v>
      </c>
      <c r="R191" s="426"/>
      <c r="S191" s="426"/>
      <c r="T191" s="426"/>
      <c r="U191" s="426" t="s">
        <v>53</v>
      </c>
      <c r="V191" s="426"/>
      <c r="W191" s="70"/>
      <c r="X191" s="70">
        <f>ROUNDUP(M191/P191,-3)</f>
        <v>174000</v>
      </c>
      <c r="Y191" s="59" t="s">
        <v>57</v>
      </c>
    </row>
    <row r="192" spans="1:25" ht="21" customHeight="1">
      <c r="A192" s="46"/>
      <c r="B192" s="47"/>
      <c r="C192" s="47"/>
      <c r="D192" s="47"/>
      <c r="E192" s="49"/>
      <c r="F192" s="49"/>
      <c r="G192" s="50"/>
      <c r="H192" s="32"/>
      <c r="I192" s="322"/>
      <c r="J192" s="322"/>
      <c r="K192" s="321"/>
      <c r="L192" s="321"/>
      <c r="M192" s="321"/>
      <c r="N192" s="321"/>
      <c r="O192" s="321"/>
      <c r="P192" s="321"/>
      <c r="Q192" s="321"/>
      <c r="R192" s="321"/>
      <c r="S192" s="321"/>
      <c r="T192" s="321"/>
      <c r="U192" s="321"/>
      <c r="V192" s="321"/>
      <c r="W192" s="70"/>
      <c r="X192" s="70"/>
      <c r="Y192" s="59"/>
    </row>
    <row r="193" spans="1:25" ht="21" customHeight="1" thickBot="1">
      <c r="A193" s="46"/>
      <c r="B193" s="47"/>
      <c r="C193" s="47"/>
      <c r="D193" s="47"/>
      <c r="E193" s="49"/>
      <c r="F193" s="49"/>
      <c r="G193" s="50"/>
      <c r="H193" s="32"/>
      <c r="I193" s="393" t="s">
        <v>606</v>
      </c>
      <c r="J193" s="66"/>
      <c r="K193" s="321"/>
      <c r="L193" s="321"/>
      <c r="M193" s="321"/>
      <c r="N193" s="321"/>
      <c r="O193" s="321"/>
      <c r="P193" s="321"/>
      <c r="Q193" s="609" t="s">
        <v>530</v>
      </c>
      <c r="R193" s="609"/>
      <c r="S193" s="609"/>
      <c r="T193" s="609"/>
      <c r="U193" s="609"/>
      <c r="V193" s="609"/>
      <c r="W193" s="609"/>
      <c r="X193" s="394">
        <f>SUM(X194:X200)</f>
        <v>5560000</v>
      </c>
      <c r="Y193" s="395" t="s">
        <v>491</v>
      </c>
    </row>
    <row r="194" spans="1:25" ht="21" customHeight="1">
      <c r="A194" s="46"/>
      <c r="B194" s="47"/>
      <c r="C194" s="47"/>
      <c r="D194" s="47"/>
      <c r="E194" s="49"/>
      <c r="F194" s="49"/>
      <c r="G194" s="50"/>
      <c r="H194" s="32"/>
      <c r="I194" s="322" t="s">
        <v>531</v>
      </c>
      <c r="J194" s="322"/>
      <c r="K194" s="321"/>
      <c r="L194" s="321"/>
      <c r="M194" s="321">
        <v>100000</v>
      </c>
      <c r="N194" s="321" t="s">
        <v>491</v>
      </c>
      <c r="O194" s="76" t="s">
        <v>492</v>
      </c>
      <c r="P194" s="321">
        <v>1</v>
      </c>
      <c r="Q194" s="321" t="s">
        <v>493</v>
      </c>
      <c r="R194" s="76" t="s">
        <v>492</v>
      </c>
      <c r="S194" s="321">
        <v>12</v>
      </c>
      <c r="T194" s="321" t="s">
        <v>29</v>
      </c>
      <c r="U194" s="321" t="s">
        <v>495</v>
      </c>
      <c r="V194" s="321"/>
      <c r="W194" s="70"/>
      <c r="X194" s="70">
        <f>M194*P194*S194</f>
        <v>1200000</v>
      </c>
      <c r="Y194" s="59" t="s">
        <v>491</v>
      </c>
    </row>
    <row r="195" spans="1:25" ht="21" customHeight="1">
      <c r="A195" s="46"/>
      <c r="B195" s="47"/>
      <c r="C195" s="47"/>
      <c r="D195" s="47"/>
      <c r="E195" s="49"/>
      <c r="F195" s="49"/>
      <c r="G195" s="50"/>
      <c r="H195" s="32"/>
      <c r="I195" s="322" t="s">
        <v>532</v>
      </c>
      <c r="J195" s="322"/>
      <c r="K195" s="321"/>
      <c r="L195" s="321"/>
      <c r="M195" s="321">
        <v>300000</v>
      </c>
      <c r="N195" s="321" t="s">
        <v>491</v>
      </c>
      <c r="O195" s="76" t="s">
        <v>492</v>
      </c>
      <c r="P195" s="321">
        <v>2</v>
      </c>
      <c r="Q195" s="321" t="s">
        <v>533</v>
      </c>
      <c r="R195" s="321"/>
      <c r="S195" s="321"/>
      <c r="T195" s="321"/>
      <c r="U195" s="321" t="s">
        <v>495</v>
      </c>
      <c r="V195" s="321"/>
      <c r="W195" s="70"/>
      <c r="X195" s="70">
        <f>M195*P195</f>
        <v>600000</v>
      </c>
      <c r="Y195" s="59" t="s">
        <v>491</v>
      </c>
    </row>
    <row r="196" spans="1:25" ht="21" customHeight="1">
      <c r="A196" s="46"/>
      <c r="B196" s="47"/>
      <c r="C196" s="47"/>
      <c r="D196" s="47"/>
      <c r="E196" s="49"/>
      <c r="F196" s="49"/>
      <c r="G196" s="50"/>
      <c r="H196" s="32"/>
      <c r="I196" s="322" t="s">
        <v>534</v>
      </c>
      <c r="J196" s="322"/>
      <c r="K196" s="321"/>
      <c r="L196" s="321"/>
      <c r="M196" s="321">
        <v>20000</v>
      </c>
      <c r="N196" s="321" t="s">
        <v>491</v>
      </c>
      <c r="O196" s="76" t="s">
        <v>492</v>
      </c>
      <c r="P196" s="321">
        <v>34</v>
      </c>
      <c r="Q196" s="321" t="s">
        <v>493</v>
      </c>
      <c r="R196" s="76"/>
      <c r="S196" s="321"/>
      <c r="T196" s="321"/>
      <c r="U196" s="321" t="s">
        <v>495</v>
      </c>
      <c r="V196" s="321"/>
      <c r="W196" s="70"/>
      <c r="X196" s="70">
        <f>M196*P196</f>
        <v>680000</v>
      </c>
      <c r="Y196" s="59" t="s">
        <v>491</v>
      </c>
    </row>
    <row r="197" spans="1:25" ht="21" customHeight="1">
      <c r="A197" s="46"/>
      <c r="B197" s="47"/>
      <c r="C197" s="47"/>
      <c r="D197" s="47"/>
      <c r="E197" s="49"/>
      <c r="F197" s="49"/>
      <c r="G197" s="50"/>
      <c r="H197" s="32"/>
      <c r="I197" s="322" t="s">
        <v>535</v>
      </c>
      <c r="J197" s="322"/>
      <c r="K197" s="321"/>
      <c r="L197" s="321"/>
      <c r="M197" s="321">
        <v>8000</v>
      </c>
      <c r="N197" s="77" t="s">
        <v>491</v>
      </c>
      <c r="O197" s="76" t="s">
        <v>492</v>
      </c>
      <c r="P197" s="77">
        <v>35</v>
      </c>
      <c r="Q197" s="321" t="s">
        <v>493</v>
      </c>
      <c r="R197" s="77"/>
      <c r="S197" s="77"/>
      <c r="T197" s="77"/>
      <c r="U197" s="102" t="s">
        <v>495</v>
      </c>
      <c r="V197" s="77"/>
      <c r="W197" s="77"/>
      <c r="X197" s="321">
        <f>M197*P197</f>
        <v>280000</v>
      </c>
      <c r="Y197" s="101" t="s">
        <v>491</v>
      </c>
    </row>
    <row r="198" spans="1:25" ht="21" customHeight="1">
      <c r="A198" s="46"/>
      <c r="B198" s="47"/>
      <c r="C198" s="47"/>
      <c r="D198" s="47"/>
      <c r="E198" s="49"/>
      <c r="F198" s="49"/>
      <c r="G198" s="50"/>
      <c r="H198" s="32"/>
      <c r="I198" s="446" t="s">
        <v>750</v>
      </c>
      <c r="J198" s="446"/>
      <c r="K198" s="446"/>
      <c r="L198" s="446"/>
      <c r="M198" s="457">
        <v>40000</v>
      </c>
      <c r="N198" s="466" t="s">
        <v>751</v>
      </c>
      <c r="O198" s="467" t="s">
        <v>752</v>
      </c>
      <c r="P198" s="466">
        <v>35</v>
      </c>
      <c r="Q198" s="457" t="s">
        <v>753</v>
      </c>
      <c r="R198" s="466"/>
      <c r="S198" s="466"/>
      <c r="T198" s="466"/>
      <c r="U198" s="468" t="s">
        <v>754</v>
      </c>
      <c r="V198" s="466"/>
      <c r="W198" s="466"/>
      <c r="X198" s="457">
        <f>M198*P198</f>
        <v>1400000</v>
      </c>
      <c r="Y198" s="469" t="s">
        <v>751</v>
      </c>
    </row>
    <row r="199" spans="1:25" ht="21" customHeight="1">
      <c r="A199" s="46"/>
      <c r="B199" s="47"/>
      <c r="C199" s="47"/>
      <c r="D199" s="47"/>
      <c r="E199" s="49"/>
      <c r="F199" s="49"/>
      <c r="G199" s="50"/>
      <c r="H199" s="32"/>
      <c r="I199" s="417" t="s">
        <v>581</v>
      </c>
      <c r="J199" s="417"/>
      <c r="K199" s="416"/>
      <c r="L199" s="416"/>
      <c r="M199" s="416">
        <v>300000</v>
      </c>
      <c r="N199" s="77" t="s">
        <v>57</v>
      </c>
      <c r="O199" s="76" t="s">
        <v>58</v>
      </c>
      <c r="P199" s="77">
        <v>2</v>
      </c>
      <c r="Q199" s="416" t="s">
        <v>56</v>
      </c>
      <c r="R199" s="76"/>
      <c r="S199" s="77"/>
      <c r="T199" s="77"/>
      <c r="U199" s="102" t="s">
        <v>53</v>
      </c>
      <c r="V199" s="77"/>
      <c r="W199" s="77"/>
      <c r="X199" s="416">
        <f>M199*P199</f>
        <v>600000</v>
      </c>
      <c r="Y199" s="101" t="s">
        <v>57</v>
      </c>
    </row>
    <row r="200" spans="1:25" ht="21" customHeight="1">
      <c r="A200" s="46"/>
      <c r="B200" s="47"/>
      <c r="C200" s="47"/>
      <c r="D200" s="47"/>
      <c r="E200" s="49"/>
      <c r="F200" s="49"/>
      <c r="G200" s="50"/>
      <c r="H200" s="32"/>
      <c r="I200" s="69" t="s">
        <v>536</v>
      </c>
      <c r="J200" s="322"/>
      <c r="K200" s="322"/>
      <c r="L200" s="322"/>
      <c r="M200" s="321"/>
      <c r="N200" s="77"/>
      <c r="O200" s="77"/>
      <c r="P200" s="77"/>
      <c r="Q200" s="321"/>
      <c r="R200" s="321"/>
      <c r="S200" s="77"/>
      <c r="T200" s="77"/>
      <c r="U200" s="77"/>
      <c r="V200" s="77"/>
      <c r="W200" s="77"/>
      <c r="X200" s="321">
        <v>800000</v>
      </c>
      <c r="Y200" s="101" t="s">
        <v>491</v>
      </c>
    </row>
    <row r="201" spans="1:25" ht="21" customHeight="1">
      <c r="A201" s="46"/>
      <c r="B201" s="47"/>
      <c r="C201" s="47"/>
      <c r="D201" s="47"/>
      <c r="E201" s="49"/>
      <c r="F201" s="49"/>
      <c r="G201" s="50"/>
      <c r="H201" s="32"/>
      <c r="I201" s="69"/>
      <c r="J201" s="322"/>
      <c r="K201" s="321"/>
      <c r="L201" s="321"/>
      <c r="M201" s="321"/>
      <c r="N201" s="321"/>
      <c r="O201" s="322"/>
      <c r="P201" s="321"/>
      <c r="Q201" s="321"/>
      <c r="R201" s="321"/>
      <c r="S201" s="321"/>
      <c r="T201" s="321"/>
      <c r="U201" s="321"/>
      <c r="V201" s="321"/>
      <c r="W201" s="70"/>
      <c r="X201" s="70"/>
      <c r="Y201" s="59"/>
    </row>
    <row r="202" spans="1:25" ht="21" customHeight="1" thickBot="1">
      <c r="A202" s="46"/>
      <c r="B202" s="47"/>
      <c r="C202" s="47"/>
      <c r="D202" s="47"/>
      <c r="E202" s="49"/>
      <c r="F202" s="49"/>
      <c r="G202" s="50"/>
      <c r="H202" s="32"/>
      <c r="I202" s="393" t="s">
        <v>607</v>
      </c>
      <c r="J202" s="66"/>
      <c r="K202" s="321"/>
      <c r="L202" s="321"/>
      <c r="M202" s="322"/>
      <c r="N202" s="322"/>
      <c r="O202" s="322"/>
      <c r="P202" s="322"/>
      <c r="Q202" s="609" t="s">
        <v>537</v>
      </c>
      <c r="R202" s="609"/>
      <c r="S202" s="609"/>
      <c r="T202" s="609"/>
      <c r="U202" s="609"/>
      <c r="V202" s="609"/>
      <c r="W202" s="609"/>
      <c r="X202" s="394">
        <f>SUM(X203:X205)</f>
        <v>2800000</v>
      </c>
      <c r="Y202" s="395" t="s">
        <v>491</v>
      </c>
    </row>
    <row r="203" spans="1:25" ht="21" customHeight="1">
      <c r="A203" s="46"/>
      <c r="B203" s="47"/>
      <c r="C203" s="47"/>
      <c r="D203" s="47"/>
      <c r="E203" s="49"/>
      <c r="F203" s="49"/>
      <c r="G203" s="50"/>
      <c r="H203" s="32"/>
      <c r="I203" s="69" t="s">
        <v>538</v>
      </c>
      <c r="J203" s="322"/>
      <c r="K203" s="322"/>
      <c r="L203" s="322"/>
      <c r="M203" s="321">
        <v>500000</v>
      </c>
      <c r="N203" s="77" t="s">
        <v>491</v>
      </c>
      <c r="O203" s="76" t="s">
        <v>492</v>
      </c>
      <c r="P203" s="77">
        <v>2</v>
      </c>
      <c r="Q203" s="321" t="s">
        <v>533</v>
      </c>
      <c r="R203" s="321"/>
      <c r="S203" s="77"/>
      <c r="T203" s="77"/>
      <c r="U203" s="77" t="s">
        <v>495</v>
      </c>
      <c r="V203" s="77"/>
      <c r="W203" s="77"/>
      <c r="X203" s="321">
        <f>M203*P203</f>
        <v>1000000</v>
      </c>
      <c r="Y203" s="101" t="s">
        <v>25</v>
      </c>
    </row>
    <row r="204" spans="1:25" ht="21" customHeight="1">
      <c r="A204" s="46"/>
      <c r="B204" s="47"/>
      <c r="C204" s="47"/>
      <c r="D204" s="47"/>
      <c r="E204" s="49"/>
      <c r="F204" s="49"/>
      <c r="G204" s="50"/>
      <c r="H204" s="32"/>
      <c r="I204" s="322" t="s">
        <v>539</v>
      </c>
      <c r="J204" s="322"/>
      <c r="K204" s="322"/>
      <c r="L204" s="322"/>
      <c r="M204" s="321"/>
      <c r="N204" s="321"/>
      <c r="O204" s="322"/>
      <c r="P204" s="321"/>
      <c r="Q204" s="321"/>
      <c r="R204" s="321"/>
      <c r="S204" s="77"/>
      <c r="T204" s="77"/>
      <c r="U204" s="77"/>
      <c r="V204" s="77"/>
      <c r="W204" s="77"/>
      <c r="X204" s="321">
        <v>400000</v>
      </c>
      <c r="Y204" s="101" t="s">
        <v>25</v>
      </c>
    </row>
    <row r="205" spans="1:25" ht="21" customHeight="1">
      <c r="A205" s="46"/>
      <c r="B205" s="47"/>
      <c r="C205" s="47"/>
      <c r="D205" s="47"/>
      <c r="E205" s="49"/>
      <c r="F205" s="49"/>
      <c r="G205" s="50"/>
      <c r="H205" s="32"/>
      <c r="I205" s="417" t="s">
        <v>582</v>
      </c>
      <c r="J205" s="322"/>
      <c r="K205" s="322"/>
      <c r="L205" s="322"/>
      <c r="M205" s="321">
        <v>100000</v>
      </c>
      <c r="N205" s="77" t="s">
        <v>57</v>
      </c>
      <c r="O205" s="76" t="s">
        <v>58</v>
      </c>
      <c r="P205" s="77">
        <v>14</v>
      </c>
      <c r="Q205" s="416" t="s">
        <v>56</v>
      </c>
      <c r="R205" s="77"/>
      <c r="S205" s="77"/>
      <c r="T205" s="77"/>
      <c r="U205" s="102" t="s">
        <v>53</v>
      </c>
      <c r="V205" s="77"/>
      <c r="W205" s="77"/>
      <c r="X205" s="416">
        <f>M205*P205</f>
        <v>1400000</v>
      </c>
      <c r="Y205" s="101" t="s">
        <v>491</v>
      </c>
    </row>
    <row r="206" spans="1:25" ht="21" customHeight="1">
      <c r="A206" s="46"/>
      <c r="B206" s="47"/>
      <c r="C206" s="47"/>
      <c r="D206" s="47"/>
      <c r="E206" s="49"/>
      <c r="F206" s="49"/>
      <c r="G206" s="50"/>
      <c r="H206" s="32"/>
      <c r="I206" s="322"/>
      <c r="J206" s="322"/>
      <c r="K206" s="322"/>
      <c r="L206" s="322"/>
      <c r="M206" s="322"/>
      <c r="N206" s="322"/>
      <c r="O206" s="322"/>
      <c r="P206" s="322"/>
      <c r="Q206" s="322"/>
      <c r="R206" s="322"/>
      <c r="S206" s="322"/>
      <c r="T206" s="322"/>
      <c r="U206" s="322"/>
      <c r="V206" s="322"/>
      <c r="W206" s="322"/>
      <c r="X206" s="322"/>
      <c r="Y206" s="396"/>
    </row>
    <row r="207" spans="1:25" ht="21" customHeight="1" thickBot="1">
      <c r="A207" s="46"/>
      <c r="B207" s="47"/>
      <c r="C207" s="47"/>
      <c r="D207" s="47"/>
      <c r="E207" s="49"/>
      <c r="F207" s="49"/>
      <c r="G207" s="50"/>
      <c r="H207" s="32"/>
      <c r="I207" s="393" t="s">
        <v>608</v>
      </c>
      <c r="J207" s="66"/>
      <c r="K207" s="321"/>
      <c r="L207" s="321"/>
      <c r="M207" s="321"/>
      <c r="N207" s="321"/>
      <c r="O207" s="321"/>
      <c r="P207" s="322"/>
      <c r="Q207" s="322"/>
      <c r="R207" s="322"/>
      <c r="S207" s="397" t="s">
        <v>540</v>
      </c>
      <c r="T207" s="66"/>
      <c r="U207" s="66"/>
      <c r="V207" s="397"/>
      <c r="W207" s="397"/>
      <c r="X207" s="394">
        <f>SUM(X208:X210)</f>
        <v>2600000</v>
      </c>
      <c r="Y207" s="395" t="s">
        <v>491</v>
      </c>
    </row>
    <row r="208" spans="1:25" ht="21" customHeight="1">
      <c r="A208" s="46"/>
      <c r="B208" s="47"/>
      <c r="C208" s="47"/>
      <c r="D208" s="47"/>
      <c r="E208" s="49"/>
      <c r="F208" s="49"/>
      <c r="G208" s="50"/>
      <c r="H208" s="32"/>
      <c r="I208" s="69" t="s">
        <v>541</v>
      </c>
      <c r="J208" s="322"/>
      <c r="K208" s="321"/>
      <c r="L208" s="321"/>
      <c r="M208" s="321">
        <v>100000</v>
      </c>
      <c r="N208" s="321" t="s">
        <v>491</v>
      </c>
      <c r="O208" s="76" t="s">
        <v>492</v>
      </c>
      <c r="P208" s="321">
        <v>1</v>
      </c>
      <c r="Q208" s="321" t="s">
        <v>533</v>
      </c>
      <c r="R208" s="76" t="s">
        <v>492</v>
      </c>
      <c r="S208" s="321">
        <v>12</v>
      </c>
      <c r="T208" s="321" t="s">
        <v>29</v>
      </c>
      <c r="U208" s="321" t="s">
        <v>495</v>
      </c>
      <c r="V208" s="321"/>
      <c r="W208" s="70"/>
      <c r="X208" s="70">
        <f>M208*P208*S208</f>
        <v>1200000</v>
      </c>
      <c r="Y208" s="59" t="s">
        <v>491</v>
      </c>
    </row>
    <row r="209" spans="1:25" ht="21" customHeight="1">
      <c r="A209" s="46"/>
      <c r="B209" s="47"/>
      <c r="C209" s="47"/>
      <c r="D209" s="47"/>
      <c r="E209" s="49"/>
      <c r="F209" s="49"/>
      <c r="G209" s="50"/>
      <c r="H209" s="32"/>
      <c r="I209" s="69" t="s">
        <v>542</v>
      </c>
      <c r="J209" s="322"/>
      <c r="K209" s="321"/>
      <c r="L209" s="321"/>
      <c r="M209" s="321">
        <v>50000</v>
      </c>
      <c r="N209" s="321" t="s">
        <v>491</v>
      </c>
      <c r="O209" s="76" t="s">
        <v>492</v>
      </c>
      <c r="P209" s="321">
        <v>1</v>
      </c>
      <c r="Q209" s="321" t="s">
        <v>493</v>
      </c>
      <c r="R209" s="76" t="s">
        <v>492</v>
      </c>
      <c r="S209" s="321">
        <v>12</v>
      </c>
      <c r="T209" s="321" t="s">
        <v>29</v>
      </c>
      <c r="U209" s="321" t="s">
        <v>495</v>
      </c>
      <c r="V209" s="321"/>
      <c r="W209" s="70"/>
      <c r="X209" s="70">
        <f>M209*P209*S209</f>
        <v>600000</v>
      </c>
      <c r="Y209" s="59" t="s">
        <v>491</v>
      </c>
    </row>
    <row r="210" spans="1:25" ht="21" customHeight="1">
      <c r="A210" s="46"/>
      <c r="B210" s="47"/>
      <c r="C210" s="47"/>
      <c r="D210" s="47"/>
      <c r="E210" s="49"/>
      <c r="F210" s="49"/>
      <c r="G210" s="50"/>
      <c r="H210" s="32"/>
      <c r="I210" s="445" t="s">
        <v>749</v>
      </c>
      <c r="J210" s="322"/>
      <c r="K210" s="321"/>
      <c r="L210" s="321"/>
      <c r="M210" s="321">
        <v>50000</v>
      </c>
      <c r="N210" s="321" t="s">
        <v>491</v>
      </c>
      <c r="O210" s="76" t="s">
        <v>492</v>
      </c>
      <c r="P210" s="457">
        <v>4</v>
      </c>
      <c r="Q210" s="321" t="s">
        <v>493</v>
      </c>
      <c r="R210" s="76" t="s">
        <v>492</v>
      </c>
      <c r="S210" s="321">
        <v>4</v>
      </c>
      <c r="T210" s="321" t="s">
        <v>29</v>
      </c>
      <c r="U210" s="321" t="s">
        <v>495</v>
      </c>
      <c r="V210" s="321"/>
      <c r="W210" s="70"/>
      <c r="X210" s="70">
        <f>M210*P210*S210</f>
        <v>800000</v>
      </c>
      <c r="Y210" s="59" t="s">
        <v>491</v>
      </c>
    </row>
    <row r="211" spans="1:25" ht="21" customHeight="1">
      <c r="A211" s="46"/>
      <c r="B211" s="47"/>
      <c r="C211" s="47"/>
      <c r="D211" s="47"/>
      <c r="E211" s="49"/>
      <c r="F211" s="49"/>
      <c r="G211" s="50"/>
      <c r="H211" s="32"/>
      <c r="I211" s="69"/>
      <c r="J211" s="322"/>
      <c r="K211" s="321"/>
      <c r="L211" s="321"/>
      <c r="M211" s="321"/>
      <c r="N211" s="321"/>
      <c r="O211" s="322"/>
      <c r="P211" s="321"/>
      <c r="Q211" s="321"/>
      <c r="R211" s="321"/>
      <c r="S211" s="321"/>
      <c r="T211" s="321"/>
      <c r="U211" s="321"/>
      <c r="V211" s="321"/>
      <c r="W211" s="70"/>
      <c r="X211" s="70"/>
      <c r="Y211" s="59"/>
    </row>
    <row r="212" spans="1:25" ht="21" customHeight="1" thickBot="1">
      <c r="A212" s="46"/>
      <c r="B212" s="47"/>
      <c r="C212" s="47"/>
      <c r="D212" s="47"/>
      <c r="E212" s="49"/>
      <c r="F212" s="49"/>
      <c r="G212" s="50"/>
      <c r="H212" s="32"/>
      <c r="I212" s="393" t="s">
        <v>609</v>
      </c>
      <c r="J212" s="398"/>
      <c r="K212" s="251"/>
      <c r="L212" s="251"/>
      <c r="M212" s="251"/>
      <c r="N212" s="251"/>
      <c r="O212" s="251"/>
      <c r="P212" s="251"/>
      <c r="Q212" s="251"/>
      <c r="R212" s="251"/>
      <c r="S212" s="398" t="s">
        <v>543</v>
      </c>
      <c r="T212" s="398"/>
      <c r="U212" s="398"/>
      <c r="V212" s="398"/>
      <c r="W212" s="398"/>
      <c r="X212" s="399">
        <f>X213</f>
        <v>500000</v>
      </c>
      <c r="Y212" s="395" t="s">
        <v>491</v>
      </c>
    </row>
    <row r="213" spans="1:25" ht="21" customHeight="1">
      <c r="A213" s="46"/>
      <c r="B213" s="47"/>
      <c r="C213" s="47"/>
      <c r="D213" s="47"/>
      <c r="E213" s="49"/>
      <c r="F213" s="49"/>
      <c r="G213" s="50"/>
      <c r="H213" s="32"/>
      <c r="I213" s="322" t="s">
        <v>544</v>
      </c>
      <c r="J213" s="322"/>
      <c r="K213" s="322"/>
      <c r="L213" s="322"/>
      <c r="M213" s="322"/>
      <c r="N213" s="322"/>
      <c r="O213" s="322"/>
      <c r="P213" s="322"/>
      <c r="Q213" s="322"/>
      <c r="R213" s="322"/>
      <c r="S213" s="322"/>
      <c r="T213" s="322"/>
      <c r="U213" s="322"/>
      <c r="V213" s="322"/>
      <c r="W213" s="322"/>
      <c r="X213" s="400">
        <v>500000</v>
      </c>
      <c r="Y213" s="59" t="s">
        <v>491</v>
      </c>
    </row>
    <row r="214" spans="1:25" ht="21" customHeight="1">
      <c r="A214" s="60"/>
      <c r="B214" s="61"/>
      <c r="C214" s="61"/>
      <c r="D214" s="61"/>
      <c r="E214" s="63"/>
      <c r="F214" s="63"/>
      <c r="G214" s="64"/>
      <c r="H214" s="297"/>
      <c r="I214" s="73"/>
      <c r="J214" s="324"/>
      <c r="K214" s="323"/>
      <c r="L214" s="323"/>
      <c r="M214" s="323"/>
      <c r="N214" s="294"/>
      <c r="O214" s="307"/>
      <c r="P214" s="308"/>
      <c r="Q214" s="307"/>
      <c r="R214" s="309"/>
      <c r="S214" s="310"/>
      <c r="T214" s="310"/>
      <c r="U214" s="294"/>
      <c r="V214" s="323"/>
      <c r="W214" s="74"/>
      <c r="X214" s="74"/>
      <c r="Y214" s="75"/>
    </row>
    <row r="215" spans="1:25" ht="21" customHeight="1">
      <c r="A215" s="36" t="s">
        <v>14</v>
      </c>
      <c r="B215" s="37" t="s">
        <v>14</v>
      </c>
      <c r="C215" s="600" t="s">
        <v>506</v>
      </c>
      <c r="D215" s="601"/>
      <c r="E215" s="367">
        <f>SUM(E216,E241,E246)</f>
        <v>48814</v>
      </c>
      <c r="F215" s="367">
        <f>SUM(F216,F241,F246)</f>
        <v>59567</v>
      </c>
      <c r="G215" s="368">
        <f t="shared" ref="G215:G217" si="66">F215-E215</f>
        <v>10753</v>
      </c>
      <c r="H215" s="369">
        <f t="shared" ref="H215:H217" si="67">IF(E215=0,0,G215/E215)</f>
        <v>0.22028516409226861</v>
      </c>
      <c r="I215" s="370" t="s">
        <v>510</v>
      </c>
      <c r="J215" s="371"/>
      <c r="K215" s="372"/>
      <c r="L215" s="372"/>
      <c r="M215" s="371"/>
      <c r="N215" s="371"/>
      <c r="O215" s="371"/>
      <c r="P215" s="371"/>
      <c r="Q215" s="371" t="s">
        <v>69</v>
      </c>
      <c r="R215" s="373"/>
      <c r="S215" s="373"/>
      <c r="T215" s="373"/>
      <c r="U215" s="373"/>
      <c r="V215" s="373"/>
      <c r="W215" s="373"/>
      <c r="X215" s="374">
        <f>SUM(X216,X241,X246)</f>
        <v>59567000</v>
      </c>
      <c r="Y215" s="386" t="s">
        <v>25</v>
      </c>
    </row>
    <row r="216" spans="1:25" ht="21" customHeight="1">
      <c r="A216" s="46"/>
      <c r="B216" s="47"/>
      <c r="C216" s="37" t="s">
        <v>391</v>
      </c>
      <c r="D216" s="384" t="s">
        <v>512</v>
      </c>
      <c r="E216" s="314">
        <f>SUM(E217,E220,E233,E237)</f>
        <v>35784</v>
      </c>
      <c r="F216" s="314">
        <f>SUM(F217,F220,F233,F237)</f>
        <v>37380</v>
      </c>
      <c r="G216" s="315">
        <f t="shared" si="66"/>
        <v>1596</v>
      </c>
      <c r="H216" s="316">
        <f t="shared" si="67"/>
        <v>4.4600938967136149E-2</v>
      </c>
      <c r="I216" s="298" t="s">
        <v>516</v>
      </c>
      <c r="J216" s="299"/>
      <c r="K216" s="300"/>
      <c r="L216" s="300"/>
      <c r="M216" s="300"/>
      <c r="N216" s="300"/>
      <c r="O216" s="300"/>
      <c r="P216" s="301"/>
      <c r="Q216" s="301"/>
      <c r="R216" s="301"/>
      <c r="S216" s="301"/>
      <c r="T216" s="301"/>
      <c r="U216" s="301"/>
      <c r="V216" s="335" t="s">
        <v>501</v>
      </c>
      <c r="W216" s="336"/>
      <c r="X216" s="337">
        <f>SUM(X217,X220,X233,X237)</f>
        <v>37380000</v>
      </c>
      <c r="Y216" s="387" t="s">
        <v>491</v>
      </c>
    </row>
    <row r="217" spans="1:25" ht="21" customHeight="1">
      <c r="A217" s="46"/>
      <c r="B217" s="47"/>
      <c r="C217" s="47" t="s">
        <v>392</v>
      </c>
      <c r="D217" s="37" t="s">
        <v>478</v>
      </c>
      <c r="E217" s="38">
        <v>15010</v>
      </c>
      <c r="F217" s="49">
        <f>ROUND(X217/1000,0)</f>
        <v>19169</v>
      </c>
      <c r="G217" s="39">
        <f t="shared" si="66"/>
        <v>4159</v>
      </c>
      <c r="H217" s="40">
        <f t="shared" si="67"/>
        <v>0.2770819453697535</v>
      </c>
      <c r="I217" s="196" t="s">
        <v>477</v>
      </c>
      <c r="J217" s="216"/>
      <c r="K217" s="96"/>
      <c r="L217" s="96"/>
      <c r="M217" s="96"/>
      <c r="N217" s="96"/>
      <c r="O217" s="96"/>
      <c r="P217" s="96"/>
      <c r="Q217" s="96"/>
      <c r="R217" s="96"/>
      <c r="S217" s="96"/>
      <c r="T217" s="96"/>
      <c r="U217" s="96"/>
      <c r="V217" s="602" t="s">
        <v>75</v>
      </c>
      <c r="W217" s="602"/>
      <c r="X217" s="198">
        <f>ROUND(SUM(W218:X219),-3)</f>
        <v>19169000</v>
      </c>
      <c r="Y217" s="199" t="s">
        <v>57</v>
      </c>
    </row>
    <row r="218" spans="1:25" ht="21" customHeight="1">
      <c r="A218" s="46"/>
      <c r="B218" s="47"/>
      <c r="C218" s="47"/>
      <c r="D218" s="47"/>
      <c r="E218" s="49"/>
      <c r="F218" s="49"/>
      <c r="G218" s="50"/>
      <c r="H218" s="32"/>
      <c r="I218" s="445" t="s">
        <v>693</v>
      </c>
      <c r="J218" s="322"/>
      <c r="K218" s="321"/>
      <c r="L218" s="321"/>
      <c r="M218" s="321"/>
      <c r="N218" s="321"/>
      <c r="O218" s="321"/>
      <c r="P218" s="321"/>
      <c r="Q218" s="321"/>
      <c r="R218" s="321"/>
      <c r="S218" s="321"/>
      <c r="T218" s="321"/>
      <c r="U218" s="321"/>
      <c r="V218" s="354"/>
      <c r="W218" s="354"/>
      <c r="X218" s="70">
        <v>19154796</v>
      </c>
      <c r="Y218" s="59" t="s">
        <v>472</v>
      </c>
    </row>
    <row r="219" spans="1:25" ht="21" customHeight="1">
      <c r="A219" s="46"/>
      <c r="B219" s="47"/>
      <c r="C219" s="47"/>
      <c r="D219" s="61"/>
      <c r="E219" s="63"/>
      <c r="F219" s="63"/>
      <c r="G219" s="64"/>
      <c r="H219" s="297"/>
      <c r="I219" s="449" t="s">
        <v>694</v>
      </c>
      <c r="J219" s="324"/>
      <c r="K219" s="323"/>
      <c r="L219" s="323"/>
      <c r="M219" s="323"/>
      <c r="N219" s="323"/>
      <c r="O219" s="323"/>
      <c r="P219" s="323"/>
      <c r="Q219" s="323"/>
      <c r="R219" s="323"/>
      <c r="S219" s="323"/>
      <c r="T219" s="323"/>
      <c r="U219" s="323"/>
      <c r="V219" s="294"/>
      <c r="W219" s="294"/>
      <c r="X219" s="74">
        <v>13761</v>
      </c>
      <c r="Y219" s="75" t="s">
        <v>472</v>
      </c>
    </row>
    <row r="220" spans="1:25" ht="21" customHeight="1">
      <c r="A220" s="46"/>
      <c r="B220" s="47"/>
      <c r="C220" s="47"/>
      <c r="D220" s="37" t="s">
        <v>393</v>
      </c>
      <c r="E220" s="38">
        <v>8111</v>
      </c>
      <c r="F220" s="49">
        <f>ROUND(X220/1000,0)</f>
        <v>6033</v>
      </c>
      <c r="G220" s="39">
        <f t="shared" ref="G220" si="68">F220-E220</f>
        <v>-2078</v>
      </c>
      <c r="H220" s="40">
        <f t="shared" ref="H220" si="69">IF(E220=0,0,G220/E220)</f>
        <v>-0.25619529034644312</v>
      </c>
      <c r="I220" s="196" t="s">
        <v>479</v>
      </c>
      <c r="J220" s="216"/>
      <c r="K220" s="96"/>
      <c r="L220" s="96"/>
      <c r="M220" s="96"/>
      <c r="N220" s="96"/>
      <c r="O220" s="96"/>
      <c r="P220" s="96"/>
      <c r="Q220" s="96"/>
      <c r="R220" s="96"/>
      <c r="S220" s="96"/>
      <c r="T220" s="96"/>
      <c r="U220" s="96"/>
      <c r="V220" s="602" t="s">
        <v>75</v>
      </c>
      <c r="W220" s="602"/>
      <c r="X220" s="198">
        <f>ROUND(SUM(W221:X231),-3)</f>
        <v>6033000</v>
      </c>
      <c r="Y220" s="199" t="s">
        <v>57</v>
      </c>
    </row>
    <row r="221" spans="1:25" ht="21" customHeight="1">
      <c r="A221" s="46"/>
      <c r="B221" s="47"/>
      <c r="C221" s="47"/>
      <c r="D221" s="47"/>
      <c r="E221" s="49"/>
      <c r="F221" s="49"/>
      <c r="G221" s="50"/>
      <c r="H221" s="32"/>
      <c r="I221" s="445" t="s">
        <v>685</v>
      </c>
      <c r="J221" s="322"/>
      <c r="K221" s="321"/>
      <c r="L221" s="321"/>
      <c r="M221" s="321"/>
      <c r="N221" s="321"/>
      <c r="O221" s="321"/>
      <c r="P221" s="321"/>
      <c r="Q221" s="321"/>
      <c r="R221" s="321"/>
      <c r="S221" s="321"/>
      <c r="T221" s="321"/>
      <c r="U221" s="321"/>
      <c r="V221" s="354"/>
      <c r="W221" s="354"/>
      <c r="X221" s="70">
        <v>2801760</v>
      </c>
      <c r="Y221" s="59" t="s">
        <v>472</v>
      </c>
    </row>
    <row r="222" spans="1:25" ht="21" customHeight="1">
      <c r="A222" s="46"/>
      <c r="B222" s="47"/>
      <c r="C222" s="47"/>
      <c r="D222" s="47"/>
      <c r="E222" s="49"/>
      <c r="F222" s="49"/>
      <c r="G222" s="50"/>
      <c r="H222" s="32"/>
      <c r="I222" s="445" t="s">
        <v>686</v>
      </c>
      <c r="J222" s="322"/>
      <c r="K222" s="321"/>
      <c r="L222" s="321"/>
      <c r="M222" s="321"/>
      <c r="N222" s="321"/>
      <c r="O222" s="321"/>
      <c r="P222" s="321"/>
      <c r="Q222" s="321"/>
      <c r="R222" s="321"/>
      <c r="S222" s="321"/>
      <c r="T222" s="321"/>
      <c r="U222" s="321"/>
      <c r="V222" s="354"/>
      <c r="W222" s="354"/>
      <c r="X222" s="70">
        <v>112567</v>
      </c>
      <c r="Y222" s="59" t="s">
        <v>472</v>
      </c>
    </row>
    <row r="223" spans="1:25" ht="21" customHeight="1">
      <c r="A223" s="46"/>
      <c r="B223" s="47"/>
      <c r="C223" s="47"/>
      <c r="D223" s="47"/>
      <c r="E223" s="49"/>
      <c r="F223" s="49"/>
      <c r="G223" s="50"/>
      <c r="H223" s="32"/>
      <c r="I223" s="445" t="s">
        <v>683</v>
      </c>
      <c r="J223" s="322"/>
      <c r="K223" s="321"/>
      <c r="L223" s="321"/>
      <c r="M223" s="321"/>
      <c r="N223" s="321"/>
      <c r="O223" s="321"/>
      <c r="P223" s="321"/>
      <c r="Q223" s="321"/>
      <c r="R223" s="321"/>
      <c r="S223" s="321"/>
      <c r="T223" s="321"/>
      <c r="U223" s="321"/>
      <c r="V223" s="354"/>
      <c r="W223" s="354"/>
      <c r="X223" s="70">
        <v>121120</v>
      </c>
      <c r="Y223" s="59" t="s">
        <v>472</v>
      </c>
    </row>
    <row r="224" spans="1:25" ht="21" customHeight="1">
      <c r="A224" s="46"/>
      <c r="B224" s="47"/>
      <c r="C224" s="47"/>
      <c r="D224" s="47"/>
      <c r="E224" s="49"/>
      <c r="F224" s="49"/>
      <c r="G224" s="50"/>
      <c r="H224" s="32"/>
      <c r="I224" s="445" t="s">
        <v>684</v>
      </c>
      <c r="J224" s="322"/>
      <c r="K224" s="321"/>
      <c r="L224" s="321"/>
      <c r="M224" s="321"/>
      <c r="N224" s="321"/>
      <c r="O224" s="321"/>
      <c r="P224" s="321"/>
      <c r="Q224" s="321"/>
      <c r="R224" s="321"/>
      <c r="S224" s="321"/>
      <c r="T224" s="321"/>
      <c r="U224" s="321"/>
      <c r="V224" s="354"/>
      <c r="W224" s="354"/>
      <c r="X224" s="70">
        <v>3754</v>
      </c>
      <c r="Y224" s="59" t="s">
        <v>472</v>
      </c>
    </row>
    <row r="225" spans="1:25" ht="21" customHeight="1">
      <c r="A225" s="46"/>
      <c r="B225" s="47"/>
      <c r="C225" s="47"/>
      <c r="D225" s="47"/>
      <c r="E225" s="49"/>
      <c r="F225" s="49"/>
      <c r="G225" s="50"/>
      <c r="H225" s="32"/>
      <c r="I225" s="445" t="s">
        <v>687</v>
      </c>
      <c r="J225" s="322"/>
      <c r="K225" s="321"/>
      <c r="L225" s="321"/>
      <c r="M225" s="321"/>
      <c r="N225" s="321"/>
      <c r="O225" s="321"/>
      <c r="P225" s="321"/>
      <c r="Q225" s="321"/>
      <c r="R225" s="321"/>
      <c r="S225" s="321"/>
      <c r="T225" s="321"/>
      <c r="U225" s="321"/>
      <c r="V225" s="354"/>
      <c r="W225" s="354"/>
      <c r="X225" s="70">
        <v>655000</v>
      </c>
      <c r="Y225" s="59" t="s">
        <v>472</v>
      </c>
    </row>
    <row r="226" spans="1:25" ht="21" customHeight="1">
      <c r="A226" s="46"/>
      <c r="B226" s="47"/>
      <c r="C226" s="47"/>
      <c r="D226" s="47"/>
      <c r="E226" s="49"/>
      <c r="F226" s="49"/>
      <c r="G226" s="50"/>
      <c r="H226" s="32"/>
      <c r="I226" s="445" t="s">
        <v>688</v>
      </c>
      <c r="J226" s="322"/>
      <c r="K226" s="321"/>
      <c r="L226" s="321"/>
      <c r="M226" s="321"/>
      <c r="N226" s="321"/>
      <c r="O226" s="321"/>
      <c r="P226" s="321"/>
      <c r="Q226" s="321"/>
      <c r="R226" s="321"/>
      <c r="S226" s="321"/>
      <c r="T226" s="321"/>
      <c r="U226" s="321"/>
      <c r="V226" s="354"/>
      <c r="W226" s="354"/>
      <c r="X226" s="70">
        <v>4521</v>
      </c>
      <c r="Y226" s="59" t="s">
        <v>472</v>
      </c>
    </row>
    <row r="227" spans="1:25" ht="21" customHeight="1">
      <c r="A227" s="46"/>
      <c r="B227" s="47"/>
      <c r="C227" s="47"/>
      <c r="D227" s="47"/>
      <c r="E227" s="49"/>
      <c r="F227" s="49"/>
      <c r="G227" s="50"/>
      <c r="H227" s="32"/>
      <c r="I227" s="445" t="s">
        <v>689</v>
      </c>
      <c r="J227" s="322"/>
      <c r="K227" s="321"/>
      <c r="L227" s="321"/>
      <c r="M227" s="321"/>
      <c r="N227" s="321"/>
      <c r="O227" s="321"/>
      <c r="P227" s="321"/>
      <c r="Q227" s="321"/>
      <c r="R227" s="321"/>
      <c r="S227" s="321"/>
      <c r="T227" s="321"/>
      <c r="U227" s="321"/>
      <c r="V227" s="354"/>
      <c r="W227" s="354"/>
      <c r="X227" s="70">
        <v>1487160</v>
      </c>
      <c r="Y227" s="59" t="s">
        <v>472</v>
      </c>
    </row>
    <row r="228" spans="1:25" ht="21" customHeight="1">
      <c r="A228" s="46"/>
      <c r="B228" s="47"/>
      <c r="C228" s="47"/>
      <c r="D228" s="47"/>
      <c r="E228" s="49"/>
      <c r="F228" s="49"/>
      <c r="G228" s="50"/>
      <c r="H228" s="32"/>
      <c r="I228" s="445" t="s">
        <v>690</v>
      </c>
      <c r="J228" s="322"/>
      <c r="K228" s="321"/>
      <c r="L228" s="321"/>
      <c r="M228" s="321"/>
      <c r="N228" s="321"/>
      <c r="O228" s="321"/>
      <c r="P228" s="321"/>
      <c r="Q228" s="321"/>
      <c r="R228" s="321"/>
      <c r="S228" s="321"/>
      <c r="T228" s="321"/>
      <c r="U228" s="321"/>
      <c r="V228" s="354"/>
      <c r="W228" s="354"/>
      <c r="X228" s="70">
        <v>20304</v>
      </c>
      <c r="Y228" s="59" t="s">
        <v>472</v>
      </c>
    </row>
    <row r="229" spans="1:25" ht="21" customHeight="1">
      <c r="A229" s="46"/>
      <c r="B229" s="47"/>
      <c r="C229" s="47"/>
      <c r="D229" s="47"/>
      <c r="E229" s="49"/>
      <c r="F229" s="49"/>
      <c r="G229" s="50"/>
      <c r="H229" s="32"/>
      <c r="I229" s="445" t="s">
        <v>691</v>
      </c>
      <c r="J229" s="322"/>
      <c r="K229" s="321"/>
      <c r="L229" s="321"/>
      <c r="M229" s="321"/>
      <c r="N229" s="321"/>
      <c r="O229" s="321"/>
      <c r="P229" s="321"/>
      <c r="Q229" s="321"/>
      <c r="R229" s="321"/>
      <c r="S229" s="321"/>
      <c r="T229" s="321"/>
      <c r="U229" s="321"/>
      <c r="V229" s="354"/>
      <c r="W229" s="354"/>
      <c r="X229" s="70">
        <v>822900</v>
      </c>
      <c r="Y229" s="59" t="s">
        <v>472</v>
      </c>
    </row>
    <row r="230" spans="1:25" ht="21" customHeight="1">
      <c r="A230" s="46"/>
      <c r="B230" s="47"/>
      <c r="C230" s="47"/>
      <c r="D230" s="47"/>
      <c r="E230" s="49"/>
      <c r="F230" s="49"/>
      <c r="G230" s="50"/>
      <c r="H230" s="32"/>
      <c r="I230" s="445" t="s">
        <v>692</v>
      </c>
      <c r="J230" s="322"/>
      <c r="K230" s="321"/>
      <c r="L230" s="321"/>
      <c r="M230" s="321"/>
      <c r="N230" s="321"/>
      <c r="O230" s="321"/>
      <c r="P230" s="321"/>
      <c r="Q230" s="321"/>
      <c r="R230" s="321"/>
      <c r="S230" s="321"/>
      <c r="T230" s="321"/>
      <c r="U230" s="321"/>
      <c r="V230" s="354"/>
      <c r="W230" s="354"/>
      <c r="X230" s="70">
        <v>3492</v>
      </c>
      <c r="Y230" s="59" t="s">
        <v>472</v>
      </c>
    </row>
    <row r="231" spans="1:25" ht="21" customHeight="1">
      <c r="A231" s="46"/>
      <c r="B231" s="47"/>
      <c r="C231" s="47"/>
      <c r="D231" s="47"/>
      <c r="E231" s="49"/>
      <c r="F231" s="49"/>
      <c r="G231" s="50"/>
      <c r="H231" s="32"/>
      <c r="I231" s="69" t="s">
        <v>546</v>
      </c>
      <c r="J231" s="409"/>
      <c r="K231" s="408"/>
      <c r="L231" s="408"/>
      <c r="M231" s="408"/>
      <c r="N231" s="408"/>
      <c r="O231" s="408"/>
      <c r="P231" s="408"/>
      <c r="Q231" s="408"/>
      <c r="R231" s="408"/>
      <c r="S231" s="408"/>
      <c r="T231" s="408"/>
      <c r="U231" s="408"/>
      <c r="V231" s="407"/>
      <c r="W231" s="407"/>
      <c r="X231" s="70">
        <v>0</v>
      </c>
      <c r="Y231" s="59" t="s">
        <v>545</v>
      </c>
    </row>
    <row r="232" spans="1:25" ht="21" customHeight="1">
      <c r="A232" s="46"/>
      <c r="B232" s="47"/>
      <c r="C232" s="47"/>
      <c r="D232" s="61"/>
      <c r="E232" s="63"/>
      <c r="F232" s="63"/>
      <c r="G232" s="64"/>
      <c r="H232" s="297"/>
      <c r="I232" s="73"/>
      <c r="J232" s="324"/>
      <c r="K232" s="323"/>
      <c r="L232" s="323"/>
      <c r="M232" s="323"/>
      <c r="N232" s="323"/>
      <c r="O232" s="323"/>
      <c r="P232" s="323"/>
      <c r="Q232" s="323"/>
      <c r="R232" s="323"/>
      <c r="S232" s="323"/>
      <c r="T232" s="323"/>
      <c r="U232" s="323"/>
      <c r="V232" s="294"/>
      <c r="W232" s="294"/>
      <c r="X232" s="74"/>
      <c r="Y232" s="75"/>
    </row>
    <row r="233" spans="1:25" ht="21" customHeight="1">
      <c r="A233" s="46"/>
      <c r="B233" s="47"/>
      <c r="C233" s="47"/>
      <c r="D233" s="37" t="s">
        <v>482</v>
      </c>
      <c r="E233" s="38">
        <v>653</v>
      </c>
      <c r="F233" s="38">
        <f>ROUND(X233/1000,0)</f>
        <v>211</v>
      </c>
      <c r="G233" s="39">
        <f t="shared" ref="G233" si="70">F233-E233</f>
        <v>-442</v>
      </c>
      <c r="H233" s="40">
        <f t="shared" ref="H233" si="71">IF(E233=0,0,G233/E233)</f>
        <v>-0.67687595712098014</v>
      </c>
      <c r="I233" s="196" t="s">
        <v>483</v>
      </c>
      <c r="J233" s="216"/>
      <c r="K233" s="96"/>
      <c r="L233" s="96"/>
      <c r="M233" s="96"/>
      <c r="N233" s="96"/>
      <c r="O233" s="96"/>
      <c r="P233" s="96"/>
      <c r="Q233" s="96"/>
      <c r="R233" s="96"/>
      <c r="S233" s="96"/>
      <c r="T233" s="96"/>
      <c r="U233" s="96"/>
      <c r="V233" s="602" t="s">
        <v>75</v>
      </c>
      <c r="W233" s="602"/>
      <c r="X233" s="198">
        <f>ROUND(SUM(W234:X235),-3)</f>
        <v>211000</v>
      </c>
      <c r="Y233" s="199" t="s">
        <v>57</v>
      </c>
    </row>
    <row r="234" spans="1:25" ht="21" customHeight="1">
      <c r="A234" s="46"/>
      <c r="B234" s="47"/>
      <c r="C234" s="47"/>
      <c r="D234" s="47"/>
      <c r="E234" s="49"/>
      <c r="F234" s="49"/>
      <c r="G234" s="50"/>
      <c r="H234" s="32"/>
      <c r="I234" s="445" t="s">
        <v>695</v>
      </c>
      <c r="J234" s="322"/>
      <c r="K234" s="321"/>
      <c r="L234" s="321"/>
      <c r="M234" s="321"/>
      <c r="N234" s="321"/>
      <c r="O234" s="321"/>
      <c r="P234" s="321"/>
      <c r="Q234" s="321"/>
      <c r="R234" s="321"/>
      <c r="S234" s="321"/>
      <c r="T234" s="321"/>
      <c r="U234" s="321"/>
      <c r="V234" s="354"/>
      <c r="W234" s="354"/>
      <c r="X234" s="70">
        <v>209342</v>
      </c>
      <c r="Y234" s="59" t="s">
        <v>472</v>
      </c>
    </row>
    <row r="235" spans="1:25" ht="21" customHeight="1">
      <c r="A235" s="46"/>
      <c r="B235" s="47"/>
      <c r="C235" s="47"/>
      <c r="D235" s="47"/>
      <c r="E235" s="49"/>
      <c r="F235" s="49"/>
      <c r="G235" s="50"/>
      <c r="H235" s="32"/>
      <c r="I235" s="445" t="s">
        <v>696</v>
      </c>
      <c r="J235" s="322"/>
      <c r="K235" s="321"/>
      <c r="L235" s="321"/>
      <c r="M235" s="321"/>
      <c r="N235" s="321"/>
      <c r="O235" s="321"/>
      <c r="P235" s="321"/>
      <c r="Q235" s="321"/>
      <c r="R235" s="321"/>
      <c r="S235" s="321"/>
      <c r="T235" s="321"/>
      <c r="U235" s="321"/>
      <c r="V235" s="354"/>
      <c r="W235" s="354"/>
      <c r="X235" s="70">
        <v>1671</v>
      </c>
      <c r="Y235" s="59" t="s">
        <v>472</v>
      </c>
    </row>
    <row r="236" spans="1:25" ht="21" customHeight="1">
      <c r="A236" s="46"/>
      <c r="B236" s="47"/>
      <c r="C236" s="47"/>
      <c r="D236" s="61"/>
      <c r="E236" s="63"/>
      <c r="F236" s="63"/>
      <c r="G236" s="64"/>
      <c r="H236" s="297"/>
      <c r="I236" s="73"/>
      <c r="J236" s="324"/>
      <c r="K236" s="323"/>
      <c r="L236" s="323"/>
      <c r="M236" s="323"/>
      <c r="N236" s="323"/>
      <c r="O236" s="323"/>
      <c r="P236" s="323"/>
      <c r="Q236" s="323"/>
      <c r="R236" s="323"/>
      <c r="S236" s="323"/>
      <c r="T236" s="323"/>
      <c r="U236" s="323"/>
      <c r="V236" s="294"/>
      <c r="W236" s="294"/>
      <c r="X236" s="74"/>
      <c r="Y236" s="75"/>
    </row>
    <row r="237" spans="1:25" ht="21" customHeight="1">
      <c r="A237" s="46"/>
      <c r="B237" s="47"/>
      <c r="C237" s="47"/>
      <c r="D237" s="47" t="s">
        <v>480</v>
      </c>
      <c r="E237" s="49">
        <v>12010</v>
      </c>
      <c r="F237" s="38">
        <f>ROUND(X237/1000,0)</f>
        <v>11967</v>
      </c>
      <c r="G237" s="39">
        <f t="shared" ref="G237" si="72">F237-E237</f>
        <v>-43</v>
      </c>
      <c r="H237" s="40">
        <f t="shared" ref="H237" si="73">IF(E237=0,0,G237/E237)</f>
        <v>-3.5803497085761865E-3</v>
      </c>
      <c r="I237" s="196" t="s">
        <v>485</v>
      </c>
      <c r="J237" s="216"/>
      <c r="K237" s="96"/>
      <c r="L237" s="96"/>
      <c r="M237" s="96"/>
      <c r="N237" s="96"/>
      <c r="O237" s="96"/>
      <c r="P237" s="96"/>
      <c r="Q237" s="96"/>
      <c r="R237" s="96"/>
      <c r="S237" s="96"/>
      <c r="T237" s="96"/>
      <c r="U237" s="96"/>
      <c r="V237" s="602" t="s">
        <v>75</v>
      </c>
      <c r="W237" s="602"/>
      <c r="X237" s="198">
        <f>ROUND(SUM(W238:X239),-3)</f>
        <v>11967000</v>
      </c>
      <c r="Y237" s="199" t="s">
        <v>57</v>
      </c>
    </row>
    <row r="238" spans="1:25" ht="21" customHeight="1">
      <c r="A238" s="46"/>
      <c r="B238" s="47"/>
      <c r="C238" s="47"/>
      <c r="D238" s="47"/>
      <c r="E238" s="49"/>
      <c r="F238" s="49"/>
      <c r="G238" s="50"/>
      <c r="H238" s="32"/>
      <c r="I238" s="445" t="s">
        <v>697</v>
      </c>
      <c r="J238" s="322"/>
      <c r="K238" s="321"/>
      <c r="L238" s="321"/>
      <c r="M238" s="321"/>
      <c r="N238" s="321"/>
      <c r="O238" s="321"/>
      <c r="P238" s="321"/>
      <c r="Q238" s="321"/>
      <c r="R238" s="321"/>
      <c r="S238" s="321"/>
      <c r="T238" s="321"/>
      <c r="U238" s="321"/>
      <c r="V238" s="354"/>
      <c r="W238" s="354"/>
      <c r="X238" s="70">
        <v>11957900</v>
      </c>
      <c r="Y238" s="59" t="s">
        <v>472</v>
      </c>
    </row>
    <row r="239" spans="1:25" ht="21" customHeight="1">
      <c r="A239" s="46"/>
      <c r="B239" s="47"/>
      <c r="C239" s="47"/>
      <c r="D239" s="47"/>
      <c r="E239" s="49"/>
      <c r="F239" s="49"/>
      <c r="G239" s="50"/>
      <c r="H239" s="32"/>
      <c r="I239" s="445" t="s">
        <v>698</v>
      </c>
      <c r="J239" s="322"/>
      <c r="K239" s="321"/>
      <c r="L239" s="321"/>
      <c r="M239" s="321"/>
      <c r="N239" s="321"/>
      <c r="O239" s="321"/>
      <c r="P239" s="321"/>
      <c r="Q239" s="321"/>
      <c r="R239" s="321"/>
      <c r="S239" s="321"/>
      <c r="T239" s="321"/>
      <c r="U239" s="321"/>
      <c r="V239" s="354"/>
      <c r="W239" s="354"/>
      <c r="X239" s="70">
        <v>8953</v>
      </c>
      <c r="Y239" s="59" t="s">
        <v>472</v>
      </c>
    </row>
    <row r="240" spans="1:25" ht="21" customHeight="1">
      <c r="A240" s="46"/>
      <c r="B240" s="47"/>
      <c r="C240" s="47"/>
      <c r="D240" s="47"/>
      <c r="E240" s="49"/>
      <c r="F240" s="49"/>
      <c r="G240" s="50"/>
      <c r="H240" s="32"/>
      <c r="I240" s="69"/>
      <c r="J240" s="322"/>
      <c r="K240" s="321"/>
      <c r="L240" s="321"/>
      <c r="M240" s="321"/>
      <c r="N240" s="354"/>
      <c r="O240" s="76"/>
      <c r="P240" s="71"/>
      <c r="Q240" s="76"/>
      <c r="R240" s="86"/>
      <c r="S240" s="78"/>
      <c r="T240" s="78"/>
      <c r="U240" s="354"/>
      <c r="V240" s="321"/>
      <c r="W240" s="70"/>
      <c r="X240" s="70"/>
      <c r="Y240" s="59"/>
    </row>
    <row r="241" spans="1:47" ht="21" customHeight="1">
      <c r="A241" s="46"/>
      <c r="B241" s="47"/>
      <c r="C241" s="37" t="s">
        <v>391</v>
      </c>
      <c r="D241" s="384" t="s">
        <v>281</v>
      </c>
      <c r="E241" s="314">
        <f>E242</f>
        <v>13030</v>
      </c>
      <c r="F241" s="314">
        <f>F242</f>
        <v>22187</v>
      </c>
      <c r="G241" s="315">
        <f t="shared" ref="G241:G242" si="74">F241-E241</f>
        <v>9157</v>
      </c>
      <c r="H241" s="316">
        <f t="shared" ref="H241:H242" si="75">IF(E241=0,0,G241/E241)</f>
        <v>0.70276285495011515</v>
      </c>
      <c r="I241" s="298" t="s">
        <v>395</v>
      </c>
      <c r="J241" s="299"/>
      <c r="K241" s="300"/>
      <c r="L241" s="300"/>
      <c r="M241" s="300"/>
      <c r="N241" s="300"/>
      <c r="O241" s="300"/>
      <c r="P241" s="301"/>
      <c r="Q241" s="301"/>
      <c r="R241" s="301"/>
      <c r="S241" s="301"/>
      <c r="T241" s="301"/>
      <c r="U241" s="301"/>
      <c r="V241" s="335" t="s">
        <v>75</v>
      </c>
      <c r="W241" s="336"/>
      <c r="X241" s="336">
        <f>X242</f>
        <v>22187000</v>
      </c>
      <c r="Y241" s="387" t="s">
        <v>57</v>
      </c>
    </row>
    <row r="242" spans="1:47" ht="21" customHeight="1">
      <c r="A242" s="46"/>
      <c r="B242" s="47"/>
      <c r="C242" s="47" t="s">
        <v>392</v>
      </c>
      <c r="D242" s="47" t="s">
        <v>394</v>
      </c>
      <c r="E242" s="49">
        <v>13030</v>
      </c>
      <c r="F242" s="49">
        <f>ROUND(X242/1000,0)</f>
        <v>22187</v>
      </c>
      <c r="G242" s="39">
        <f t="shared" si="74"/>
        <v>9157</v>
      </c>
      <c r="H242" s="40">
        <f t="shared" si="75"/>
        <v>0.70276285495011515</v>
      </c>
      <c r="I242" s="450" t="s">
        <v>681</v>
      </c>
      <c r="J242" s="216"/>
      <c r="K242" s="96"/>
      <c r="L242" s="96"/>
      <c r="M242" s="96"/>
      <c r="N242" s="96"/>
      <c r="O242" s="96"/>
      <c r="P242" s="96"/>
      <c r="Q242" s="96"/>
      <c r="R242" s="96"/>
      <c r="S242" s="96"/>
      <c r="T242" s="96"/>
      <c r="U242" s="96"/>
      <c r="V242" s="602"/>
      <c r="W242" s="602"/>
      <c r="X242" s="198">
        <f>ROUND(SUM(W243:X244),-3)</f>
        <v>22187000</v>
      </c>
      <c r="Y242" s="199" t="s">
        <v>57</v>
      </c>
    </row>
    <row r="243" spans="1:47" ht="21" customHeight="1">
      <c r="A243" s="46"/>
      <c r="B243" s="47"/>
      <c r="C243" s="47" t="s">
        <v>387</v>
      </c>
      <c r="D243" s="47" t="s">
        <v>388</v>
      </c>
      <c r="E243" s="49"/>
      <c r="F243" s="49"/>
      <c r="G243" s="50"/>
      <c r="H243" s="72"/>
      <c r="I243" s="445" t="s">
        <v>682</v>
      </c>
      <c r="J243" s="322"/>
      <c r="K243" s="321"/>
      <c r="L243" s="321"/>
      <c r="M243" s="321"/>
      <c r="N243" s="321"/>
      <c r="O243" s="321"/>
      <c r="P243" s="321"/>
      <c r="Q243" s="55"/>
      <c r="R243" s="55"/>
      <c r="S243" s="55"/>
      <c r="T243" s="321"/>
      <c r="U243" s="321"/>
      <c r="V243" s="321"/>
      <c r="W243" s="70"/>
      <c r="X243" s="70">
        <v>22186364</v>
      </c>
      <c r="Y243" s="59" t="s">
        <v>227</v>
      </c>
    </row>
    <row r="244" spans="1:47" ht="21" customHeight="1">
      <c r="A244" s="46"/>
      <c r="B244" s="47"/>
      <c r="C244" s="47"/>
      <c r="D244" s="47"/>
      <c r="E244" s="49"/>
      <c r="F244" s="49"/>
      <c r="G244" s="50"/>
      <c r="H244" s="72"/>
      <c r="I244" s="69"/>
      <c r="J244" s="322"/>
      <c r="K244" s="321"/>
      <c r="L244" s="321"/>
      <c r="M244" s="321"/>
      <c r="N244" s="321"/>
      <c r="O244" s="321"/>
      <c r="P244" s="321"/>
      <c r="Q244" s="55"/>
      <c r="R244" s="55"/>
      <c r="S244" s="55"/>
      <c r="T244" s="321"/>
      <c r="U244" s="321"/>
      <c r="V244" s="321"/>
      <c r="W244" s="70"/>
      <c r="X244" s="70">
        <v>597</v>
      </c>
      <c r="Y244" s="59" t="s">
        <v>57</v>
      </c>
    </row>
    <row r="245" spans="1:47" ht="21" customHeight="1">
      <c r="A245" s="46"/>
      <c r="B245" s="47"/>
      <c r="C245" s="47"/>
      <c r="D245" s="47"/>
      <c r="E245" s="49"/>
      <c r="F245" s="49"/>
      <c r="G245" s="50"/>
      <c r="H245" s="72"/>
      <c r="I245" s="69"/>
      <c r="J245" s="322"/>
      <c r="K245" s="321"/>
      <c r="L245" s="321"/>
      <c r="M245" s="321"/>
      <c r="N245" s="321"/>
      <c r="O245" s="321"/>
      <c r="P245" s="321"/>
      <c r="Q245" s="55"/>
      <c r="R245" s="55"/>
      <c r="S245" s="55"/>
      <c r="T245" s="321"/>
      <c r="U245" s="321"/>
      <c r="V245" s="321"/>
      <c r="W245" s="70"/>
      <c r="X245" s="70"/>
      <c r="Y245" s="59"/>
    </row>
    <row r="246" spans="1:47" ht="21" customHeight="1">
      <c r="A246" s="46"/>
      <c r="B246" s="47"/>
      <c r="C246" s="37" t="s">
        <v>396</v>
      </c>
      <c r="D246" s="384" t="s">
        <v>281</v>
      </c>
      <c r="E246" s="314">
        <f>E247</f>
        <v>0</v>
      </c>
      <c r="F246" s="314">
        <f>F247</f>
        <v>0</v>
      </c>
      <c r="G246" s="315">
        <f t="shared" ref="G246:G247" si="76">F246-E246</f>
        <v>0</v>
      </c>
      <c r="H246" s="316">
        <f t="shared" ref="H246:H247" si="77">IF(E246=0,0,G246/E246)</f>
        <v>0</v>
      </c>
      <c r="I246" s="298" t="s">
        <v>399</v>
      </c>
      <c r="J246" s="299"/>
      <c r="K246" s="300"/>
      <c r="L246" s="300"/>
      <c r="M246" s="300"/>
      <c r="N246" s="300"/>
      <c r="O246" s="300"/>
      <c r="P246" s="301"/>
      <c r="Q246" s="301"/>
      <c r="R246" s="301"/>
      <c r="S246" s="301"/>
      <c r="T246" s="301"/>
      <c r="U246" s="301"/>
      <c r="V246" s="335" t="s">
        <v>75</v>
      </c>
      <c r="W246" s="336"/>
      <c r="X246" s="336">
        <f>ROUND(SUM(W247:X248),-3)</f>
        <v>0</v>
      </c>
      <c r="Y246" s="387" t="s">
        <v>57</v>
      </c>
    </row>
    <row r="247" spans="1:47" ht="21" customHeight="1">
      <c r="A247" s="46"/>
      <c r="B247" s="47"/>
      <c r="C247" s="47" t="s">
        <v>397</v>
      </c>
      <c r="D247" s="47" t="s">
        <v>398</v>
      </c>
      <c r="E247" s="49">
        <v>0</v>
      </c>
      <c r="F247" s="49">
        <f>ROUND(X247/1000,0)</f>
        <v>0</v>
      </c>
      <c r="G247" s="39">
        <f t="shared" si="76"/>
        <v>0</v>
      </c>
      <c r="H247" s="40">
        <f t="shared" si="77"/>
        <v>0</v>
      </c>
      <c r="I247" s="69"/>
      <c r="J247" s="322"/>
      <c r="K247" s="321"/>
      <c r="L247" s="321"/>
      <c r="M247" s="321"/>
      <c r="N247" s="354"/>
      <c r="O247" s="76"/>
      <c r="P247" s="71"/>
      <c r="Q247" s="76"/>
      <c r="R247" s="86"/>
      <c r="S247" s="78"/>
      <c r="T247" s="78"/>
      <c r="U247" s="354"/>
      <c r="V247" s="321"/>
      <c r="W247" s="70"/>
      <c r="X247" s="70">
        <f>M247*P247</f>
        <v>0</v>
      </c>
      <c r="Y247" s="59" t="s">
        <v>57</v>
      </c>
    </row>
    <row r="248" spans="1:47" ht="21" customHeight="1">
      <c r="A248" s="60"/>
      <c r="B248" s="61"/>
      <c r="C248" s="61"/>
      <c r="D248" s="61"/>
      <c r="E248" s="63"/>
      <c r="F248" s="63"/>
      <c r="G248" s="64"/>
      <c r="H248" s="92"/>
      <c r="I248" s="73"/>
      <c r="J248" s="324"/>
      <c r="K248" s="323"/>
      <c r="L248" s="323"/>
      <c r="M248" s="323"/>
      <c r="N248" s="323"/>
      <c r="O248" s="323"/>
      <c r="P248" s="323"/>
      <c r="Q248" s="159"/>
      <c r="R248" s="159"/>
      <c r="S248" s="159"/>
      <c r="T248" s="323"/>
      <c r="U248" s="323"/>
      <c r="V248" s="323"/>
      <c r="W248" s="74"/>
      <c r="X248" s="74">
        <v>0</v>
      </c>
      <c r="Y248" s="75" t="s">
        <v>57</v>
      </c>
    </row>
    <row r="249" spans="1:47" s="4" customFormat="1" ht="21" customHeight="1">
      <c r="A249" s="46" t="s">
        <v>90</v>
      </c>
      <c r="B249" s="95" t="s">
        <v>16</v>
      </c>
      <c r="C249" s="600" t="s">
        <v>506</v>
      </c>
      <c r="D249" s="601"/>
      <c r="E249" s="367">
        <f>SUM(E250,E253,E265)</f>
        <v>30250</v>
      </c>
      <c r="F249" s="367">
        <f>SUM(F250,F253,F265)</f>
        <v>30250</v>
      </c>
      <c r="G249" s="368">
        <f t="shared" ref="G249:G251" si="78">F249-E249</f>
        <v>0</v>
      </c>
      <c r="H249" s="369">
        <f t="shared" ref="H249:H251" si="79">IF(E249=0,0,G249/E249)</f>
        <v>0</v>
      </c>
      <c r="I249" s="370" t="s">
        <v>511</v>
      </c>
      <c r="J249" s="371"/>
      <c r="K249" s="372"/>
      <c r="L249" s="372"/>
      <c r="M249" s="371"/>
      <c r="N249" s="371"/>
      <c r="O249" s="371"/>
      <c r="P249" s="371"/>
      <c r="Q249" s="371" t="s">
        <v>69</v>
      </c>
      <c r="R249" s="373"/>
      <c r="S249" s="373"/>
      <c r="T249" s="373"/>
      <c r="U249" s="373"/>
      <c r="V249" s="373"/>
      <c r="W249" s="373"/>
      <c r="X249" s="383">
        <f>SUM(X250,X253,X265)</f>
        <v>30250000</v>
      </c>
      <c r="Y249" s="392" t="s">
        <v>491</v>
      </c>
      <c r="Z249" s="375"/>
      <c r="AA249" s="376"/>
      <c r="AB249" s="376"/>
      <c r="AC249" s="377"/>
      <c r="AD249" s="378"/>
      <c r="AE249" s="379"/>
      <c r="AF249" s="380"/>
      <c r="AG249" s="381"/>
      <c r="AH249" s="381"/>
      <c r="AI249" s="380"/>
      <c r="AJ249" s="380"/>
      <c r="AK249" s="380"/>
      <c r="AL249" s="380"/>
      <c r="AM249" s="380"/>
      <c r="AN249" s="379"/>
      <c r="AO249" s="379"/>
      <c r="AP249" s="379"/>
      <c r="AQ249" s="379"/>
      <c r="AR249" s="379"/>
      <c r="AS249" s="379"/>
      <c r="AT249" s="382"/>
      <c r="AU249" s="380"/>
    </row>
    <row r="250" spans="1:47" ht="21" customHeight="1">
      <c r="A250" s="46"/>
      <c r="B250" s="106"/>
      <c r="C250" s="37" t="s">
        <v>400</v>
      </c>
      <c r="D250" s="384" t="s">
        <v>281</v>
      </c>
      <c r="E250" s="314">
        <f>E251</f>
        <v>0</v>
      </c>
      <c r="F250" s="314">
        <f>F251</f>
        <v>0</v>
      </c>
      <c r="G250" s="315">
        <f t="shared" si="78"/>
        <v>0</v>
      </c>
      <c r="H250" s="316">
        <f t="shared" si="79"/>
        <v>0</v>
      </c>
      <c r="I250" s="298" t="s">
        <v>409</v>
      </c>
      <c r="J250" s="299"/>
      <c r="K250" s="300"/>
      <c r="L250" s="300"/>
      <c r="M250" s="300"/>
      <c r="N250" s="300"/>
      <c r="O250" s="300"/>
      <c r="P250" s="301"/>
      <c r="Q250" s="301"/>
      <c r="R250" s="301"/>
      <c r="S250" s="301"/>
      <c r="T250" s="301"/>
      <c r="U250" s="301"/>
      <c r="V250" s="335" t="s">
        <v>75</v>
      </c>
      <c r="W250" s="336"/>
      <c r="X250" s="337">
        <f>SUM(X251:X251)</f>
        <v>0</v>
      </c>
      <c r="Y250" s="387" t="s">
        <v>57</v>
      </c>
    </row>
    <row r="251" spans="1:47" s="11" customFormat="1" ht="19.5" customHeight="1">
      <c r="A251" s="62"/>
      <c r="B251" s="108"/>
      <c r="C251" s="47" t="s">
        <v>401</v>
      </c>
      <c r="D251" s="37" t="s">
        <v>402</v>
      </c>
      <c r="E251" s="38">
        <v>0</v>
      </c>
      <c r="F251" s="49">
        <f>ROUND(X251/1000,0)</f>
        <v>0</v>
      </c>
      <c r="G251" s="39">
        <f t="shared" si="78"/>
        <v>0</v>
      </c>
      <c r="H251" s="40">
        <f t="shared" si="79"/>
        <v>0</v>
      </c>
      <c r="I251" s="196" t="s">
        <v>409</v>
      </c>
      <c r="J251" s="216"/>
      <c r="K251" s="96"/>
      <c r="L251" s="96"/>
      <c r="M251" s="96"/>
      <c r="N251" s="96"/>
      <c r="O251" s="96"/>
      <c r="P251" s="96"/>
      <c r="Q251" s="96"/>
      <c r="R251" s="96"/>
      <c r="S251" s="96"/>
      <c r="T251" s="96"/>
      <c r="U251" s="96"/>
      <c r="V251" s="602" t="s">
        <v>75</v>
      </c>
      <c r="W251" s="602"/>
      <c r="X251" s="198">
        <f>SUM(X252:X252)</f>
        <v>0</v>
      </c>
      <c r="Y251" s="199" t="s">
        <v>57</v>
      </c>
      <c r="Z251" s="6"/>
    </row>
    <row r="252" spans="1:47" s="11" customFormat="1" ht="19.5" customHeight="1">
      <c r="A252" s="62"/>
      <c r="B252" s="98"/>
      <c r="C252" s="47"/>
      <c r="D252" s="47"/>
      <c r="E252" s="49"/>
      <c r="F252" s="49"/>
      <c r="G252" s="50"/>
      <c r="H252" s="32"/>
      <c r="I252" s="69"/>
      <c r="J252" s="322"/>
      <c r="K252" s="321"/>
      <c r="L252" s="321"/>
      <c r="M252" s="321"/>
      <c r="N252" s="354"/>
      <c r="O252" s="76"/>
      <c r="P252" s="71"/>
      <c r="Q252" s="76"/>
      <c r="R252" s="86"/>
      <c r="S252" s="78"/>
      <c r="T252" s="78"/>
      <c r="U252" s="354"/>
      <c r="V252" s="321"/>
      <c r="W252" s="70"/>
      <c r="X252" s="70">
        <f>M252*P252</f>
        <v>0</v>
      </c>
      <c r="Y252" s="59" t="s">
        <v>57</v>
      </c>
      <c r="Z252" s="6"/>
    </row>
    <row r="253" spans="1:47" s="11" customFormat="1" ht="19.5" customHeight="1">
      <c r="A253" s="62"/>
      <c r="B253" s="98"/>
      <c r="C253" s="37" t="s">
        <v>403</v>
      </c>
      <c r="D253" s="384" t="s">
        <v>281</v>
      </c>
      <c r="E253" s="314">
        <f>E254</f>
        <v>250</v>
      </c>
      <c r="F253" s="314">
        <f>F254</f>
        <v>250</v>
      </c>
      <c r="G253" s="315">
        <f t="shared" ref="G253:G254" si="80">F253-E253</f>
        <v>0</v>
      </c>
      <c r="H253" s="316">
        <f t="shared" ref="H253:H254" si="81">IF(E253=0,0,G253/E253)</f>
        <v>0</v>
      </c>
      <c r="I253" s="298" t="s">
        <v>410</v>
      </c>
      <c r="J253" s="299"/>
      <c r="K253" s="300"/>
      <c r="L253" s="300"/>
      <c r="M253" s="300"/>
      <c r="N253" s="300"/>
      <c r="O253" s="300"/>
      <c r="P253" s="301"/>
      <c r="Q253" s="301"/>
      <c r="R253" s="301"/>
      <c r="S253" s="301"/>
      <c r="T253" s="301"/>
      <c r="U253" s="301"/>
      <c r="V253" s="335" t="s">
        <v>75</v>
      </c>
      <c r="W253" s="336"/>
      <c r="X253" s="336">
        <f>SUM(X254:X254)</f>
        <v>250000</v>
      </c>
      <c r="Y253" s="387" t="s">
        <v>57</v>
      </c>
      <c r="Z253" s="6"/>
    </row>
    <row r="254" spans="1:47" s="11" customFormat="1" ht="19.5" customHeight="1">
      <c r="A254" s="62"/>
      <c r="B254" s="98"/>
      <c r="C254" s="47" t="s">
        <v>404</v>
      </c>
      <c r="D254" s="47" t="s">
        <v>405</v>
      </c>
      <c r="E254" s="49">
        <v>250</v>
      </c>
      <c r="F254" s="49">
        <f>ROUND(X254/1000,0)</f>
        <v>250</v>
      </c>
      <c r="G254" s="39">
        <f t="shared" si="80"/>
        <v>0</v>
      </c>
      <c r="H254" s="40">
        <f t="shared" si="81"/>
        <v>0</v>
      </c>
      <c r="I254" s="196" t="s">
        <v>487</v>
      </c>
      <c r="J254" s="21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6"/>
      <c r="V254" s="602"/>
      <c r="W254" s="602"/>
      <c r="X254" s="198">
        <f>ROUND(SUM(W255:X263),-3)</f>
        <v>250000</v>
      </c>
      <c r="Y254" s="199" t="s">
        <v>57</v>
      </c>
      <c r="Z254" s="6"/>
    </row>
    <row r="255" spans="1:47" s="11" customFormat="1" ht="19.5" customHeight="1">
      <c r="A255" s="62"/>
      <c r="B255" s="98"/>
      <c r="C255" s="47" t="s">
        <v>347</v>
      </c>
      <c r="D255" s="47" t="s">
        <v>406</v>
      </c>
      <c r="E255" s="49"/>
      <c r="F255" s="49"/>
      <c r="G255" s="50"/>
      <c r="H255" s="72"/>
      <c r="I255" s="69" t="s">
        <v>473</v>
      </c>
      <c r="J255" s="322"/>
      <c r="K255" s="321"/>
      <c r="L255" s="321"/>
      <c r="M255" s="321"/>
      <c r="N255" s="321"/>
      <c r="O255" s="321"/>
      <c r="P255" s="321"/>
      <c r="Q255" s="55"/>
      <c r="R255" s="55"/>
      <c r="S255" s="55"/>
      <c r="T255" s="321"/>
      <c r="U255" s="321"/>
      <c r="V255" s="321"/>
      <c r="W255" s="70"/>
      <c r="X255" s="70">
        <v>150000</v>
      </c>
      <c r="Y255" s="59" t="s">
        <v>57</v>
      </c>
      <c r="Z255" s="6"/>
    </row>
    <row r="256" spans="1:47" s="11" customFormat="1" ht="19.5" customHeight="1">
      <c r="A256" s="62"/>
      <c r="B256" s="98"/>
      <c r="C256" s="47"/>
      <c r="D256" s="47"/>
      <c r="E256" s="49"/>
      <c r="F256" s="49"/>
      <c r="G256" s="50"/>
      <c r="H256" s="72"/>
      <c r="I256" s="69" t="s">
        <v>481</v>
      </c>
      <c r="J256" s="322"/>
      <c r="K256" s="321"/>
      <c r="L256" s="321"/>
      <c r="M256" s="321"/>
      <c r="N256" s="321"/>
      <c r="O256" s="321"/>
      <c r="P256" s="321"/>
      <c r="Q256" s="55"/>
      <c r="R256" s="55"/>
      <c r="S256" s="55"/>
      <c r="T256" s="321"/>
      <c r="U256" s="321"/>
      <c r="V256" s="321"/>
      <c r="W256" s="70"/>
      <c r="X256" s="70">
        <v>5000</v>
      </c>
      <c r="Y256" s="59" t="s">
        <v>57</v>
      </c>
      <c r="Z256" s="6"/>
    </row>
    <row r="257" spans="1:26" s="11" customFormat="1" ht="19.5" customHeight="1">
      <c r="A257" s="62"/>
      <c r="B257" s="98"/>
      <c r="C257" s="47"/>
      <c r="D257" s="47"/>
      <c r="E257" s="49"/>
      <c r="F257" s="49"/>
      <c r="G257" s="50"/>
      <c r="H257" s="72"/>
      <c r="I257" s="69" t="s">
        <v>474</v>
      </c>
      <c r="J257" s="322"/>
      <c r="K257" s="321"/>
      <c r="L257" s="321"/>
      <c r="M257" s="321"/>
      <c r="N257" s="321"/>
      <c r="O257" s="321"/>
      <c r="P257" s="321"/>
      <c r="Q257" s="55"/>
      <c r="R257" s="55"/>
      <c r="S257" s="55"/>
      <c r="T257" s="321"/>
      <c r="U257" s="321"/>
      <c r="V257" s="321"/>
      <c r="W257" s="70"/>
      <c r="X257" s="70">
        <v>5000</v>
      </c>
      <c r="Y257" s="59" t="s">
        <v>57</v>
      </c>
      <c r="Z257" s="6"/>
    </row>
    <row r="258" spans="1:26" s="11" customFormat="1" ht="19.5" customHeight="1">
      <c r="A258" s="62"/>
      <c r="B258" s="98"/>
      <c r="C258" s="47"/>
      <c r="D258" s="47"/>
      <c r="E258" s="49"/>
      <c r="F258" s="49"/>
      <c r="G258" s="50"/>
      <c r="H258" s="72"/>
      <c r="I258" s="69" t="s">
        <v>475</v>
      </c>
      <c r="J258" s="322"/>
      <c r="K258" s="321"/>
      <c r="L258" s="321"/>
      <c r="M258" s="321"/>
      <c r="N258" s="321"/>
      <c r="O258" s="321"/>
      <c r="P258" s="321"/>
      <c r="Q258" s="55"/>
      <c r="R258" s="55"/>
      <c r="S258" s="55"/>
      <c r="T258" s="321"/>
      <c r="U258" s="321"/>
      <c r="V258" s="321"/>
      <c r="W258" s="70"/>
      <c r="X258" s="70">
        <v>25000</v>
      </c>
      <c r="Y258" s="59" t="s">
        <v>57</v>
      </c>
      <c r="Z258" s="6"/>
    </row>
    <row r="259" spans="1:26" s="11" customFormat="1" ht="19.5" customHeight="1">
      <c r="A259" s="62"/>
      <c r="B259" s="98"/>
      <c r="C259" s="47"/>
      <c r="D259" s="47"/>
      <c r="E259" s="49"/>
      <c r="F259" s="49"/>
      <c r="G259" s="50"/>
      <c r="H259" s="72"/>
      <c r="I259" s="69" t="s">
        <v>488</v>
      </c>
      <c r="J259" s="322"/>
      <c r="K259" s="321"/>
      <c r="L259" s="321"/>
      <c r="M259" s="321"/>
      <c r="N259" s="321"/>
      <c r="O259" s="321"/>
      <c r="P259" s="321"/>
      <c r="Q259" s="55"/>
      <c r="R259" s="55"/>
      <c r="S259" s="55"/>
      <c r="T259" s="321"/>
      <c r="U259" s="321"/>
      <c r="V259" s="321"/>
      <c r="W259" s="70"/>
      <c r="X259" s="70">
        <v>0</v>
      </c>
      <c r="Y259" s="59" t="s">
        <v>57</v>
      </c>
      <c r="Z259" s="6"/>
    </row>
    <row r="260" spans="1:26" s="11" customFormat="1" ht="19.5" customHeight="1">
      <c r="A260" s="62"/>
      <c r="B260" s="98"/>
      <c r="C260" s="47"/>
      <c r="D260" s="47"/>
      <c r="E260" s="49"/>
      <c r="F260" s="49"/>
      <c r="G260" s="50"/>
      <c r="H260" s="72"/>
      <c r="I260" s="69" t="s">
        <v>476</v>
      </c>
      <c r="J260" s="322"/>
      <c r="K260" s="321"/>
      <c r="L260" s="321"/>
      <c r="M260" s="321"/>
      <c r="N260" s="321"/>
      <c r="O260" s="321"/>
      <c r="P260" s="321"/>
      <c r="Q260" s="55"/>
      <c r="R260" s="55"/>
      <c r="S260" s="55"/>
      <c r="T260" s="321"/>
      <c r="U260" s="321"/>
      <c r="V260" s="321"/>
      <c r="W260" s="70"/>
      <c r="X260" s="70">
        <v>20000</v>
      </c>
      <c r="Y260" s="59" t="s">
        <v>57</v>
      </c>
      <c r="Z260" s="6"/>
    </row>
    <row r="261" spans="1:26" s="11" customFormat="1" ht="19.5" customHeight="1">
      <c r="A261" s="62"/>
      <c r="B261" s="98"/>
      <c r="C261" s="47"/>
      <c r="D261" s="47"/>
      <c r="E261" s="49"/>
      <c r="F261" s="49"/>
      <c r="G261" s="50"/>
      <c r="H261" s="72"/>
      <c r="I261" s="69" t="s">
        <v>489</v>
      </c>
      <c r="J261" s="322"/>
      <c r="K261" s="321"/>
      <c r="L261" s="321"/>
      <c r="M261" s="321"/>
      <c r="N261" s="321"/>
      <c r="O261" s="321"/>
      <c r="P261" s="321"/>
      <c r="Q261" s="55"/>
      <c r="R261" s="55"/>
      <c r="S261" s="55"/>
      <c r="T261" s="321"/>
      <c r="U261" s="321"/>
      <c r="V261" s="321"/>
      <c r="W261" s="70"/>
      <c r="X261" s="70">
        <v>30000</v>
      </c>
      <c r="Y261" s="59" t="s">
        <v>57</v>
      </c>
      <c r="Z261" s="6"/>
    </row>
    <row r="262" spans="1:26" s="11" customFormat="1" ht="19.5" customHeight="1">
      <c r="A262" s="62"/>
      <c r="B262" s="98"/>
      <c r="C262" s="47"/>
      <c r="D262" s="47"/>
      <c r="E262" s="49"/>
      <c r="F262" s="49"/>
      <c r="G262" s="50"/>
      <c r="H262" s="72"/>
      <c r="I262" s="69" t="s">
        <v>484</v>
      </c>
      <c r="J262" s="322"/>
      <c r="K262" s="321"/>
      <c r="L262" s="321"/>
      <c r="M262" s="321"/>
      <c r="N262" s="321"/>
      <c r="O262" s="321"/>
      <c r="P262" s="321"/>
      <c r="Q262" s="55"/>
      <c r="R262" s="55"/>
      <c r="S262" s="55"/>
      <c r="T262" s="321"/>
      <c r="U262" s="321"/>
      <c r="V262" s="321"/>
      <c r="W262" s="70"/>
      <c r="X262" s="70">
        <v>5000</v>
      </c>
      <c r="Y262" s="59" t="s">
        <v>57</v>
      </c>
      <c r="Z262" s="6"/>
    </row>
    <row r="263" spans="1:26" s="11" customFormat="1" ht="19.5" customHeight="1">
      <c r="A263" s="62"/>
      <c r="B263" s="98"/>
      <c r="C263" s="47"/>
      <c r="D263" s="47"/>
      <c r="E263" s="49"/>
      <c r="F263" s="49"/>
      <c r="G263" s="50"/>
      <c r="H263" s="72"/>
      <c r="I263" s="69" t="s">
        <v>486</v>
      </c>
      <c r="J263" s="322"/>
      <c r="K263" s="321"/>
      <c r="L263" s="321"/>
      <c r="M263" s="321"/>
      <c r="N263" s="321"/>
      <c r="O263" s="321"/>
      <c r="P263" s="321"/>
      <c r="Q263" s="55"/>
      <c r="R263" s="55"/>
      <c r="S263" s="55"/>
      <c r="T263" s="321"/>
      <c r="U263" s="321"/>
      <c r="V263" s="321"/>
      <c r="W263" s="70"/>
      <c r="X263" s="70">
        <v>10000</v>
      </c>
      <c r="Y263" s="59" t="s">
        <v>57</v>
      </c>
      <c r="Z263" s="6"/>
    </row>
    <row r="264" spans="1:26" s="11" customFormat="1" ht="19.5" customHeight="1">
      <c r="A264" s="62"/>
      <c r="B264" s="98"/>
      <c r="C264" s="47"/>
      <c r="D264" s="47"/>
      <c r="E264" s="49"/>
      <c r="F264" s="49"/>
      <c r="G264" s="50"/>
      <c r="H264" s="72"/>
      <c r="I264" s="69"/>
      <c r="J264" s="322"/>
      <c r="K264" s="321"/>
      <c r="L264" s="321"/>
      <c r="M264" s="321"/>
      <c r="N264" s="321"/>
      <c r="O264" s="321"/>
      <c r="P264" s="321"/>
      <c r="Q264" s="55"/>
      <c r="R264" s="55"/>
      <c r="S264" s="55"/>
      <c r="T264" s="321"/>
      <c r="U264" s="321"/>
      <c r="V264" s="321"/>
      <c r="W264" s="70"/>
      <c r="X264" s="70"/>
      <c r="Y264" s="59"/>
      <c r="Z264" s="6"/>
    </row>
    <row r="265" spans="1:26" s="11" customFormat="1" ht="19.5" customHeight="1">
      <c r="A265" s="62"/>
      <c r="B265" s="98"/>
      <c r="C265" s="37" t="s">
        <v>365</v>
      </c>
      <c r="D265" s="384" t="s">
        <v>512</v>
      </c>
      <c r="E265" s="314">
        <f>E266</f>
        <v>30000</v>
      </c>
      <c r="F265" s="314">
        <f>F266</f>
        <v>30000</v>
      </c>
      <c r="G265" s="315">
        <f t="shared" ref="G265:G266" si="82">F265-E265</f>
        <v>0</v>
      </c>
      <c r="H265" s="316">
        <f t="shared" ref="H265:H266" si="83">IF(E265=0,0,G265/E265)</f>
        <v>0</v>
      </c>
      <c r="I265" s="298" t="s">
        <v>490</v>
      </c>
      <c r="J265" s="299"/>
      <c r="K265" s="300"/>
      <c r="L265" s="300"/>
      <c r="M265" s="300"/>
      <c r="N265" s="300"/>
      <c r="O265" s="300"/>
      <c r="P265" s="301"/>
      <c r="Q265" s="301"/>
      <c r="R265" s="301"/>
      <c r="S265" s="301"/>
      <c r="T265" s="301"/>
      <c r="U265" s="301"/>
      <c r="V265" s="335" t="s">
        <v>501</v>
      </c>
      <c r="W265" s="336"/>
      <c r="X265" s="336">
        <f>SUM(X266:X266)</f>
        <v>30000000</v>
      </c>
      <c r="Y265" s="387" t="s">
        <v>491</v>
      </c>
      <c r="Z265" s="6"/>
    </row>
    <row r="266" spans="1:26" s="11" customFormat="1" ht="19.5" customHeight="1">
      <c r="A266" s="62"/>
      <c r="B266" s="98"/>
      <c r="C266" s="47" t="s">
        <v>407</v>
      </c>
      <c r="D266" s="47" t="s">
        <v>408</v>
      </c>
      <c r="E266" s="49">
        <v>30000</v>
      </c>
      <c r="F266" s="49">
        <f>ROUND(X266/1000,0)</f>
        <v>30000</v>
      </c>
      <c r="G266" s="39">
        <f t="shared" si="82"/>
        <v>0</v>
      </c>
      <c r="H266" s="40">
        <f t="shared" si="83"/>
        <v>0</v>
      </c>
      <c r="I266" s="196" t="s">
        <v>490</v>
      </c>
      <c r="J266" s="216"/>
      <c r="K266" s="96"/>
      <c r="L266" s="96"/>
      <c r="M266" s="96"/>
      <c r="N266" s="96"/>
      <c r="O266" s="96"/>
      <c r="P266" s="96"/>
      <c r="Q266" s="96"/>
      <c r="R266" s="96"/>
      <c r="S266" s="96"/>
      <c r="T266" s="96"/>
      <c r="U266" s="96"/>
      <c r="V266" s="602"/>
      <c r="W266" s="602"/>
      <c r="X266" s="198">
        <f>ROUND(SUM(W267:X271),-3)</f>
        <v>30000000</v>
      </c>
      <c r="Y266" s="199" t="s">
        <v>57</v>
      </c>
      <c r="Z266" s="6"/>
    </row>
    <row r="267" spans="1:26" s="11" customFormat="1" ht="19.5" customHeight="1">
      <c r="A267" s="62"/>
      <c r="B267" s="98"/>
      <c r="C267" s="47"/>
      <c r="D267" s="47"/>
      <c r="E267" s="49"/>
      <c r="F267" s="49"/>
      <c r="G267" s="50"/>
      <c r="H267" s="32"/>
      <c r="I267" s="69" t="s">
        <v>500</v>
      </c>
      <c r="J267" s="321"/>
      <c r="K267" s="321"/>
      <c r="L267" s="321"/>
      <c r="M267" s="321">
        <v>50000</v>
      </c>
      <c r="N267" s="321" t="s">
        <v>491</v>
      </c>
      <c r="O267" s="322" t="s">
        <v>492</v>
      </c>
      <c r="P267" s="321">
        <v>31</v>
      </c>
      <c r="Q267" s="322" t="s">
        <v>493</v>
      </c>
      <c r="R267" s="322" t="s">
        <v>492</v>
      </c>
      <c r="S267" s="321">
        <v>12</v>
      </c>
      <c r="T267" s="321" t="s">
        <v>494</v>
      </c>
      <c r="U267" s="354" t="s">
        <v>495</v>
      </c>
      <c r="V267" s="354"/>
      <c r="W267" s="322"/>
      <c r="X267" s="321">
        <f>ROUND(M267*P267*S267,-3)</f>
        <v>18600000</v>
      </c>
      <c r="Y267" s="59" t="s">
        <v>491</v>
      </c>
      <c r="Z267" s="6"/>
    </row>
    <row r="268" spans="1:26" s="11" customFormat="1" ht="19.5" customHeight="1">
      <c r="A268" s="62"/>
      <c r="B268" s="98"/>
      <c r="C268" s="47"/>
      <c r="D268" s="47"/>
      <c r="E268" s="49"/>
      <c r="F268" s="49"/>
      <c r="G268" s="50"/>
      <c r="H268" s="32"/>
      <c r="I268" s="69" t="s">
        <v>496</v>
      </c>
      <c r="J268" s="321"/>
      <c r="K268" s="321"/>
      <c r="L268" s="321"/>
      <c r="M268" s="321">
        <v>50000</v>
      </c>
      <c r="N268" s="321" t="s">
        <v>491</v>
      </c>
      <c r="O268" s="322" t="s">
        <v>492</v>
      </c>
      <c r="P268" s="321">
        <v>12</v>
      </c>
      <c r="Q268" s="322" t="s">
        <v>493</v>
      </c>
      <c r="R268" s="322" t="s">
        <v>492</v>
      </c>
      <c r="S268" s="321">
        <v>12</v>
      </c>
      <c r="T268" s="321" t="s">
        <v>494</v>
      </c>
      <c r="U268" s="354" t="s">
        <v>495</v>
      </c>
      <c r="V268" s="354"/>
      <c r="W268" s="322"/>
      <c r="X268" s="321">
        <f>ROUND(M268*P268*S268,-3)</f>
        <v>7200000</v>
      </c>
      <c r="Y268" s="59" t="s">
        <v>491</v>
      </c>
      <c r="Z268" s="6"/>
    </row>
    <row r="269" spans="1:26" s="11" customFormat="1" ht="19.5" customHeight="1">
      <c r="A269" s="62"/>
      <c r="B269" s="98"/>
      <c r="C269" s="47"/>
      <c r="D269" s="47"/>
      <c r="E269" s="49"/>
      <c r="F269" s="49"/>
      <c r="G269" s="50"/>
      <c r="H269" s="32"/>
      <c r="I269" s="69" t="s">
        <v>497</v>
      </c>
      <c r="J269" s="321"/>
      <c r="K269" s="321"/>
      <c r="L269" s="321"/>
      <c r="M269" s="321">
        <v>150000</v>
      </c>
      <c r="N269" s="321" t="s">
        <v>491</v>
      </c>
      <c r="O269" s="322" t="s">
        <v>492</v>
      </c>
      <c r="P269" s="321">
        <v>12</v>
      </c>
      <c r="Q269" s="322" t="s">
        <v>494</v>
      </c>
      <c r="R269" s="322"/>
      <c r="S269" s="321"/>
      <c r="T269" s="321"/>
      <c r="U269" s="354" t="s">
        <v>495</v>
      </c>
      <c r="V269" s="354"/>
      <c r="W269" s="322"/>
      <c r="X269" s="321">
        <f>M269*P269</f>
        <v>1800000</v>
      </c>
      <c r="Y269" s="59" t="s">
        <v>491</v>
      </c>
      <c r="Z269" s="6"/>
    </row>
    <row r="270" spans="1:26" s="11" customFormat="1" ht="19.5" customHeight="1">
      <c r="A270" s="62"/>
      <c r="B270" s="98"/>
      <c r="C270" s="47"/>
      <c r="D270" s="47"/>
      <c r="E270" s="49"/>
      <c r="F270" s="49"/>
      <c r="G270" s="50"/>
      <c r="H270" s="32"/>
      <c r="I270" s="69" t="s">
        <v>498</v>
      </c>
      <c r="J270" s="321"/>
      <c r="K270" s="321"/>
      <c r="L270" s="321"/>
      <c r="M270" s="321">
        <v>70000</v>
      </c>
      <c r="N270" s="321" t="s">
        <v>491</v>
      </c>
      <c r="O270" s="322" t="s">
        <v>492</v>
      </c>
      <c r="P270" s="321">
        <v>20</v>
      </c>
      <c r="Q270" s="322" t="s">
        <v>493</v>
      </c>
      <c r="R270" s="322" t="s">
        <v>492</v>
      </c>
      <c r="S270" s="321"/>
      <c r="T270" s="321"/>
      <c r="U270" s="354" t="s">
        <v>495</v>
      </c>
      <c r="V270" s="354"/>
      <c r="W270" s="322"/>
      <c r="X270" s="321">
        <f>ROUND(M270*P270,-3)</f>
        <v>1400000</v>
      </c>
      <c r="Y270" s="59" t="s">
        <v>491</v>
      </c>
      <c r="Z270" s="6"/>
    </row>
    <row r="271" spans="1:26" s="11" customFormat="1" ht="19.5" customHeight="1">
      <c r="A271" s="62"/>
      <c r="B271" s="98"/>
      <c r="C271" s="47"/>
      <c r="D271" s="47"/>
      <c r="E271" s="49"/>
      <c r="F271" s="49"/>
      <c r="G271" s="50"/>
      <c r="H271" s="32"/>
      <c r="I271" s="69" t="s">
        <v>499</v>
      </c>
      <c r="J271" s="321"/>
      <c r="K271" s="321"/>
      <c r="L271" s="321"/>
      <c r="M271" s="321"/>
      <c r="N271" s="321"/>
      <c r="O271" s="322"/>
      <c r="P271" s="321"/>
      <c r="Q271" s="322"/>
      <c r="R271" s="322"/>
      <c r="S271" s="321"/>
      <c r="T271" s="321"/>
      <c r="U271" s="354"/>
      <c r="V271" s="354"/>
      <c r="W271" s="322"/>
      <c r="X271" s="321">
        <v>1000000</v>
      </c>
      <c r="Y271" s="59" t="s">
        <v>491</v>
      </c>
      <c r="Z271" s="6"/>
    </row>
    <row r="272" spans="1:26" s="11" customFormat="1" ht="19.5" customHeight="1" thickBot="1">
      <c r="A272" s="111"/>
      <c r="B272" s="112"/>
      <c r="C272" s="112"/>
      <c r="D272" s="113"/>
      <c r="E272" s="114"/>
      <c r="F272" s="114"/>
      <c r="G272" s="115"/>
      <c r="H272" s="116"/>
      <c r="I272" s="65"/>
      <c r="J272" s="67"/>
      <c r="K272" s="67"/>
      <c r="L272" s="67"/>
      <c r="M272" s="67"/>
      <c r="N272" s="67"/>
      <c r="O272" s="66"/>
      <c r="P272" s="67"/>
      <c r="Q272" s="66"/>
      <c r="R272" s="66"/>
      <c r="S272" s="67"/>
      <c r="T272" s="67"/>
      <c r="U272" s="117"/>
      <c r="V272" s="117"/>
      <c r="W272" s="66"/>
      <c r="X272" s="67"/>
      <c r="Y272" s="68"/>
      <c r="Z272" s="6"/>
    </row>
    <row r="283" spans="26:26" ht="19.5" customHeight="1">
      <c r="Z283" s="6" t="s">
        <v>66</v>
      </c>
    </row>
  </sheetData>
  <mergeCells count="50">
    <mergeCell ref="V266:W266"/>
    <mergeCell ref="V154:W154"/>
    <mergeCell ref="Q173:W173"/>
    <mergeCell ref="Q182:W182"/>
    <mergeCell ref="Q189:W189"/>
    <mergeCell ref="Q193:W193"/>
    <mergeCell ref="Q202:W202"/>
    <mergeCell ref="V172:W172"/>
    <mergeCell ref="V220:W220"/>
    <mergeCell ref="V242:W242"/>
    <mergeCell ref="V233:W233"/>
    <mergeCell ref="V237:W237"/>
    <mergeCell ref="V254:W254"/>
    <mergeCell ref="Q186:W186"/>
    <mergeCell ref="C215:D215"/>
    <mergeCell ref="V217:W217"/>
    <mergeCell ref="C249:D249"/>
    <mergeCell ref="V251:W251"/>
    <mergeCell ref="F2:F3"/>
    <mergeCell ref="C11:D11"/>
    <mergeCell ref="C146:D146"/>
    <mergeCell ref="C159:D159"/>
    <mergeCell ref="V161:W161"/>
    <mergeCell ref="C166:D166"/>
    <mergeCell ref="G2:H2"/>
    <mergeCell ref="I2:Y3"/>
    <mergeCell ref="V148:W148"/>
    <mergeCell ref="V168:W168"/>
    <mergeCell ref="V27:W27"/>
    <mergeCell ref="V28:W28"/>
    <mergeCell ref="V88:W88"/>
    <mergeCell ref="V89:W89"/>
    <mergeCell ref="V39:W39"/>
    <mergeCell ref="V40:W40"/>
    <mergeCell ref="A1:D1"/>
    <mergeCell ref="A2:D2"/>
    <mergeCell ref="E2:E3"/>
    <mergeCell ref="A4:D4"/>
    <mergeCell ref="V26:W26"/>
    <mergeCell ref="V56:W56"/>
    <mergeCell ref="V57:W57"/>
    <mergeCell ref="V58:W58"/>
    <mergeCell ref="V59:W59"/>
    <mergeCell ref="V87:W87"/>
    <mergeCell ref="V117:W117"/>
    <mergeCell ref="V118:W118"/>
    <mergeCell ref="V119:W119"/>
    <mergeCell ref="V120:W120"/>
    <mergeCell ref="V100:W100"/>
    <mergeCell ref="V101:W101"/>
  </mergeCells>
  <phoneticPr fontId="6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&amp;C&amp;P/&amp;N&amp;R장애인생활시설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362"/>
  <sheetViews>
    <sheetView workbookViewId="0">
      <pane xSplit="3" ySplit="5" topLeftCell="L351" activePane="bottomRight" state="frozen"/>
      <selection pane="topRight" activeCell="D1" sqref="D1"/>
      <selection pane="bottomLeft" activeCell="A6" sqref="A6"/>
      <selection pane="bottomRight" activeCell="AD235" sqref="AD235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6" width="10.21875" style="18" bestFit="1" customWidth="1"/>
    <col min="7" max="7" width="8.6640625" style="18" bestFit="1" customWidth="1"/>
    <col min="8" max="10" width="7.77734375" style="18" bestFit="1" customWidth="1"/>
    <col min="11" max="11" width="8.5546875" style="18" bestFit="1" customWidth="1"/>
    <col min="12" max="12" width="7.77734375" style="18" customWidth="1"/>
    <col min="13" max="13" width="6.6640625" style="18" bestFit="1" customWidth="1"/>
    <col min="14" max="14" width="6.77734375" style="245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10.77734375" style="5" bestFit="1" customWidth="1"/>
    <col min="20" max="20" width="3.21875" style="5" bestFit="1" customWidth="1"/>
    <col min="21" max="21" width="4" style="5" bestFit="1" customWidth="1"/>
    <col min="22" max="22" width="6.77734375" style="5" bestFit="1" customWidth="1"/>
    <col min="23" max="23" width="3.21875" style="5" customWidth="1"/>
    <col min="24" max="24" width="3.21875" style="5" bestFit="1" customWidth="1"/>
    <col min="25" max="25" width="4.77734375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1.33203125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1" customFormat="1" ht="21" customHeight="1" thickBot="1">
      <c r="A1" s="592" t="s">
        <v>731</v>
      </c>
      <c r="B1" s="592"/>
      <c r="C1" s="592"/>
      <c r="D1" s="592"/>
      <c r="E1" s="118"/>
      <c r="F1" s="118"/>
      <c r="G1" s="118"/>
      <c r="H1" s="118"/>
      <c r="I1" s="118"/>
      <c r="J1" s="118"/>
      <c r="K1" s="118"/>
      <c r="L1" s="118"/>
      <c r="M1" s="118"/>
      <c r="N1" s="227"/>
      <c r="O1" s="66"/>
      <c r="P1" s="66"/>
      <c r="Q1" s="66"/>
      <c r="R1" s="66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1"/>
    </row>
    <row r="2" spans="1:32" s="3" customFormat="1" ht="21" customHeight="1">
      <c r="A2" s="593" t="s">
        <v>22</v>
      </c>
      <c r="B2" s="594"/>
      <c r="C2" s="594"/>
      <c r="D2" s="636" t="s">
        <v>639</v>
      </c>
      <c r="E2" s="636" t="s">
        <v>640</v>
      </c>
      <c r="F2" s="638"/>
      <c r="G2" s="638"/>
      <c r="H2" s="638"/>
      <c r="I2" s="638"/>
      <c r="J2" s="638"/>
      <c r="K2" s="638"/>
      <c r="L2" s="639"/>
      <c r="M2" s="605" t="s">
        <v>23</v>
      </c>
      <c r="N2" s="605"/>
      <c r="O2" s="617" t="s">
        <v>54</v>
      </c>
      <c r="P2" s="618"/>
      <c r="Q2" s="618"/>
      <c r="R2" s="618"/>
      <c r="S2" s="618"/>
      <c r="T2" s="618"/>
      <c r="U2" s="618"/>
      <c r="V2" s="618"/>
      <c r="W2" s="618"/>
      <c r="X2" s="618"/>
      <c r="Y2" s="618"/>
      <c r="Z2" s="618"/>
      <c r="AA2" s="618"/>
      <c r="AB2" s="618"/>
      <c r="AC2" s="618"/>
      <c r="AD2" s="618"/>
      <c r="AE2" s="619"/>
    </row>
    <row r="3" spans="1:32" s="3" customFormat="1" ht="27" customHeight="1" thickBot="1">
      <c r="A3" s="25" t="s">
        <v>1</v>
      </c>
      <c r="B3" s="26" t="s">
        <v>2</v>
      </c>
      <c r="C3" s="26" t="s">
        <v>3</v>
      </c>
      <c r="D3" s="637"/>
      <c r="E3" s="202" t="s">
        <v>218</v>
      </c>
      <c r="F3" s="248" t="s">
        <v>298</v>
      </c>
      <c r="G3" s="248" t="s">
        <v>299</v>
      </c>
      <c r="H3" s="202" t="s">
        <v>215</v>
      </c>
      <c r="I3" s="202" t="s">
        <v>64</v>
      </c>
      <c r="J3" s="202" t="s">
        <v>213</v>
      </c>
      <c r="K3" s="202" t="s">
        <v>216</v>
      </c>
      <c r="L3" s="202" t="s">
        <v>65</v>
      </c>
      <c r="M3" s="201" t="s">
        <v>219</v>
      </c>
      <c r="N3" s="119" t="s">
        <v>4</v>
      </c>
      <c r="O3" s="620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  <c r="AC3" s="621"/>
      <c r="AD3" s="621"/>
      <c r="AE3" s="622"/>
    </row>
    <row r="4" spans="1:32" s="11" customFormat="1" ht="21" customHeight="1">
      <c r="A4" s="634" t="s">
        <v>31</v>
      </c>
      <c r="B4" s="635"/>
      <c r="C4" s="635"/>
      <c r="D4" s="220">
        <f t="shared" ref="D4:L4" si="0">SUM(D5,D185,D208,D333,D347,D351)</f>
        <v>1787572</v>
      </c>
      <c r="E4" s="220">
        <f t="shared" si="0"/>
        <v>1836771</v>
      </c>
      <c r="F4" s="220">
        <f t="shared" si="0"/>
        <v>1334178.9009999998</v>
      </c>
      <c r="G4" s="220">
        <f t="shared" si="0"/>
        <v>198746.2</v>
      </c>
      <c r="H4" s="220">
        <f t="shared" si="0"/>
        <v>22831.521000000001</v>
      </c>
      <c r="I4" s="220">
        <f t="shared" si="0"/>
        <v>112817</v>
      </c>
      <c r="J4" s="220">
        <f t="shared" si="0"/>
        <v>94189</v>
      </c>
      <c r="K4" s="220">
        <f t="shared" si="0"/>
        <v>32031</v>
      </c>
      <c r="L4" s="220">
        <f t="shared" si="0"/>
        <v>41977</v>
      </c>
      <c r="M4" s="219">
        <f>E4-D4</f>
        <v>49199</v>
      </c>
      <c r="N4" s="221">
        <f>IF(D4=0,0,M4/D4)</f>
        <v>2.7522807472929761E-2</v>
      </c>
      <c r="O4" s="222" t="s">
        <v>260</v>
      </c>
      <c r="P4" s="223"/>
      <c r="Q4" s="223"/>
      <c r="R4" s="223"/>
      <c r="S4" s="224"/>
      <c r="T4" s="224"/>
      <c r="U4" s="224"/>
      <c r="V4" s="224"/>
      <c r="W4" s="224"/>
      <c r="X4" s="224"/>
      <c r="Y4" s="224"/>
      <c r="Z4" s="224"/>
      <c r="AA4" s="224"/>
      <c r="AB4" s="224"/>
      <c r="AC4" s="224"/>
      <c r="AD4" s="224">
        <f>SUM(AD5,AD185,AD208,AD333,AD347,AD351)</f>
        <v>1836771000</v>
      </c>
      <c r="AE4" s="225" t="s">
        <v>25</v>
      </c>
      <c r="AF4" s="2"/>
    </row>
    <row r="5" spans="1:32" s="11" customFormat="1" ht="21" customHeight="1">
      <c r="A5" s="125" t="s">
        <v>6</v>
      </c>
      <c r="B5" s="632" t="s">
        <v>7</v>
      </c>
      <c r="C5" s="633"/>
      <c r="D5" s="217">
        <f t="shared" ref="D5:L5" si="1">SUM(D6,D101,D112)</f>
        <v>1462599</v>
      </c>
      <c r="E5" s="217">
        <f t="shared" si="1"/>
        <v>1508268</v>
      </c>
      <c r="F5" s="217">
        <f t="shared" si="1"/>
        <v>1240150.7</v>
      </c>
      <c r="G5" s="217">
        <f t="shared" si="1"/>
        <v>173471.2</v>
      </c>
      <c r="H5" s="217">
        <f t="shared" si="1"/>
        <v>0</v>
      </c>
      <c r="I5" s="217">
        <f t="shared" si="1"/>
        <v>15287</v>
      </c>
      <c r="J5" s="217">
        <f t="shared" si="1"/>
        <v>15878</v>
      </c>
      <c r="K5" s="217">
        <f t="shared" si="1"/>
        <v>32026</v>
      </c>
      <c r="L5" s="217">
        <f t="shared" si="1"/>
        <v>31455</v>
      </c>
      <c r="M5" s="120">
        <f>E5-D5</f>
        <v>45669</v>
      </c>
      <c r="N5" s="226">
        <f>IF(D5=0,0,M5/D5)</f>
        <v>3.1224553004617125E-2</v>
      </c>
      <c r="O5" s="251" t="s">
        <v>259</v>
      </c>
      <c r="P5" s="208"/>
      <c r="Q5" s="208"/>
      <c r="R5" s="208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  <c r="AD5" s="207">
        <f>SUM(AD6,AD101,AD112)</f>
        <v>1508268000</v>
      </c>
      <c r="AE5" s="35" t="s">
        <v>25</v>
      </c>
      <c r="AF5" s="2"/>
    </row>
    <row r="6" spans="1:32" s="11" customFormat="1" ht="21" customHeight="1">
      <c r="A6" s="46"/>
      <c r="B6" s="37" t="s">
        <v>8</v>
      </c>
      <c r="C6" s="229" t="s">
        <v>5</v>
      </c>
      <c r="D6" s="228">
        <f t="shared" ref="D6:L6" si="2">SUM(D7,D16,D20,D42,D55,D82)</f>
        <v>1363738</v>
      </c>
      <c r="E6" s="228">
        <f t="shared" si="2"/>
        <v>1408399</v>
      </c>
      <c r="F6" s="228">
        <f t="shared" si="2"/>
        <v>1192150.7</v>
      </c>
      <c r="G6" s="228">
        <f t="shared" si="2"/>
        <v>169871.2</v>
      </c>
      <c r="H6" s="228">
        <f t="shared" si="2"/>
        <v>0</v>
      </c>
      <c r="I6" s="228">
        <f t="shared" si="2"/>
        <v>8711</v>
      </c>
      <c r="J6" s="228">
        <f t="shared" si="2"/>
        <v>0</v>
      </c>
      <c r="K6" s="228">
        <f t="shared" si="2"/>
        <v>27315</v>
      </c>
      <c r="L6" s="228">
        <f t="shared" si="2"/>
        <v>10351</v>
      </c>
      <c r="M6" s="230">
        <f>E6-D6</f>
        <v>44661</v>
      </c>
      <c r="N6" s="231">
        <f>IF(D6=0,0,M6/D6)</f>
        <v>3.2748959110914265E-2</v>
      </c>
      <c r="O6" s="232" t="s">
        <v>258</v>
      </c>
      <c r="P6" s="232"/>
      <c r="Q6" s="232"/>
      <c r="R6" s="232"/>
      <c r="S6" s="233"/>
      <c r="T6" s="233"/>
      <c r="U6" s="233"/>
      <c r="V6" s="233"/>
      <c r="W6" s="233"/>
      <c r="X6" s="233"/>
      <c r="Y6" s="233"/>
      <c r="Z6" s="233"/>
      <c r="AA6" s="233"/>
      <c r="AB6" s="233"/>
      <c r="AC6" s="233"/>
      <c r="AD6" s="233">
        <f>SUM(AD7,AD16,AD20,AD42,AD55,AD82)</f>
        <v>1408399000</v>
      </c>
      <c r="AE6" s="234" t="s">
        <v>25</v>
      </c>
      <c r="AF6" s="2"/>
    </row>
    <row r="7" spans="1:32" s="11" customFormat="1" ht="21" customHeight="1">
      <c r="A7" s="46"/>
      <c r="B7" s="47"/>
      <c r="C7" s="37" t="s">
        <v>32</v>
      </c>
      <c r="D7" s="212">
        <v>779805</v>
      </c>
      <c r="E7" s="127">
        <f>ROUND(AD7/1000,0)</f>
        <v>808241</v>
      </c>
      <c r="F7" s="127">
        <f>기본급/1000</f>
        <v>753251</v>
      </c>
      <c r="G7" s="127">
        <f>기본급7종/1000</f>
        <v>44550</v>
      </c>
      <c r="H7" s="127">
        <v>0</v>
      </c>
      <c r="I7" s="127">
        <v>0</v>
      </c>
      <c r="J7" s="127">
        <v>0</v>
      </c>
      <c r="K7" s="127">
        <f>기본급법인/1000</f>
        <v>10440</v>
      </c>
      <c r="L7" s="127">
        <v>0</v>
      </c>
      <c r="M7" s="126">
        <f>E7-D7</f>
        <v>28436</v>
      </c>
      <c r="N7" s="459">
        <f>IF(D7=0,0,M7/D7)</f>
        <v>3.6465526638069776E-2</v>
      </c>
      <c r="O7" s="129" t="s">
        <v>92</v>
      </c>
      <c r="P7" s="129"/>
      <c r="Q7" s="208"/>
      <c r="R7" s="208"/>
      <c r="S7" s="208"/>
      <c r="T7" s="207"/>
      <c r="U7" s="207"/>
      <c r="V7" s="207"/>
      <c r="W7" s="110" t="s">
        <v>220</v>
      </c>
      <c r="X7" s="110"/>
      <c r="Y7" s="110"/>
      <c r="Z7" s="110"/>
      <c r="AA7" s="110"/>
      <c r="AB7" s="110"/>
      <c r="AC7" s="131"/>
      <c r="AD7" s="131">
        <f>SUM(기본급,기본급7종,기본급법인)</f>
        <v>808241000</v>
      </c>
      <c r="AE7" s="132" t="s">
        <v>57</v>
      </c>
      <c r="AF7" s="1"/>
    </row>
    <row r="8" spans="1:32" s="11" customFormat="1" ht="21" customHeight="1">
      <c r="A8" s="46"/>
      <c r="B8" s="47"/>
      <c r="C8" s="47"/>
      <c r="D8" s="210"/>
      <c r="E8" s="121"/>
      <c r="F8" s="121"/>
      <c r="G8" s="121"/>
      <c r="H8" s="121"/>
      <c r="I8" s="121"/>
      <c r="J8" s="121"/>
      <c r="K8" s="121"/>
      <c r="L8" s="121"/>
      <c r="M8" s="121"/>
      <c r="N8" s="72"/>
      <c r="O8" s="208"/>
      <c r="P8" s="33"/>
      <c r="Q8" s="33"/>
      <c r="R8" s="33"/>
      <c r="S8" s="33"/>
      <c r="T8" s="34"/>
      <c r="U8" s="34"/>
      <c r="V8" s="34"/>
      <c r="W8" s="34"/>
      <c r="X8" s="34"/>
      <c r="Y8" s="34"/>
      <c r="Z8" s="34"/>
      <c r="AA8" s="34"/>
      <c r="AB8" s="34"/>
      <c r="AC8" s="53"/>
      <c r="AD8" s="53"/>
      <c r="AE8" s="35"/>
      <c r="AF8" s="2"/>
    </row>
    <row r="9" spans="1:32" s="11" customFormat="1" ht="21" customHeight="1">
      <c r="A9" s="46"/>
      <c r="B9" s="47"/>
      <c r="C9" s="47"/>
      <c r="D9" s="210"/>
      <c r="E9" s="121"/>
      <c r="F9" s="121"/>
      <c r="G9" s="121"/>
      <c r="H9" s="121"/>
      <c r="I9" s="121"/>
      <c r="J9" s="121"/>
      <c r="K9" s="121"/>
      <c r="L9" s="121"/>
      <c r="M9" s="121"/>
      <c r="N9" s="72"/>
      <c r="O9" s="448" t="s">
        <v>648</v>
      </c>
      <c r="P9" s="155"/>
      <c r="Q9" s="155"/>
      <c r="R9" s="155"/>
      <c r="S9" s="51"/>
      <c r="T9" s="52"/>
      <c r="U9" s="52"/>
      <c r="V9" s="52"/>
      <c r="W9" s="87" t="s">
        <v>94</v>
      </c>
      <c r="X9" s="87"/>
      <c r="Y9" s="87"/>
      <c r="Z9" s="87"/>
      <c r="AA9" s="87"/>
      <c r="AB9" s="87"/>
      <c r="AC9" s="74"/>
      <c r="AD9" s="74">
        <v>753251000</v>
      </c>
      <c r="AE9" s="75" t="s">
        <v>93</v>
      </c>
      <c r="AF9" s="2"/>
    </row>
    <row r="10" spans="1:32" s="11" customFormat="1" ht="21" customHeight="1">
      <c r="A10" s="46"/>
      <c r="B10" s="47"/>
      <c r="C10" s="47"/>
      <c r="D10" s="210"/>
      <c r="E10" s="121"/>
      <c r="F10" s="121"/>
      <c r="G10" s="121"/>
      <c r="H10" s="121"/>
      <c r="I10" s="121"/>
      <c r="J10" s="121"/>
      <c r="K10" s="121"/>
      <c r="L10" s="121"/>
      <c r="M10" s="121"/>
      <c r="N10" s="72"/>
      <c r="O10" s="209"/>
      <c r="P10" s="133"/>
      <c r="Q10" s="133"/>
      <c r="R10" s="133"/>
      <c r="S10" s="52"/>
      <c r="T10" s="56"/>
      <c r="U10" s="52"/>
      <c r="V10" s="52"/>
      <c r="W10" s="56"/>
      <c r="X10" s="52"/>
      <c r="Y10" s="52"/>
      <c r="Z10" s="52"/>
      <c r="AA10" s="52"/>
      <c r="AB10" s="52"/>
      <c r="AC10" s="52"/>
      <c r="AD10" s="52"/>
      <c r="AE10" s="59"/>
      <c r="AF10" s="1"/>
    </row>
    <row r="11" spans="1:32" s="11" customFormat="1" ht="21" customHeight="1">
      <c r="A11" s="46"/>
      <c r="B11" s="47"/>
      <c r="C11" s="47"/>
      <c r="D11" s="210"/>
      <c r="E11" s="121"/>
      <c r="F11" s="121"/>
      <c r="G11" s="121"/>
      <c r="H11" s="121"/>
      <c r="I11" s="121"/>
      <c r="J11" s="121"/>
      <c r="K11" s="121"/>
      <c r="L11" s="121"/>
      <c r="M11" s="121"/>
      <c r="N11" s="72"/>
      <c r="O11" s="448" t="s">
        <v>649</v>
      </c>
      <c r="P11" s="155"/>
      <c r="Q11" s="155"/>
      <c r="R11" s="155"/>
      <c r="S11" s="51"/>
      <c r="T11" s="52"/>
      <c r="U11" s="52"/>
      <c r="V11" s="52"/>
      <c r="W11" s="87" t="s">
        <v>94</v>
      </c>
      <c r="X11" s="87"/>
      <c r="Y11" s="87"/>
      <c r="Z11" s="87"/>
      <c r="AA11" s="87"/>
      <c r="AB11" s="87"/>
      <c r="AC11" s="74"/>
      <c r="AD11" s="74">
        <v>44550000</v>
      </c>
      <c r="AE11" s="75" t="s">
        <v>93</v>
      </c>
      <c r="AF11" s="1"/>
    </row>
    <row r="12" spans="1:32" s="11" customFormat="1" ht="21" customHeight="1">
      <c r="A12" s="46"/>
      <c r="B12" s="47"/>
      <c r="C12" s="47"/>
      <c r="D12" s="210"/>
      <c r="E12" s="121"/>
      <c r="F12" s="121"/>
      <c r="G12" s="121"/>
      <c r="H12" s="121"/>
      <c r="I12" s="121"/>
      <c r="J12" s="121"/>
      <c r="K12" s="121"/>
      <c r="L12" s="121"/>
      <c r="M12" s="121"/>
      <c r="N12" s="72"/>
      <c r="O12" s="209"/>
      <c r="P12" s="133"/>
      <c r="Q12" s="133"/>
      <c r="R12" s="133"/>
      <c r="S12" s="52"/>
      <c r="T12" s="56"/>
      <c r="U12" s="52"/>
      <c r="V12" s="52"/>
      <c r="W12" s="56"/>
      <c r="X12" s="52"/>
      <c r="Y12" s="52"/>
      <c r="Z12" s="52"/>
      <c r="AA12" s="52"/>
      <c r="AB12" s="52"/>
      <c r="AC12" s="52"/>
      <c r="AD12" s="52"/>
      <c r="AE12" s="59"/>
      <c r="AF12" s="1"/>
    </row>
    <row r="13" spans="1:32" s="11" customFormat="1" ht="21" customHeight="1">
      <c r="A13" s="46"/>
      <c r="B13" s="47"/>
      <c r="C13" s="47"/>
      <c r="D13" s="210"/>
      <c r="E13" s="121"/>
      <c r="F13" s="121"/>
      <c r="G13" s="121"/>
      <c r="H13" s="121"/>
      <c r="I13" s="121"/>
      <c r="J13" s="121"/>
      <c r="K13" s="121"/>
      <c r="L13" s="121"/>
      <c r="M13" s="121"/>
      <c r="N13" s="72"/>
      <c r="O13" s="204" t="s">
        <v>147</v>
      </c>
      <c r="P13" s="155"/>
      <c r="Q13" s="155"/>
      <c r="R13" s="155"/>
      <c r="S13" s="51"/>
      <c r="T13" s="52"/>
      <c r="U13" s="52"/>
      <c r="V13" s="52"/>
      <c r="W13" s="87" t="s">
        <v>94</v>
      </c>
      <c r="X13" s="87"/>
      <c r="Y13" s="87"/>
      <c r="Z13" s="87"/>
      <c r="AA13" s="87"/>
      <c r="AB13" s="87"/>
      <c r="AC13" s="74"/>
      <c r="AD13" s="74">
        <v>10440000</v>
      </c>
      <c r="AE13" s="75" t="s">
        <v>93</v>
      </c>
      <c r="AF13" s="1"/>
    </row>
    <row r="14" spans="1:32" s="11" customFormat="1" ht="21" customHeight="1">
      <c r="A14" s="46"/>
      <c r="B14" s="47"/>
      <c r="C14" s="47"/>
      <c r="D14" s="210"/>
      <c r="E14" s="121"/>
      <c r="F14" s="121"/>
      <c r="G14" s="121"/>
      <c r="H14" s="121"/>
      <c r="I14" s="121"/>
      <c r="J14" s="121"/>
      <c r="K14" s="121"/>
      <c r="L14" s="121"/>
      <c r="M14" s="121"/>
      <c r="N14" s="72"/>
      <c r="O14" s="51"/>
      <c r="P14" s="51"/>
      <c r="Q14" s="51"/>
      <c r="R14" s="51"/>
      <c r="S14" s="51"/>
      <c r="T14" s="52"/>
      <c r="U14" s="52"/>
      <c r="V14" s="52"/>
      <c r="W14" s="52"/>
      <c r="X14" s="52"/>
      <c r="Y14" s="52"/>
      <c r="Z14" s="52"/>
      <c r="AA14" s="52"/>
      <c r="AB14" s="52"/>
      <c r="AC14" s="70"/>
      <c r="AD14" s="70"/>
      <c r="AE14" s="59"/>
      <c r="AF14" s="1"/>
    </row>
    <row r="15" spans="1:32" s="11" customFormat="1" ht="21" customHeight="1">
      <c r="A15" s="46"/>
      <c r="B15" s="47"/>
      <c r="C15" s="47"/>
      <c r="D15" s="210"/>
      <c r="E15" s="121"/>
      <c r="F15" s="121"/>
      <c r="G15" s="121"/>
      <c r="H15" s="121"/>
      <c r="I15" s="121"/>
      <c r="J15" s="121"/>
      <c r="K15" s="121"/>
      <c r="L15" s="121"/>
      <c r="M15" s="121"/>
      <c r="N15" s="72"/>
      <c r="O15" s="51"/>
      <c r="P15" s="51"/>
      <c r="Q15" s="51"/>
      <c r="R15" s="51"/>
      <c r="S15" s="51"/>
      <c r="T15" s="52"/>
      <c r="U15" s="52"/>
      <c r="V15" s="203"/>
      <c r="W15" s="203"/>
      <c r="X15" s="203"/>
      <c r="Y15" s="203"/>
      <c r="Z15" s="203"/>
      <c r="AA15" s="203"/>
      <c r="AB15" s="203"/>
      <c r="AC15" s="74"/>
      <c r="AD15" s="74"/>
      <c r="AE15" s="75"/>
      <c r="AF15" s="1"/>
    </row>
    <row r="16" spans="1:32" s="11" customFormat="1" ht="21" customHeight="1">
      <c r="A16" s="46"/>
      <c r="B16" s="47"/>
      <c r="C16" s="37" t="s">
        <v>91</v>
      </c>
      <c r="D16" s="212">
        <v>5400</v>
      </c>
      <c r="E16" s="127">
        <f>ROUND(AD16/1000,0)</f>
        <v>5400</v>
      </c>
      <c r="F16" s="127">
        <v>0</v>
      </c>
      <c r="G16" s="127">
        <f>AD16/1000</f>
        <v>5400</v>
      </c>
      <c r="H16" s="127">
        <v>0</v>
      </c>
      <c r="I16" s="127">
        <v>0</v>
      </c>
      <c r="J16" s="127">
        <v>0</v>
      </c>
      <c r="K16" s="127">
        <v>0</v>
      </c>
      <c r="L16" s="127">
        <v>0</v>
      </c>
      <c r="M16" s="126">
        <f>E16-D16</f>
        <v>0</v>
      </c>
      <c r="N16" s="134">
        <f>IF(D16=0,0,M16/D16)</f>
        <v>0</v>
      </c>
      <c r="O16" s="107" t="s">
        <v>95</v>
      </c>
      <c r="P16" s="232"/>
      <c r="Q16" s="103"/>
      <c r="R16" s="103"/>
      <c r="S16" s="103"/>
      <c r="T16" s="97"/>
      <c r="U16" s="97"/>
      <c r="V16" s="207"/>
      <c r="W16" s="110" t="s">
        <v>220</v>
      </c>
      <c r="X16" s="110"/>
      <c r="Y16" s="110"/>
      <c r="Z16" s="110"/>
      <c r="AA16" s="110"/>
      <c r="AB16" s="110"/>
      <c r="AC16" s="131"/>
      <c r="AD16" s="131">
        <f>SUM(AD18)</f>
        <v>5400000</v>
      </c>
      <c r="AE16" s="132" t="s">
        <v>57</v>
      </c>
      <c r="AF16" s="1"/>
    </row>
    <row r="17" spans="1:32" s="11" customFormat="1" ht="21" customHeight="1">
      <c r="A17" s="46"/>
      <c r="B17" s="47"/>
      <c r="C17" s="47"/>
      <c r="D17" s="210"/>
      <c r="E17" s="121"/>
      <c r="F17" s="121"/>
      <c r="G17" s="121"/>
      <c r="H17" s="121"/>
      <c r="I17" s="121"/>
      <c r="J17" s="121"/>
      <c r="K17" s="121"/>
      <c r="L17" s="121"/>
      <c r="M17" s="121"/>
      <c r="N17" s="72"/>
      <c r="O17" s="208"/>
      <c r="P17" s="33"/>
      <c r="Q17" s="33"/>
      <c r="R17" s="33"/>
      <c r="S17" s="33"/>
      <c r="T17" s="34"/>
      <c r="U17" s="34"/>
      <c r="V17" s="34"/>
      <c r="W17" s="34"/>
      <c r="X17" s="34"/>
      <c r="Y17" s="34"/>
      <c r="Z17" s="34"/>
      <c r="AA17" s="34"/>
      <c r="AB17" s="34"/>
      <c r="AC17" s="53"/>
      <c r="AD17" s="53"/>
      <c r="AE17" s="35"/>
      <c r="AF17" s="1"/>
    </row>
    <row r="18" spans="1:32" s="11" customFormat="1" ht="21" customHeight="1">
      <c r="A18" s="46"/>
      <c r="B18" s="47"/>
      <c r="C18" s="47"/>
      <c r="D18" s="210"/>
      <c r="E18" s="121"/>
      <c r="F18" s="121"/>
      <c r="G18" s="121"/>
      <c r="H18" s="121"/>
      <c r="I18" s="121"/>
      <c r="J18" s="121"/>
      <c r="K18" s="121"/>
      <c r="L18" s="121"/>
      <c r="M18" s="121"/>
      <c r="N18" s="72"/>
      <c r="O18" s="204" t="s">
        <v>148</v>
      </c>
      <c r="P18" s="88"/>
      <c r="Q18" s="51"/>
      <c r="R18" s="51"/>
      <c r="S18" s="143">
        <v>45000</v>
      </c>
      <c r="T18" s="143" t="s">
        <v>57</v>
      </c>
      <c r="U18" s="144" t="s">
        <v>58</v>
      </c>
      <c r="V18" s="143">
        <v>1</v>
      </c>
      <c r="W18" s="143" t="s">
        <v>56</v>
      </c>
      <c r="X18" s="144" t="s">
        <v>58</v>
      </c>
      <c r="Y18" s="57">
        <v>120</v>
      </c>
      <c r="Z18" s="99" t="s">
        <v>149</v>
      </c>
      <c r="AA18" s="99" t="s">
        <v>53</v>
      </c>
      <c r="AB18" s="52"/>
      <c r="AC18" s="70"/>
      <c r="AD18" s="143">
        <f>S18*V18*Y18</f>
        <v>5400000</v>
      </c>
      <c r="AE18" s="59" t="s">
        <v>93</v>
      </c>
      <c r="AF18" s="1"/>
    </row>
    <row r="19" spans="1:32" s="11" customFormat="1" ht="21" customHeight="1">
      <c r="A19" s="46"/>
      <c r="B19" s="47"/>
      <c r="C19" s="47"/>
      <c r="D19" s="210"/>
      <c r="E19" s="121"/>
      <c r="F19" s="121"/>
      <c r="G19" s="121"/>
      <c r="H19" s="121"/>
      <c r="I19" s="121"/>
      <c r="J19" s="121"/>
      <c r="K19" s="121"/>
      <c r="L19" s="121"/>
      <c r="M19" s="121"/>
      <c r="N19" s="72"/>
      <c r="O19" s="51"/>
      <c r="P19" s="51"/>
      <c r="Q19" s="51"/>
      <c r="R19" s="51"/>
      <c r="S19" s="52"/>
      <c r="T19" s="52"/>
      <c r="U19" s="51"/>
      <c r="V19" s="52"/>
      <c r="W19" s="52"/>
      <c r="X19" s="51"/>
      <c r="Y19" s="100"/>
      <c r="Z19" s="52"/>
      <c r="AA19" s="52"/>
      <c r="AB19" s="52"/>
      <c r="AC19" s="70"/>
      <c r="AD19" s="52"/>
      <c r="AE19" s="59"/>
      <c r="AF19" s="1"/>
    </row>
    <row r="20" spans="1:32" s="11" customFormat="1" ht="21" customHeight="1">
      <c r="A20" s="46"/>
      <c r="B20" s="47"/>
      <c r="C20" s="37" t="s">
        <v>33</v>
      </c>
      <c r="D20" s="212">
        <v>367488</v>
      </c>
      <c r="E20" s="127">
        <f>ROUND(AD20/1000,0)</f>
        <v>376394</v>
      </c>
      <c r="F20" s="127">
        <f>SUM(AD22,AD26,AD30)/1000</f>
        <v>262684.7</v>
      </c>
      <c r="G20" s="127">
        <f>SUM(AD23,AD27,AD31,AD33)/1000</f>
        <v>106229.2</v>
      </c>
      <c r="H20" s="127">
        <v>0</v>
      </c>
      <c r="I20" s="127">
        <v>0</v>
      </c>
      <c r="J20" s="127">
        <v>0</v>
      </c>
      <c r="K20" s="127">
        <f>(AD35+AD39)/1000</f>
        <v>7480</v>
      </c>
      <c r="L20" s="127">
        <v>0</v>
      </c>
      <c r="M20" s="126">
        <f>E20-D20</f>
        <v>8906</v>
      </c>
      <c r="N20" s="134">
        <f>IF(D20=0,0,M20/D20)</f>
        <v>2.4234804946011844E-2</v>
      </c>
      <c r="O20" s="107" t="s">
        <v>34</v>
      </c>
      <c r="P20" s="232"/>
      <c r="Q20" s="103"/>
      <c r="R20" s="103"/>
      <c r="S20" s="103"/>
      <c r="T20" s="97"/>
      <c r="U20" s="97"/>
      <c r="V20" s="97"/>
      <c r="W20" s="233" t="s">
        <v>220</v>
      </c>
      <c r="X20" s="233"/>
      <c r="Y20" s="233"/>
      <c r="Z20" s="233"/>
      <c r="AA20" s="233"/>
      <c r="AB20" s="233"/>
      <c r="AC20" s="235"/>
      <c r="AD20" s="235">
        <f>SUM(명절휴가비,가족수당,연장근로수당,AD33,AD35,AD39)</f>
        <v>376394000</v>
      </c>
      <c r="AE20" s="234" t="s">
        <v>57</v>
      </c>
      <c r="AF20" s="1"/>
    </row>
    <row r="21" spans="1:32" s="11" customFormat="1" ht="21" customHeight="1">
      <c r="A21" s="46"/>
      <c r="B21" s="47"/>
      <c r="C21" s="47"/>
      <c r="D21" s="210"/>
      <c r="E21" s="121"/>
      <c r="F21" s="121"/>
      <c r="G21" s="121"/>
      <c r="H21" s="121"/>
      <c r="I21" s="121"/>
      <c r="J21" s="121"/>
      <c r="K21" s="121"/>
      <c r="L21" s="121"/>
      <c r="M21" s="121"/>
      <c r="N21" s="72"/>
      <c r="O21" s="448" t="s">
        <v>700</v>
      </c>
      <c r="P21" s="144"/>
      <c r="Q21" s="144"/>
      <c r="R21" s="144"/>
      <c r="S21" s="144"/>
      <c r="T21" s="143"/>
      <c r="U21" s="143"/>
      <c r="V21" s="143"/>
      <c r="W21" s="154" t="s">
        <v>74</v>
      </c>
      <c r="X21" s="154"/>
      <c r="Y21" s="154"/>
      <c r="Z21" s="154"/>
      <c r="AA21" s="154"/>
      <c r="AB21" s="154"/>
      <c r="AC21" s="74" t="s">
        <v>101</v>
      </c>
      <c r="AD21" s="74">
        <f>ROUND(SUM(AD22:AD23),-3)</f>
        <v>79562000</v>
      </c>
      <c r="AE21" s="75" t="s">
        <v>57</v>
      </c>
      <c r="AF21" s="17"/>
    </row>
    <row r="22" spans="1:32" s="11" customFormat="1" ht="21" customHeight="1">
      <c r="A22" s="46"/>
      <c r="B22" s="47"/>
      <c r="C22" s="47"/>
      <c r="D22" s="210"/>
      <c r="E22" s="121"/>
      <c r="F22" s="121"/>
      <c r="G22" s="121"/>
      <c r="H22" s="121"/>
      <c r="I22" s="121"/>
      <c r="J22" s="121"/>
      <c r="K22" s="121"/>
      <c r="L22" s="121"/>
      <c r="M22" s="121"/>
      <c r="N22" s="72"/>
      <c r="O22" s="446" t="s">
        <v>701</v>
      </c>
      <c r="P22" s="144"/>
      <c r="Q22" s="144"/>
      <c r="R22" s="144"/>
      <c r="S22" s="144"/>
      <c r="T22" s="143"/>
      <c r="U22" s="143"/>
      <c r="V22" s="143"/>
      <c r="W22" s="143"/>
      <c r="X22" s="143"/>
      <c r="Y22" s="143"/>
      <c r="Z22" s="143"/>
      <c r="AA22" s="143"/>
      <c r="AB22" s="143"/>
      <c r="AC22" s="70"/>
      <c r="AD22" s="70">
        <v>75093000</v>
      </c>
      <c r="AE22" s="59" t="s">
        <v>68</v>
      </c>
      <c r="AF22" s="17"/>
    </row>
    <row r="23" spans="1:32" s="11" customFormat="1" ht="21" customHeight="1">
      <c r="A23" s="46"/>
      <c r="B23" s="47"/>
      <c r="C23" s="47"/>
      <c r="D23" s="210"/>
      <c r="E23" s="121"/>
      <c r="F23" s="121"/>
      <c r="G23" s="121"/>
      <c r="H23" s="121"/>
      <c r="I23" s="121"/>
      <c r="J23" s="121"/>
      <c r="K23" s="121"/>
      <c r="L23" s="121"/>
      <c r="M23" s="121"/>
      <c r="N23" s="72"/>
      <c r="O23" s="446" t="s">
        <v>702</v>
      </c>
      <c r="P23" s="144"/>
      <c r="Q23" s="144"/>
      <c r="R23" s="144"/>
      <c r="S23" s="144"/>
      <c r="T23" s="143"/>
      <c r="U23" s="143"/>
      <c r="V23" s="143"/>
      <c r="W23" s="143"/>
      <c r="X23" s="143"/>
      <c r="Y23" s="143"/>
      <c r="Z23" s="143"/>
      <c r="AA23" s="143"/>
      <c r="AB23" s="143"/>
      <c r="AC23" s="70"/>
      <c r="AD23" s="70">
        <v>4468800</v>
      </c>
      <c r="AE23" s="59" t="s">
        <v>68</v>
      </c>
      <c r="AF23" s="17"/>
    </row>
    <row r="24" spans="1:32" s="11" customFormat="1" ht="21" customHeight="1">
      <c r="A24" s="46"/>
      <c r="B24" s="47"/>
      <c r="C24" s="47"/>
      <c r="D24" s="210"/>
      <c r="E24" s="121"/>
      <c r="F24" s="121"/>
      <c r="G24" s="121"/>
      <c r="H24" s="121"/>
      <c r="I24" s="121"/>
      <c r="J24" s="121"/>
      <c r="K24" s="121"/>
      <c r="L24" s="121"/>
      <c r="M24" s="121"/>
      <c r="N24" s="72"/>
      <c r="O24" s="206"/>
      <c r="P24" s="144"/>
      <c r="Q24" s="144"/>
      <c r="R24" s="144"/>
      <c r="S24" s="144"/>
      <c r="T24" s="143"/>
      <c r="U24" s="143"/>
      <c r="V24" s="143"/>
      <c r="W24" s="143"/>
      <c r="X24" s="143"/>
      <c r="Y24" s="143"/>
      <c r="Z24" s="143"/>
      <c r="AA24" s="143"/>
      <c r="AB24" s="143"/>
      <c r="AC24" s="70"/>
      <c r="AD24" s="70"/>
      <c r="AE24" s="59"/>
      <c r="AF24" s="17"/>
    </row>
    <row r="25" spans="1:32" s="11" customFormat="1" ht="21" customHeight="1">
      <c r="A25" s="46"/>
      <c r="B25" s="47"/>
      <c r="C25" s="47"/>
      <c r="D25" s="210"/>
      <c r="E25" s="121"/>
      <c r="F25" s="121"/>
      <c r="G25" s="121"/>
      <c r="H25" s="121"/>
      <c r="I25" s="121"/>
      <c r="J25" s="121"/>
      <c r="K25" s="121"/>
      <c r="L25" s="121"/>
      <c r="M25" s="121"/>
      <c r="N25" s="72"/>
      <c r="O25" s="204" t="s">
        <v>207</v>
      </c>
      <c r="P25" s="144"/>
      <c r="Q25" s="144"/>
      <c r="R25" s="144"/>
      <c r="S25" s="144"/>
      <c r="T25" s="143"/>
      <c r="U25" s="143"/>
      <c r="V25" s="143"/>
      <c r="W25" s="154" t="s">
        <v>74</v>
      </c>
      <c r="X25" s="154"/>
      <c r="Y25" s="154"/>
      <c r="Z25" s="154"/>
      <c r="AA25" s="154"/>
      <c r="AB25" s="154"/>
      <c r="AC25" s="74" t="s">
        <v>101</v>
      </c>
      <c r="AD25" s="74">
        <f>SUM(AD26:AD27)</f>
        <v>8400000</v>
      </c>
      <c r="AE25" s="75" t="s">
        <v>57</v>
      </c>
      <c r="AF25" s="17"/>
    </row>
    <row r="26" spans="1:32" s="11" customFormat="1" ht="21" customHeight="1">
      <c r="A26" s="46"/>
      <c r="B26" s="47"/>
      <c r="C26" s="47"/>
      <c r="D26" s="210"/>
      <c r="E26" s="121"/>
      <c r="F26" s="121"/>
      <c r="G26" s="121"/>
      <c r="H26" s="121"/>
      <c r="I26" s="121"/>
      <c r="J26" s="121"/>
      <c r="K26" s="121"/>
      <c r="L26" s="121"/>
      <c r="M26" s="121"/>
      <c r="N26" s="72"/>
      <c r="O26" s="206" t="s">
        <v>173</v>
      </c>
      <c r="P26" s="144"/>
      <c r="Q26" s="144"/>
      <c r="R26" s="144"/>
      <c r="S26" s="144"/>
      <c r="T26" s="143"/>
      <c r="U26" s="143"/>
      <c r="V26" s="143"/>
      <c r="W26" s="143"/>
      <c r="X26" s="143"/>
      <c r="Y26" s="143"/>
      <c r="Z26" s="143"/>
      <c r="AA26" s="143"/>
      <c r="AB26" s="143"/>
      <c r="AC26" s="70"/>
      <c r="AD26" s="70">
        <v>7200000</v>
      </c>
      <c r="AE26" s="59" t="s">
        <v>68</v>
      </c>
      <c r="AF26" s="17"/>
    </row>
    <row r="27" spans="1:32" s="11" customFormat="1" ht="21" customHeight="1">
      <c r="A27" s="46"/>
      <c r="B27" s="47"/>
      <c r="C27" s="47"/>
      <c r="D27" s="210"/>
      <c r="E27" s="121"/>
      <c r="F27" s="121"/>
      <c r="G27" s="121"/>
      <c r="H27" s="121"/>
      <c r="I27" s="121"/>
      <c r="J27" s="121"/>
      <c r="K27" s="121"/>
      <c r="L27" s="121"/>
      <c r="M27" s="121"/>
      <c r="N27" s="72"/>
      <c r="O27" s="206" t="s">
        <v>150</v>
      </c>
      <c r="P27" s="144"/>
      <c r="Q27" s="144"/>
      <c r="R27" s="144"/>
      <c r="S27" s="144"/>
      <c r="T27" s="143"/>
      <c r="U27" s="143"/>
      <c r="V27" s="143"/>
      <c r="W27" s="143"/>
      <c r="X27" s="143"/>
      <c r="Y27" s="143"/>
      <c r="Z27" s="143"/>
      <c r="AA27" s="143"/>
      <c r="AB27" s="143"/>
      <c r="AC27" s="70"/>
      <c r="AD27" s="70">
        <v>1200000</v>
      </c>
      <c r="AE27" s="59" t="s">
        <v>68</v>
      </c>
      <c r="AF27" s="17"/>
    </row>
    <row r="28" spans="1:32" s="11" customFormat="1" ht="21" customHeight="1">
      <c r="A28" s="46"/>
      <c r="B28" s="47"/>
      <c r="C28" s="47"/>
      <c r="D28" s="210"/>
      <c r="E28" s="121"/>
      <c r="F28" s="121"/>
      <c r="G28" s="121"/>
      <c r="H28" s="121"/>
      <c r="I28" s="121"/>
      <c r="J28" s="121"/>
      <c r="K28" s="121"/>
      <c r="L28" s="121"/>
      <c r="M28" s="121"/>
      <c r="N28" s="72"/>
      <c r="O28" s="206"/>
      <c r="P28" s="144"/>
      <c r="Q28" s="144"/>
      <c r="R28" s="144"/>
      <c r="S28" s="144"/>
      <c r="T28" s="143"/>
      <c r="U28" s="143"/>
      <c r="V28" s="143"/>
      <c r="W28" s="143"/>
      <c r="X28" s="143"/>
      <c r="Y28" s="143"/>
      <c r="Z28" s="143"/>
      <c r="AA28" s="143"/>
      <c r="AB28" s="143"/>
      <c r="AC28" s="70"/>
      <c r="AD28" s="70"/>
      <c r="AE28" s="59"/>
      <c r="AF28" s="17"/>
    </row>
    <row r="29" spans="1:32" s="11" customFormat="1" ht="21" customHeight="1">
      <c r="A29" s="46"/>
      <c r="B29" s="47"/>
      <c r="C29" s="47"/>
      <c r="D29" s="210"/>
      <c r="E29" s="121"/>
      <c r="F29" s="121"/>
      <c r="G29" s="121"/>
      <c r="H29" s="121"/>
      <c r="I29" s="121"/>
      <c r="J29" s="121"/>
      <c r="K29" s="121"/>
      <c r="L29" s="121"/>
      <c r="M29" s="121"/>
      <c r="N29" s="72"/>
      <c r="O29" s="448" t="s">
        <v>703</v>
      </c>
      <c r="P29" s="144"/>
      <c r="Q29" s="144"/>
      <c r="R29" s="144"/>
      <c r="S29" s="144"/>
      <c r="T29" s="143"/>
      <c r="U29" s="143"/>
      <c r="V29" s="143"/>
      <c r="W29" s="154" t="s">
        <v>74</v>
      </c>
      <c r="X29" s="154"/>
      <c r="Y29" s="154"/>
      <c r="Z29" s="154"/>
      <c r="AA29" s="154"/>
      <c r="AB29" s="154"/>
      <c r="AC29" s="74" t="s">
        <v>101</v>
      </c>
      <c r="AD29" s="74">
        <f>ROUND(SUM(AD30:AD31),-3)</f>
        <v>190652000</v>
      </c>
      <c r="AE29" s="75" t="s">
        <v>57</v>
      </c>
      <c r="AF29" s="17"/>
    </row>
    <row r="30" spans="1:32" s="11" customFormat="1" ht="21" customHeight="1">
      <c r="A30" s="46"/>
      <c r="B30" s="47"/>
      <c r="C30" s="47"/>
      <c r="D30" s="210"/>
      <c r="E30" s="121"/>
      <c r="F30" s="121"/>
      <c r="G30" s="121"/>
      <c r="H30" s="121"/>
      <c r="I30" s="121"/>
      <c r="J30" s="121"/>
      <c r="K30" s="121"/>
      <c r="L30" s="121"/>
      <c r="M30" s="121"/>
      <c r="N30" s="72"/>
      <c r="O30" s="446" t="s">
        <v>704</v>
      </c>
      <c r="P30" s="144"/>
      <c r="Q30" s="144"/>
      <c r="R30" s="144"/>
      <c r="S30" s="144"/>
      <c r="T30" s="143"/>
      <c r="U30" s="143"/>
      <c r="V30" s="143"/>
      <c r="W30" s="143"/>
      <c r="X30" s="143"/>
      <c r="Y30" s="143"/>
      <c r="Z30" s="143"/>
      <c r="AA30" s="143"/>
      <c r="AB30" s="143"/>
      <c r="AC30" s="70"/>
      <c r="AD30" s="70">
        <v>180391700</v>
      </c>
      <c r="AE30" s="59" t="s">
        <v>68</v>
      </c>
      <c r="AF30" s="17"/>
    </row>
    <row r="31" spans="1:32" s="11" customFormat="1" ht="21" customHeight="1">
      <c r="A31" s="46"/>
      <c r="B31" s="47"/>
      <c r="C31" s="47"/>
      <c r="D31" s="210"/>
      <c r="E31" s="121"/>
      <c r="F31" s="121"/>
      <c r="G31" s="121"/>
      <c r="H31" s="121"/>
      <c r="I31" s="121"/>
      <c r="J31" s="121"/>
      <c r="K31" s="121"/>
      <c r="L31" s="121"/>
      <c r="M31" s="121"/>
      <c r="N31" s="72"/>
      <c r="O31" s="446" t="s">
        <v>702</v>
      </c>
      <c r="P31" s="144"/>
      <c r="Q31" s="144"/>
      <c r="R31" s="144"/>
      <c r="S31" s="144"/>
      <c r="T31" s="143"/>
      <c r="U31" s="143"/>
      <c r="V31" s="143"/>
      <c r="W31" s="143"/>
      <c r="X31" s="143"/>
      <c r="Y31" s="143"/>
      <c r="Z31" s="143"/>
      <c r="AA31" s="143"/>
      <c r="AB31" s="143"/>
      <c r="AC31" s="70"/>
      <c r="AD31" s="70">
        <v>10260400</v>
      </c>
      <c r="AE31" s="59" t="s">
        <v>68</v>
      </c>
      <c r="AF31" s="17"/>
    </row>
    <row r="32" spans="1:32" s="11" customFormat="1" ht="21" customHeight="1">
      <c r="A32" s="46"/>
      <c r="B32" s="47"/>
      <c r="C32" s="47"/>
      <c r="D32" s="210"/>
      <c r="E32" s="121"/>
      <c r="F32" s="121"/>
      <c r="G32" s="121"/>
      <c r="H32" s="121"/>
      <c r="I32" s="121"/>
      <c r="J32" s="121"/>
      <c r="K32" s="121"/>
      <c r="L32" s="121"/>
      <c r="M32" s="121"/>
      <c r="N32" s="72"/>
      <c r="O32" s="206"/>
      <c r="P32" s="51"/>
      <c r="Q32" s="51"/>
      <c r="R32" s="51"/>
      <c r="S32" s="51"/>
      <c r="T32" s="52"/>
      <c r="U32" s="52"/>
      <c r="V32" s="52"/>
      <c r="W32" s="52"/>
      <c r="X32" s="52"/>
      <c r="Y32" s="52"/>
      <c r="Z32" s="52"/>
      <c r="AA32" s="52"/>
      <c r="AB32" s="52"/>
      <c r="AC32" s="70"/>
      <c r="AD32" s="70"/>
      <c r="AE32" s="59"/>
      <c r="AF32" s="17"/>
    </row>
    <row r="33" spans="1:32" s="11" customFormat="1" ht="21" customHeight="1">
      <c r="A33" s="46"/>
      <c r="B33" s="47"/>
      <c r="C33" s="47"/>
      <c r="D33" s="210"/>
      <c r="E33" s="121"/>
      <c r="F33" s="121"/>
      <c r="G33" s="121"/>
      <c r="H33" s="121"/>
      <c r="I33" s="121"/>
      <c r="J33" s="121"/>
      <c r="K33" s="121"/>
      <c r="L33" s="121"/>
      <c r="M33" s="121"/>
      <c r="N33" s="72"/>
      <c r="O33" s="448" t="s">
        <v>705</v>
      </c>
      <c r="P33" s="51"/>
      <c r="Q33" s="51"/>
      <c r="R33" s="51"/>
      <c r="S33" s="51"/>
      <c r="T33" s="52"/>
      <c r="U33" s="52"/>
      <c r="V33" s="52"/>
      <c r="W33" s="87" t="s">
        <v>102</v>
      </c>
      <c r="X33" s="87"/>
      <c r="Y33" s="87"/>
      <c r="Z33" s="87"/>
      <c r="AA33" s="87"/>
      <c r="AB33" s="87"/>
      <c r="AC33" s="74" t="s">
        <v>104</v>
      </c>
      <c r="AD33" s="74">
        <v>90300000</v>
      </c>
      <c r="AE33" s="75" t="s">
        <v>103</v>
      </c>
      <c r="AF33" s="17"/>
    </row>
    <row r="34" spans="1:32" s="11" customFormat="1" ht="21" customHeight="1">
      <c r="A34" s="46"/>
      <c r="B34" s="47"/>
      <c r="C34" s="47"/>
      <c r="D34" s="210"/>
      <c r="E34" s="121"/>
      <c r="F34" s="121"/>
      <c r="G34" s="121"/>
      <c r="H34" s="121"/>
      <c r="I34" s="121"/>
      <c r="J34" s="121"/>
      <c r="K34" s="121"/>
      <c r="L34" s="121"/>
      <c r="M34" s="121"/>
      <c r="N34" s="72"/>
      <c r="O34" s="206"/>
      <c r="P34" s="194"/>
      <c r="Q34" s="194"/>
      <c r="R34" s="194"/>
      <c r="S34" s="194"/>
      <c r="T34" s="193"/>
      <c r="U34" s="193"/>
      <c r="V34" s="193"/>
      <c r="W34" s="193"/>
      <c r="X34" s="193"/>
      <c r="Y34" s="193"/>
      <c r="Z34" s="193"/>
      <c r="AA34" s="193"/>
      <c r="AB34" s="193"/>
      <c r="AC34" s="70"/>
      <c r="AD34" s="70"/>
      <c r="AE34" s="59"/>
      <c r="AF34" s="17"/>
    </row>
    <row r="35" spans="1:32" s="11" customFormat="1" ht="21" customHeight="1">
      <c r="A35" s="46"/>
      <c r="B35" s="47"/>
      <c r="C35" s="47"/>
      <c r="D35" s="210"/>
      <c r="E35" s="121"/>
      <c r="F35" s="121"/>
      <c r="G35" s="121"/>
      <c r="H35" s="121"/>
      <c r="I35" s="121"/>
      <c r="J35" s="121"/>
      <c r="K35" s="121"/>
      <c r="L35" s="121"/>
      <c r="M35" s="121"/>
      <c r="N35" s="72"/>
      <c r="O35" s="204" t="s">
        <v>208</v>
      </c>
      <c r="P35" s="194"/>
      <c r="Q35" s="194"/>
      <c r="R35" s="194"/>
      <c r="S35" s="194"/>
      <c r="T35" s="193"/>
      <c r="U35" s="193"/>
      <c r="V35" s="193"/>
      <c r="W35" s="192" t="s">
        <v>74</v>
      </c>
      <c r="X35" s="192"/>
      <c r="Y35" s="192"/>
      <c r="Z35" s="192"/>
      <c r="AA35" s="192"/>
      <c r="AB35" s="192"/>
      <c r="AC35" s="74" t="s">
        <v>62</v>
      </c>
      <c r="AD35" s="74">
        <f>SUM(AD36:AD37)</f>
        <v>5400000</v>
      </c>
      <c r="AE35" s="75" t="s">
        <v>57</v>
      </c>
      <c r="AF35" s="17"/>
    </row>
    <row r="36" spans="1:32" s="11" customFormat="1" ht="21" customHeight="1">
      <c r="A36" s="46"/>
      <c r="B36" s="47"/>
      <c r="C36" s="47"/>
      <c r="D36" s="210"/>
      <c r="E36" s="121"/>
      <c r="F36" s="121"/>
      <c r="G36" s="121"/>
      <c r="H36" s="121"/>
      <c r="I36" s="121"/>
      <c r="J36" s="121"/>
      <c r="K36" s="121"/>
      <c r="L36" s="121"/>
      <c r="M36" s="121"/>
      <c r="N36" s="72"/>
      <c r="O36" s="623" t="s">
        <v>636</v>
      </c>
      <c r="P36" s="624"/>
      <c r="Q36" s="193"/>
      <c r="R36" s="193"/>
      <c r="S36" s="193">
        <v>150000</v>
      </c>
      <c r="T36" s="193" t="s">
        <v>57</v>
      </c>
      <c r="U36" s="194" t="s">
        <v>58</v>
      </c>
      <c r="V36" s="193">
        <v>1</v>
      </c>
      <c r="W36" s="193" t="s">
        <v>56</v>
      </c>
      <c r="X36" s="194" t="s">
        <v>58</v>
      </c>
      <c r="Y36" s="57">
        <v>12</v>
      </c>
      <c r="Z36" s="191" t="s">
        <v>29</v>
      </c>
      <c r="AA36" s="191" t="s">
        <v>53</v>
      </c>
      <c r="AB36" s="191"/>
      <c r="AC36" s="194"/>
      <c r="AD36" s="193">
        <f t="shared" ref="AD36:AD37" si="3">S36*V36*Y36</f>
        <v>1800000</v>
      </c>
      <c r="AE36" s="59" t="s">
        <v>57</v>
      </c>
      <c r="AF36" s="17"/>
    </row>
    <row r="37" spans="1:32" s="11" customFormat="1" ht="21" customHeight="1">
      <c r="A37" s="46"/>
      <c r="B37" s="47"/>
      <c r="C37" s="47"/>
      <c r="D37" s="210"/>
      <c r="E37" s="121"/>
      <c r="F37" s="121"/>
      <c r="G37" s="121"/>
      <c r="H37" s="121"/>
      <c r="I37" s="121"/>
      <c r="J37" s="121"/>
      <c r="K37" s="121"/>
      <c r="L37" s="121"/>
      <c r="M37" s="121"/>
      <c r="N37" s="72"/>
      <c r="O37" s="623" t="s">
        <v>615</v>
      </c>
      <c r="P37" s="624"/>
      <c r="Q37" s="193"/>
      <c r="R37" s="193"/>
      <c r="S37" s="193">
        <v>100000</v>
      </c>
      <c r="T37" s="193" t="s">
        <v>57</v>
      </c>
      <c r="U37" s="194" t="s">
        <v>58</v>
      </c>
      <c r="V37" s="193">
        <v>3</v>
      </c>
      <c r="W37" s="193" t="s">
        <v>56</v>
      </c>
      <c r="X37" s="194" t="s">
        <v>58</v>
      </c>
      <c r="Y37" s="57">
        <v>12</v>
      </c>
      <c r="Z37" s="191" t="s">
        <v>0</v>
      </c>
      <c r="AA37" s="191" t="s">
        <v>53</v>
      </c>
      <c r="AB37" s="191"/>
      <c r="AC37" s="194"/>
      <c r="AD37" s="193">
        <f t="shared" si="3"/>
        <v>3600000</v>
      </c>
      <c r="AE37" s="59" t="s">
        <v>57</v>
      </c>
      <c r="AF37" s="17"/>
    </row>
    <row r="38" spans="1:32" s="11" customFormat="1" ht="21" customHeight="1">
      <c r="A38" s="46"/>
      <c r="B38" s="47"/>
      <c r="C38" s="47"/>
      <c r="D38" s="210"/>
      <c r="E38" s="121"/>
      <c r="F38" s="121"/>
      <c r="G38" s="121"/>
      <c r="H38" s="121"/>
      <c r="I38" s="121"/>
      <c r="J38" s="121"/>
      <c r="K38" s="121"/>
      <c r="L38" s="121"/>
      <c r="M38" s="121"/>
      <c r="N38" s="72"/>
      <c r="O38" s="425"/>
      <c r="P38" s="425"/>
      <c r="Q38" s="251"/>
      <c r="R38" s="251"/>
      <c r="S38" s="426"/>
      <c r="T38" s="426"/>
      <c r="U38" s="427"/>
      <c r="V38" s="426"/>
      <c r="W38" s="426"/>
      <c r="X38" s="427"/>
      <c r="Y38" s="57"/>
      <c r="Z38" s="423"/>
      <c r="AA38" s="423"/>
      <c r="AB38" s="423"/>
      <c r="AC38" s="427"/>
      <c r="AD38" s="426"/>
      <c r="AE38" s="59"/>
      <c r="AF38" s="17"/>
    </row>
    <row r="39" spans="1:32" s="11" customFormat="1" ht="21" customHeight="1">
      <c r="A39" s="46"/>
      <c r="B39" s="47"/>
      <c r="C39" s="47"/>
      <c r="D39" s="210"/>
      <c r="E39" s="121"/>
      <c r="F39" s="121"/>
      <c r="G39" s="121"/>
      <c r="H39" s="121"/>
      <c r="I39" s="121"/>
      <c r="J39" s="121"/>
      <c r="K39" s="121"/>
      <c r="L39" s="121"/>
      <c r="M39" s="121"/>
      <c r="N39" s="72"/>
      <c r="O39" s="429" t="s">
        <v>618</v>
      </c>
      <c r="P39" s="427"/>
      <c r="Q39" s="427"/>
      <c r="R39" s="427"/>
      <c r="S39" s="427"/>
      <c r="T39" s="426"/>
      <c r="U39" s="426"/>
      <c r="V39" s="426"/>
      <c r="W39" s="428" t="s">
        <v>74</v>
      </c>
      <c r="X39" s="428"/>
      <c r="Y39" s="428"/>
      <c r="Z39" s="428"/>
      <c r="AA39" s="428"/>
      <c r="AB39" s="428"/>
      <c r="AC39" s="74" t="s">
        <v>62</v>
      </c>
      <c r="AD39" s="74">
        <f>AD40</f>
        <v>2080000</v>
      </c>
      <c r="AE39" s="75" t="s">
        <v>57</v>
      </c>
      <c r="AF39" s="17"/>
    </row>
    <row r="40" spans="1:32" s="11" customFormat="1" ht="21" customHeight="1">
      <c r="A40" s="46"/>
      <c r="B40" s="47"/>
      <c r="C40" s="47"/>
      <c r="D40" s="210"/>
      <c r="E40" s="121"/>
      <c r="F40" s="121"/>
      <c r="G40" s="121"/>
      <c r="H40" s="121"/>
      <c r="I40" s="121"/>
      <c r="J40" s="121"/>
      <c r="K40" s="121"/>
      <c r="L40" s="121"/>
      <c r="M40" s="121"/>
      <c r="N40" s="72"/>
      <c r="O40" s="640" t="s">
        <v>619</v>
      </c>
      <c r="P40" s="641"/>
      <c r="Q40" s="426"/>
      <c r="R40" s="426"/>
      <c r="S40" s="426">
        <v>40000</v>
      </c>
      <c r="T40" s="426" t="s">
        <v>57</v>
      </c>
      <c r="U40" s="427" t="s">
        <v>58</v>
      </c>
      <c r="V40" s="426">
        <v>52</v>
      </c>
      <c r="W40" s="426" t="s">
        <v>602</v>
      </c>
      <c r="X40" s="427" t="s">
        <v>58</v>
      </c>
      <c r="Y40" s="57">
        <v>12</v>
      </c>
      <c r="Z40" s="423" t="s">
        <v>29</v>
      </c>
      <c r="AA40" s="423" t="s">
        <v>53</v>
      </c>
      <c r="AB40" s="423"/>
      <c r="AC40" s="427"/>
      <c r="AD40" s="426">
        <f>S40*V40</f>
        <v>2080000</v>
      </c>
      <c r="AE40" s="59" t="s">
        <v>57</v>
      </c>
      <c r="AF40" s="17"/>
    </row>
    <row r="41" spans="1:32" s="11" customFormat="1" ht="21" customHeight="1">
      <c r="A41" s="46"/>
      <c r="B41" s="47"/>
      <c r="C41" s="47"/>
      <c r="D41" s="210"/>
      <c r="E41" s="121"/>
      <c r="F41" s="121"/>
      <c r="G41" s="121"/>
      <c r="H41" s="121"/>
      <c r="I41" s="121"/>
      <c r="J41" s="121"/>
      <c r="K41" s="121"/>
      <c r="L41" s="121"/>
      <c r="M41" s="121"/>
      <c r="N41" s="72"/>
      <c r="O41" s="206"/>
      <c r="P41" s="51"/>
      <c r="Q41" s="51"/>
      <c r="R41" s="51"/>
      <c r="S41" s="52"/>
      <c r="T41" s="56"/>
      <c r="U41" s="137"/>
      <c r="V41" s="56"/>
      <c r="W41" s="135"/>
      <c r="X41" s="135"/>
      <c r="Y41" s="52"/>
      <c r="Z41" s="52"/>
      <c r="AA41" s="52"/>
      <c r="AB41" s="52"/>
      <c r="AC41" s="52"/>
      <c r="AD41" s="52"/>
      <c r="AE41" s="59"/>
      <c r="AF41" s="17"/>
    </row>
    <row r="42" spans="1:32" s="11" customFormat="1" ht="21" customHeight="1">
      <c r="A42" s="46"/>
      <c r="B42" s="47"/>
      <c r="C42" s="37" t="s">
        <v>9</v>
      </c>
      <c r="D42" s="212">
        <v>95609</v>
      </c>
      <c r="E42" s="127">
        <f>ROUND(AD42/1000,0)</f>
        <v>98720</v>
      </c>
      <c r="F42" s="127">
        <f>AD43/1000</f>
        <v>84661</v>
      </c>
      <c r="G42" s="127">
        <f>AD45/1000</f>
        <v>5040</v>
      </c>
      <c r="H42" s="127">
        <v>0</v>
      </c>
      <c r="I42" s="127">
        <f>AD52/1000</f>
        <v>7525</v>
      </c>
      <c r="J42" s="127">
        <v>0</v>
      </c>
      <c r="K42" s="127">
        <f>AD47/1000</f>
        <v>1494</v>
      </c>
      <c r="L42" s="127">
        <v>0</v>
      </c>
      <c r="M42" s="126">
        <f>E42-D42</f>
        <v>3111</v>
      </c>
      <c r="N42" s="134">
        <f>IF(D42=0,0,M42/D42)</f>
        <v>3.253877773013001E-2</v>
      </c>
      <c r="O42" s="107" t="s">
        <v>35</v>
      </c>
      <c r="P42" s="232"/>
      <c r="Q42" s="205"/>
      <c r="R42" s="103"/>
      <c r="S42" s="103"/>
      <c r="T42" s="97"/>
      <c r="U42" s="97"/>
      <c r="V42" s="97"/>
      <c r="W42" s="414" t="s">
        <v>568</v>
      </c>
      <c r="X42" s="414"/>
      <c r="Y42" s="414"/>
      <c r="Z42" s="414"/>
      <c r="AA42" s="414"/>
      <c r="AB42" s="414"/>
      <c r="AC42" s="235" t="s">
        <v>569</v>
      </c>
      <c r="AD42" s="235">
        <f>SUM(AD43,AD45,AD47,AD52)</f>
        <v>98720000</v>
      </c>
      <c r="AE42" s="234" t="s">
        <v>570</v>
      </c>
      <c r="AF42" s="2"/>
    </row>
    <row r="43" spans="1:32" s="11" customFormat="1" ht="21" customHeight="1">
      <c r="A43" s="46"/>
      <c r="B43" s="47"/>
      <c r="C43" s="47"/>
      <c r="D43" s="213"/>
      <c r="E43" s="121"/>
      <c r="F43" s="121"/>
      <c r="G43" s="121"/>
      <c r="H43" s="121"/>
      <c r="I43" s="121"/>
      <c r="J43" s="121"/>
      <c r="K43" s="121"/>
      <c r="L43" s="121"/>
      <c r="M43" s="128"/>
      <c r="N43" s="72"/>
      <c r="O43" s="448" t="s">
        <v>706</v>
      </c>
      <c r="P43" s="51"/>
      <c r="Q43" s="51"/>
      <c r="R43" s="51"/>
      <c r="S43" s="51"/>
      <c r="T43" s="52"/>
      <c r="U43" s="52"/>
      <c r="V43" s="52"/>
      <c r="W43" s="87" t="s">
        <v>102</v>
      </c>
      <c r="X43" s="87"/>
      <c r="Y43" s="87"/>
      <c r="Z43" s="87"/>
      <c r="AA43" s="87"/>
      <c r="AB43" s="87"/>
      <c r="AC43" s="74"/>
      <c r="AD43" s="74">
        <f>ROUNDUP(AD44,-3)</f>
        <v>84661000</v>
      </c>
      <c r="AE43" s="75" t="s">
        <v>103</v>
      </c>
      <c r="AF43" s="2"/>
    </row>
    <row r="44" spans="1:32" s="11" customFormat="1" ht="21" customHeight="1">
      <c r="A44" s="46"/>
      <c r="B44" s="47"/>
      <c r="C44" s="47"/>
      <c r="D44" s="213"/>
      <c r="E44" s="121"/>
      <c r="F44" s="121"/>
      <c r="G44" s="121"/>
      <c r="H44" s="121"/>
      <c r="I44" s="121"/>
      <c r="J44" s="121"/>
      <c r="K44" s="121"/>
      <c r="L44" s="121"/>
      <c r="M44" s="128"/>
      <c r="N44" s="72"/>
      <c r="O44" s="206"/>
      <c r="P44" s="51"/>
      <c r="Q44" s="51"/>
      <c r="R44" s="51"/>
      <c r="S44" s="180">
        <f>SUM(AD9,AD22,AD26,AD30)</f>
        <v>1015935700</v>
      </c>
      <c r="T44" s="99" t="s">
        <v>57</v>
      </c>
      <c r="U44" s="99" t="s">
        <v>76</v>
      </c>
      <c r="V44" s="79">
        <v>12</v>
      </c>
      <c r="W44" s="76" t="s">
        <v>0</v>
      </c>
      <c r="X44" s="143"/>
      <c r="Y44" s="143"/>
      <c r="Z44" s="143"/>
      <c r="AA44" s="143" t="s">
        <v>77</v>
      </c>
      <c r="AB44" s="52"/>
      <c r="AC44" s="70"/>
      <c r="AD44" s="70">
        <f>ROUND(S44/V44,-3)</f>
        <v>84661000</v>
      </c>
      <c r="AE44" s="59" t="s">
        <v>68</v>
      </c>
      <c r="AF44" s="2"/>
    </row>
    <row r="45" spans="1:32" s="11" customFormat="1" ht="21" customHeight="1">
      <c r="A45" s="46"/>
      <c r="B45" s="47"/>
      <c r="C45" s="47"/>
      <c r="D45" s="213"/>
      <c r="E45" s="121"/>
      <c r="F45" s="121"/>
      <c r="G45" s="121"/>
      <c r="H45" s="121"/>
      <c r="I45" s="121"/>
      <c r="J45" s="121"/>
      <c r="K45" s="121"/>
      <c r="L45" s="121"/>
      <c r="M45" s="128"/>
      <c r="N45" s="72"/>
      <c r="O45" s="448" t="s">
        <v>707</v>
      </c>
      <c r="P45" s="51"/>
      <c r="Q45" s="51"/>
      <c r="R45" s="51"/>
      <c r="S45" s="51"/>
      <c r="T45" s="52"/>
      <c r="U45" s="52"/>
      <c r="V45" s="52"/>
      <c r="W45" s="87" t="s">
        <v>102</v>
      </c>
      <c r="X45" s="87"/>
      <c r="Y45" s="87"/>
      <c r="Z45" s="87"/>
      <c r="AA45" s="87"/>
      <c r="AB45" s="87"/>
      <c r="AC45" s="74" t="s">
        <v>104</v>
      </c>
      <c r="AD45" s="74">
        <f>ROUNDUP(AD46,-3)</f>
        <v>5040000</v>
      </c>
      <c r="AE45" s="75" t="s">
        <v>103</v>
      </c>
      <c r="AF45" s="2"/>
    </row>
    <row r="46" spans="1:32" s="11" customFormat="1" ht="21" customHeight="1">
      <c r="A46" s="46"/>
      <c r="B46" s="47"/>
      <c r="C46" s="47"/>
      <c r="D46" s="213"/>
      <c r="E46" s="121"/>
      <c r="F46" s="121"/>
      <c r="G46" s="121"/>
      <c r="H46" s="121"/>
      <c r="I46" s="121"/>
      <c r="J46" s="121"/>
      <c r="K46" s="121"/>
      <c r="L46" s="121"/>
      <c r="M46" s="128"/>
      <c r="N46" s="72"/>
      <c r="O46" s="206"/>
      <c r="P46" s="51"/>
      <c r="Q46" s="51"/>
      <c r="R46" s="51"/>
      <c r="S46" s="143">
        <f>SUM(AD11,AD23,AD27,AD31)</f>
        <v>60479200</v>
      </c>
      <c r="T46" s="99" t="s">
        <v>57</v>
      </c>
      <c r="U46" s="99" t="s">
        <v>76</v>
      </c>
      <c r="V46" s="79">
        <v>12</v>
      </c>
      <c r="W46" s="76" t="s">
        <v>0</v>
      </c>
      <c r="X46" s="143"/>
      <c r="Y46" s="143"/>
      <c r="Z46" s="143"/>
      <c r="AA46" s="143" t="s">
        <v>77</v>
      </c>
      <c r="AB46" s="143"/>
      <c r="AC46" s="70"/>
      <c r="AD46" s="70">
        <f>ROUND(S46/V46,-2)</f>
        <v>5039900</v>
      </c>
      <c r="AE46" s="59" t="s">
        <v>68</v>
      </c>
      <c r="AF46" s="2"/>
    </row>
    <row r="47" spans="1:32" s="11" customFormat="1" ht="21" customHeight="1">
      <c r="A47" s="46"/>
      <c r="B47" s="47"/>
      <c r="C47" s="47"/>
      <c r="D47" s="213"/>
      <c r="E47" s="121"/>
      <c r="F47" s="121"/>
      <c r="G47" s="121"/>
      <c r="H47" s="121"/>
      <c r="I47" s="121"/>
      <c r="J47" s="121"/>
      <c r="K47" s="121"/>
      <c r="L47" s="121"/>
      <c r="M47" s="128"/>
      <c r="N47" s="72"/>
      <c r="O47" s="204" t="s">
        <v>209</v>
      </c>
      <c r="P47" s="51"/>
      <c r="Q47" s="51"/>
      <c r="R47" s="51"/>
      <c r="S47" s="51"/>
      <c r="T47" s="52"/>
      <c r="U47" s="52"/>
      <c r="V47" s="52"/>
      <c r="W47" s="87" t="s">
        <v>102</v>
      </c>
      <c r="X47" s="87"/>
      <c r="Y47" s="87"/>
      <c r="Z47" s="87"/>
      <c r="AA47" s="87"/>
      <c r="AB47" s="87"/>
      <c r="AC47" s="74" t="s">
        <v>104</v>
      </c>
      <c r="AD47" s="74">
        <f>SUM(AD48:AD50)</f>
        <v>1494000</v>
      </c>
      <c r="AE47" s="75" t="s">
        <v>103</v>
      </c>
      <c r="AF47" s="2"/>
    </row>
    <row r="48" spans="1:32" s="11" customFormat="1" ht="21" customHeight="1">
      <c r="A48" s="46"/>
      <c r="B48" s="47"/>
      <c r="C48" s="47"/>
      <c r="D48" s="213"/>
      <c r="E48" s="121"/>
      <c r="F48" s="121"/>
      <c r="G48" s="121"/>
      <c r="H48" s="121"/>
      <c r="I48" s="121"/>
      <c r="J48" s="121"/>
      <c r="K48" s="121"/>
      <c r="L48" s="121"/>
      <c r="M48" s="128"/>
      <c r="N48" s="72"/>
      <c r="O48" s="206" t="s">
        <v>174</v>
      </c>
      <c r="P48" s="51"/>
      <c r="Q48" s="51"/>
      <c r="R48" s="51"/>
      <c r="S48" s="143">
        <v>10440000</v>
      </c>
      <c r="T48" s="99" t="s">
        <v>57</v>
      </c>
      <c r="U48" s="99" t="s">
        <v>76</v>
      </c>
      <c r="V48" s="79">
        <v>12</v>
      </c>
      <c r="W48" s="76" t="s">
        <v>0</v>
      </c>
      <c r="X48" s="143"/>
      <c r="Y48" s="143"/>
      <c r="Z48" s="143"/>
      <c r="AA48" s="143" t="s">
        <v>77</v>
      </c>
      <c r="AB48" s="143"/>
      <c r="AC48" s="70"/>
      <c r="AD48" s="70">
        <f>S48/V48</f>
        <v>870000</v>
      </c>
      <c r="AE48" s="59" t="s">
        <v>68</v>
      </c>
      <c r="AF48" s="2"/>
    </row>
    <row r="49" spans="1:32" s="11" customFormat="1" ht="21" customHeight="1">
      <c r="A49" s="46"/>
      <c r="B49" s="47"/>
      <c r="C49" s="47"/>
      <c r="D49" s="213"/>
      <c r="E49" s="121"/>
      <c r="F49" s="121"/>
      <c r="G49" s="121"/>
      <c r="H49" s="121"/>
      <c r="I49" s="121"/>
      <c r="J49" s="121"/>
      <c r="K49" s="121"/>
      <c r="L49" s="121"/>
      <c r="M49" s="128"/>
      <c r="N49" s="72"/>
      <c r="O49" s="273" t="s">
        <v>307</v>
      </c>
      <c r="P49" s="273"/>
      <c r="Q49" s="273"/>
      <c r="R49" s="273"/>
      <c r="S49" s="272">
        <f>AD35</f>
        <v>5400000</v>
      </c>
      <c r="T49" s="271" t="s">
        <v>57</v>
      </c>
      <c r="U49" s="271" t="s">
        <v>76</v>
      </c>
      <c r="V49" s="79">
        <v>12</v>
      </c>
      <c r="W49" s="76" t="s">
        <v>0</v>
      </c>
      <c r="X49" s="272"/>
      <c r="Y49" s="272"/>
      <c r="Z49" s="272"/>
      <c r="AA49" s="272" t="s">
        <v>53</v>
      </c>
      <c r="AB49" s="272"/>
      <c r="AC49" s="70"/>
      <c r="AD49" s="70">
        <f>S49/V49</f>
        <v>450000</v>
      </c>
      <c r="AE49" s="59" t="s">
        <v>57</v>
      </c>
      <c r="AF49" s="2"/>
    </row>
    <row r="50" spans="1:32" s="11" customFormat="1" ht="21" customHeight="1">
      <c r="A50" s="46"/>
      <c r="B50" s="47"/>
      <c r="C50" s="47"/>
      <c r="D50" s="213"/>
      <c r="E50" s="121"/>
      <c r="F50" s="121"/>
      <c r="G50" s="121"/>
      <c r="H50" s="121"/>
      <c r="I50" s="121"/>
      <c r="J50" s="121"/>
      <c r="K50" s="121"/>
      <c r="L50" s="121"/>
      <c r="M50" s="128"/>
      <c r="N50" s="72"/>
      <c r="O50" s="427" t="s">
        <v>617</v>
      </c>
      <c r="P50" s="276"/>
      <c r="Q50" s="276"/>
      <c r="R50" s="276"/>
      <c r="S50" s="275">
        <f>AD40</f>
        <v>2080000</v>
      </c>
      <c r="T50" s="274" t="s">
        <v>57</v>
      </c>
      <c r="U50" s="274" t="s">
        <v>76</v>
      </c>
      <c r="V50" s="79">
        <v>12</v>
      </c>
      <c r="W50" s="76" t="s">
        <v>0</v>
      </c>
      <c r="X50" s="275"/>
      <c r="Y50" s="275"/>
      <c r="Z50" s="275"/>
      <c r="AA50" s="275" t="s">
        <v>53</v>
      </c>
      <c r="AB50" s="275"/>
      <c r="AC50" s="70"/>
      <c r="AD50" s="70">
        <f>ROUNDUP(S50/V50,-3)</f>
        <v>174000</v>
      </c>
      <c r="AE50" s="59" t="s">
        <v>57</v>
      </c>
      <c r="AF50" s="2"/>
    </row>
    <row r="51" spans="1:32" s="11" customFormat="1" ht="21" customHeight="1">
      <c r="A51" s="46"/>
      <c r="B51" s="47"/>
      <c r="C51" s="47"/>
      <c r="D51" s="213"/>
      <c r="E51" s="121"/>
      <c r="F51" s="121"/>
      <c r="G51" s="121"/>
      <c r="H51" s="121"/>
      <c r="I51" s="121"/>
      <c r="J51" s="121"/>
      <c r="K51" s="121"/>
      <c r="L51" s="121"/>
      <c r="M51" s="128"/>
      <c r="N51" s="72"/>
      <c r="O51" s="253"/>
      <c r="P51" s="253"/>
      <c r="Q51" s="253"/>
      <c r="R51" s="253"/>
      <c r="S51" s="252"/>
      <c r="T51" s="247"/>
      <c r="U51" s="247"/>
      <c r="V51" s="79"/>
      <c r="W51" s="76"/>
      <c r="X51" s="252"/>
      <c r="Y51" s="252"/>
      <c r="Z51" s="252"/>
      <c r="AA51" s="252"/>
      <c r="AB51" s="252"/>
      <c r="AC51" s="70"/>
      <c r="AD51" s="70"/>
      <c r="AE51" s="59"/>
      <c r="AF51" s="2"/>
    </row>
    <row r="52" spans="1:32" s="11" customFormat="1" ht="21" customHeight="1">
      <c r="A52" s="46"/>
      <c r="B52" s="47"/>
      <c r="C52" s="47"/>
      <c r="D52" s="213"/>
      <c r="E52" s="121"/>
      <c r="F52" s="121"/>
      <c r="G52" s="121"/>
      <c r="H52" s="121"/>
      <c r="I52" s="121"/>
      <c r="J52" s="121"/>
      <c r="K52" s="121"/>
      <c r="L52" s="121"/>
      <c r="M52" s="128"/>
      <c r="N52" s="72"/>
      <c r="O52" s="255" t="s">
        <v>294</v>
      </c>
      <c r="P52" s="253"/>
      <c r="Q52" s="253"/>
      <c r="R52" s="253"/>
      <c r="S52" s="253"/>
      <c r="T52" s="252"/>
      <c r="U52" s="252"/>
      <c r="V52" s="252"/>
      <c r="W52" s="254" t="s">
        <v>74</v>
      </c>
      <c r="X52" s="254"/>
      <c r="Y52" s="254"/>
      <c r="Z52" s="254"/>
      <c r="AA52" s="254"/>
      <c r="AB52" s="254"/>
      <c r="AC52" s="74" t="s">
        <v>62</v>
      </c>
      <c r="AD52" s="74">
        <f>ROUND(SUM(AD53:AD53),-3)</f>
        <v>7525000</v>
      </c>
      <c r="AE52" s="75" t="s">
        <v>57</v>
      </c>
      <c r="AF52" s="2"/>
    </row>
    <row r="53" spans="1:32" s="11" customFormat="1" ht="21" customHeight="1">
      <c r="A53" s="46"/>
      <c r="B53" s="47"/>
      <c r="C53" s="47"/>
      <c r="D53" s="213"/>
      <c r="E53" s="121"/>
      <c r="F53" s="121"/>
      <c r="G53" s="121"/>
      <c r="H53" s="121"/>
      <c r="I53" s="121"/>
      <c r="J53" s="121"/>
      <c r="K53" s="121"/>
      <c r="L53" s="121"/>
      <c r="M53" s="128"/>
      <c r="N53" s="72"/>
      <c r="O53" s="446" t="s">
        <v>711</v>
      </c>
      <c r="P53" s="427"/>
      <c r="Q53" s="427"/>
      <c r="R53" s="427"/>
      <c r="S53" s="426">
        <f>AD33</f>
        <v>90300000</v>
      </c>
      <c r="T53" s="423" t="s">
        <v>57</v>
      </c>
      <c r="U53" s="423" t="s">
        <v>76</v>
      </c>
      <c r="V53" s="79">
        <v>12</v>
      </c>
      <c r="W53" s="76" t="s">
        <v>0</v>
      </c>
      <c r="X53" s="426"/>
      <c r="Y53" s="426"/>
      <c r="Z53" s="426"/>
      <c r="AA53" s="426" t="s">
        <v>53</v>
      </c>
      <c r="AB53" s="426" t="s">
        <v>616</v>
      </c>
      <c r="AC53" s="70"/>
      <c r="AD53" s="70">
        <f>ROUNDUP(S53/V53,-3)</f>
        <v>7525000</v>
      </c>
      <c r="AE53" s="59" t="s">
        <v>57</v>
      </c>
      <c r="AF53" s="2"/>
    </row>
    <row r="54" spans="1:32" s="11" customFormat="1" ht="21" customHeight="1">
      <c r="A54" s="46"/>
      <c r="B54" s="47"/>
      <c r="C54" s="47"/>
      <c r="D54" s="214"/>
      <c r="E54" s="121"/>
      <c r="F54" s="121"/>
      <c r="G54" s="121"/>
      <c r="H54" s="121"/>
      <c r="I54" s="121"/>
      <c r="J54" s="121"/>
      <c r="K54" s="121"/>
      <c r="L54" s="121"/>
      <c r="M54" s="128"/>
      <c r="N54" s="72"/>
      <c r="O54" s="33"/>
      <c r="P54" s="33"/>
      <c r="Q54" s="33"/>
      <c r="R54" s="33"/>
      <c r="S54" s="33"/>
      <c r="T54" s="34"/>
      <c r="U54" s="34"/>
      <c r="V54" s="34"/>
      <c r="W54" s="34"/>
      <c r="X54" s="34"/>
      <c r="Y54" s="34"/>
      <c r="Z54" s="34"/>
      <c r="AA54" s="34"/>
      <c r="AB54" s="34"/>
      <c r="AC54" s="53"/>
      <c r="AD54" s="53"/>
      <c r="AE54" s="35"/>
      <c r="AF54" s="2"/>
    </row>
    <row r="55" spans="1:32" s="11" customFormat="1" ht="21" customHeight="1">
      <c r="A55" s="46"/>
      <c r="B55" s="47"/>
      <c r="C55" s="138" t="s">
        <v>105</v>
      </c>
      <c r="D55" s="212">
        <v>94559</v>
      </c>
      <c r="E55" s="127">
        <f>ROUND(AD55/1000,0)</f>
        <v>97947</v>
      </c>
      <c r="F55" s="127">
        <f>ROUNDUP(SUM(AD58,AD63,AD68,AD73,AD78),-3)/1000</f>
        <v>91554</v>
      </c>
      <c r="G55" s="127">
        <f>ROUNDUP(SUM(AD59,AD64,AD69,AD74,AD79),-3)/1000</f>
        <v>5452</v>
      </c>
      <c r="H55" s="127">
        <v>0</v>
      </c>
      <c r="I55" s="127">
        <v>0</v>
      </c>
      <c r="J55" s="127">
        <v>0</v>
      </c>
      <c r="K55" s="127">
        <f>ROUNDUP(SUM(AD60,AD65,AD70,AD75,AD80),-3)/1000</f>
        <v>941</v>
      </c>
      <c r="L55" s="127">
        <v>0</v>
      </c>
      <c r="M55" s="139">
        <f>E55-D55</f>
        <v>3388</v>
      </c>
      <c r="N55" s="134">
        <f>IF(D55=0,0,M55/D55)</f>
        <v>3.5829482122272868E-2</v>
      </c>
      <c r="O55" s="107" t="s">
        <v>36</v>
      </c>
      <c r="P55" s="232"/>
      <c r="Q55" s="103"/>
      <c r="R55" s="103"/>
      <c r="S55" s="103"/>
      <c r="T55" s="97"/>
      <c r="U55" s="97"/>
      <c r="V55" s="97"/>
      <c r="W55" s="233" t="s">
        <v>220</v>
      </c>
      <c r="X55" s="233"/>
      <c r="Y55" s="233"/>
      <c r="Z55" s="233"/>
      <c r="AA55" s="233"/>
      <c r="AB55" s="233"/>
      <c r="AC55" s="235"/>
      <c r="AD55" s="235">
        <f>SUM(AD57,AD62,AD67,AD72,AD77)</f>
        <v>97947000</v>
      </c>
      <c r="AE55" s="234" t="s">
        <v>25</v>
      </c>
    </row>
    <row r="56" spans="1:32" s="11" customFormat="1" ht="21" customHeight="1">
      <c r="A56" s="46"/>
      <c r="B56" s="47"/>
      <c r="C56" s="47" t="s">
        <v>221</v>
      </c>
      <c r="D56" s="210"/>
      <c r="E56" s="121"/>
      <c r="F56" s="121"/>
      <c r="G56" s="121"/>
      <c r="H56" s="121"/>
      <c r="I56" s="121"/>
      <c r="J56" s="121"/>
      <c r="K56" s="121"/>
      <c r="L56" s="121"/>
      <c r="M56" s="121"/>
      <c r="N56" s="72"/>
      <c r="O56" s="208"/>
      <c r="P56" s="33"/>
      <c r="Q56" s="33"/>
      <c r="R56" s="33"/>
      <c r="S56" s="33"/>
      <c r="T56" s="34"/>
      <c r="U56" s="34"/>
      <c r="V56" s="34"/>
      <c r="W56" s="34"/>
      <c r="X56" s="34"/>
      <c r="Y56" s="34"/>
      <c r="Z56" s="34"/>
      <c r="AA56" s="34"/>
      <c r="AB56" s="34"/>
      <c r="AC56" s="53"/>
      <c r="AD56" s="53"/>
      <c r="AE56" s="35"/>
      <c r="AF56" s="2"/>
    </row>
    <row r="57" spans="1:32" s="11" customFormat="1" ht="21" customHeight="1">
      <c r="A57" s="46"/>
      <c r="B57" s="47"/>
      <c r="C57" s="47"/>
      <c r="D57" s="210"/>
      <c r="E57" s="121"/>
      <c r="F57" s="121"/>
      <c r="G57" s="121"/>
      <c r="H57" s="121"/>
      <c r="I57" s="121"/>
      <c r="J57" s="121"/>
      <c r="K57" s="121"/>
      <c r="L57" s="121"/>
      <c r="M57" s="121"/>
      <c r="N57" s="72"/>
      <c r="O57" s="448" t="s">
        <v>708</v>
      </c>
      <c r="P57" s="51"/>
      <c r="Q57" s="51"/>
      <c r="R57" s="51"/>
      <c r="S57" s="51"/>
      <c r="T57" s="52"/>
      <c r="U57" s="52"/>
      <c r="V57" s="52"/>
      <c r="W57" s="87" t="s">
        <v>102</v>
      </c>
      <c r="X57" s="87"/>
      <c r="Y57" s="87"/>
      <c r="Z57" s="87"/>
      <c r="AA57" s="87"/>
      <c r="AB57" s="87"/>
      <c r="AC57" s="74"/>
      <c r="AD57" s="74">
        <f>ROUNDUP(SUM(AD58:AD60),-3)</f>
        <v>48909000</v>
      </c>
      <c r="AE57" s="75" t="s">
        <v>103</v>
      </c>
      <c r="AF57" s="2"/>
    </row>
    <row r="58" spans="1:32" s="11" customFormat="1" ht="21" customHeight="1">
      <c r="A58" s="46"/>
      <c r="B58" s="47"/>
      <c r="C58" s="47"/>
      <c r="D58" s="210"/>
      <c r="E58" s="121"/>
      <c r="F58" s="121"/>
      <c r="G58" s="121"/>
      <c r="H58" s="121"/>
      <c r="I58" s="121"/>
      <c r="J58" s="121"/>
      <c r="K58" s="121"/>
      <c r="L58" s="121"/>
      <c r="M58" s="121"/>
      <c r="N58" s="72"/>
      <c r="O58" s="446" t="s">
        <v>701</v>
      </c>
      <c r="P58" s="144"/>
      <c r="Q58" s="144"/>
      <c r="R58" s="144"/>
      <c r="S58" s="252">
        <f>S44</f>
        <v>1015935700</v>
      </c>
      <c r="T58" s="247" t="s">
        <v>57</v>
      </c>
      <c r="U58" s="76" t="s">
        <v>58</v>
      </c>
      <c r="V58" s="80">
        <v>0.09</v>
      </c>
      <c r="W58" s="247" t="s">
        <v>76</v>
      </c>
      <c r="X58" s="81">
        <v>2</v>
      </c>
      <c r="Y58" s="78"/>
      <c r="Z58" s="78"/>
      <c r="AA58" s="247" t="s">
        <v>53</v>
      </c>
      <c r="AB58" s="143"/>
      <c r="AC58" s="70"/>
      <c r="AD58" s="70">
        <f>ROUND(S58*V58/X58,-3)</f>
        <v>45717000</v>
      </c>
      <c r="AE58" s="59" t="s">
        <v>68</v>
      </c>
      <c r="AF58" s="2"/>
    </row>
    <row r="59" spans="1:32" s="11" customFormat="1" ht="21" customHeight="1">
      <c r="A59" s="46"/>
      <c r="B59" s="47"/>
      <c r="C59" s="47"/>
      <c r="D59" s="210"/>
      <c r="E59" s="121"/>
      <c r="F59" s="121"/>
      <c r="G59" s="121"/>
      <c r="H59" s="121"/>
      <c r="I59" s="121"/>
      <c r="J59" s="121"/>
      <c r="K59" s="121"/>
      <c r="L59" s="121"/>
      <c r="M59" s="121"/>
      <c r="N59" s="72"/>
      <c r="O59" s="446" t="s">
        <v>709</v>
      </c>
      <c r="P59" s="144"/>
      <c r="Q59" s="144"/>
      <c r="R59" s="144"/>
      <c r="S59" s="252">
        <f>S46</f>
        <v>60479200</v>
      </c>
      <c r="T59" s="247" t="s">
        <v>57</v>
      </c>
      <c r="U59" s="76" t="s">
        <v>58</v>
      </c>
      <c r="V59" s="80">
        <v>0.09</v>
      </c>
      <c r="W59" s="247" t="s">
        <v>76</v>
      </c>
      <c r="X59" s="81">
        <v>2</v>
      </c>
      <c r="Y59" s="78"/>
      <c r="Z59" s="78"/>
      <c r="AA59" s="247" t="s">
        <v>53</v>
      </c>
      <c r="AB59" s="143"/>
      <c r="AC59" s="70"/>
      <c r="AD59" s="70">
        <f>ROUND(S59*V59/X59,-3)</f>
        <v>2722000</v>
      </c>
      <c r="AE59" s="59" t="s">
        <v>68</v>
      </c>
      <c r="AF59" s="2"/>
    </row>
    <row r="60" spans="1:32" s="11" customFormat="1" ht="21" customHeight="1">
      <c r="A60" s="46"/>
      <c r="B60" s="47"/>
      <c r="C60" s="47"/>
      <c r="D60" s="210"/>
      <c r="E60" s="121"/>
      <c r="F60" s="121"/>
      <c r="G60" s="121"/>
      <c r="H60" s="121"/>
      <c r="I60" s="121"/>
      <c r="J60" s="121"/>
      <c r="K60" s="121"/>
      <c r="L60" s="121"/>
      <c r="M60" s="121"/>
      <c r="N60" s="72"/>
      <c r="O60" s="446" t="s">
        <v>710</v>
      </c>
      <c r="P60" s="144"/>
      <c r="Q60" s="144"/>
      <c r="R60" s="144"/>
      <c r="S60" s="252">
        <v>10440000</v>
      </c>
      <c r="T60" s="247" t="s">
        <v>57</v>
      </c>
      <c r="U60" s="76" t="s">
        <v>58</v>
      </c>
      <c r="V60" s="80">
        <v>0.09</v>
      </c>
      <c r="W60" s="247" t="s">
        <v>76</v>
      </c>
      <c r="X60" s="81">
        <v>2</v>
      </c>
      <c r="Y60" s="78"/>
      <c r="Z60" s="78"/>
      <c r="AA60" s="247" t="s">
        <v>53</v>
      </c>
      <c r="AB60" s="143"/>
      <c r="AC60" s="70"/>
      <c r="AD60" s="70">
        <f t="shared" ref="AD60" si="4">ROUND(S60*V60/X60,-3)</f>
        <v>470000</v>
      </c>
      <c r="AE60" s="59" t="s">
        <v>68</v>
      </c>
      <c r="AF60" s="2"/>
    </row>
    <row r="61" spans="1:32" s="11" customFormat="1" ht="21" customHeight="1">
      <c r="A61" s="46"/>
      <c r="B61" s="47"/>
      <c r="C61" s="47"/>
      <c r="D61" s="210"/>
      <c r="E61" s="121"/>
      <c r="F61" s="121"/>
      <c r="G61" s="121"/>
      <c r="H61" s="121"/>
      <c r="I61" s="121"/>
      <c r="J61" s="121"/>
      <c r="K61" s="121"/>
      <c r="L61" s="121"/>
      <c r="M61" s="121"/>
      <c r="N61" s="72"/>
      <c r="O61" s="206"/>
      <c r="P61" s="51"/>
      <c r="Q61" s="51"/>
      <c r="R61" s="51"/>
      <c r="S61" s="51"/>
      <c r="T61" s="52"/>
      <c r="U61" s="52"/>
      <c r="V61" s="52"/>
      <c r="W61" s="52"/>
      <c r="X61" s="52"/>
      <c r="Y61" s="52"/>
      <c r="Z61" s="52"/>
      <c r="AA61" s="52"/>
      <c r="AB61" s="52"/>
      <c r="AC61" s="70"/>
      <c r="AD61" s="70"/>
      <c r="AE61" s="59"/>
      <c r="AF61" s="2"/>
    </row>
    <row r="62" spans="1:32" s="11" customFormat="1" ht="21" customHeight="1">
      <c r="A62" s="46"/>
      <c r="B62" s="47"/>
      <c r="C62" s="47"/>
      <c r="D62" s="210"/>
      <c r="E62" s="121"/>
      <c r="F62" s="121"/>
      <c r="G62" s="121"/>
      <c r="H62" s="121"/>
      <c r="I62" s="121"/>
      <c r="J62" s="121"/>
      <c r="K62" s="121"/>
      <c r="L62" s="121"/>
      <c r="M62" s="121"/>
      <c r="N62" s="72"/>
      <c r="O62" s="204" t="s">
        <v>151</v>
      </c>
      <c r="P62" s="51"/>
      <c r="Q62" s="51"/>
      <c r="R62" s="51"/>
      <c r="S62" s="51"/>
      <c r="T62" s="52"/>
      <c r="U62" s="52"/>
      <c r="V62" s="52"/>
      <c r="W62" s="87" t="s">
        <v>102</v>
      </c>
      <c r="X62" s="87"/>
      <c r="Y62" s="87"/>
      <c r="Z62" s="87"/>
      <c r="AA62" s="87"/>
      <c r="AB62" s="87"/>
      <c r="AC62" s="74" t="s">
        <v>104</v>
      </c>
      <c r="AD62" s="74">
        <f>ROUNDUP(SUM(AD63:AD65),-3)</f>
        <v>32008000</v>
      </c>
      <c r="AE62" s="75" t="s">
        <v>103</v>
      </c>
      <c r="AF62" s="2"/>
    </row>
    <row r="63" spans="1:32" s="11" customFormat="1" ht="21" customHeight="1">
      <c r="A63" s="46"/>
      <c r="B63" s="47"/>
      <c r="C63" s="47"/>
      <c r="D63" s="210"/>
      <c r="E63" s="121"/>
      <c r="F63" s="121"/>
      <c r="G63" s="121"/>
      <c r="H63" s="121"/>
      <c r="I63" s="121"/>
      <c r="J63" s="121"/>
      <c r="K63" s="121"/>
      <c r="L63" s="121"/>
      <c r="M63" s="121"/>
      <c r="N63" s="72"/>
      <c r="O63" s="446" t="s">
        <v>701</v>
      </c>
      <c r="P63" s="144"/>
      <c r="Q63" s="144"/>
      <c r="R63" s="144"/>
      <c r="S63" s="252">
        <f>S58</f>
        <v>1015935700</v>
      </c>
      <c r="T63" s="247" t="s">
        <v>57</v>
      </c>
      <c r="U63" s="76" t="s">
        <v>58</v>
      </c>
      <c r="V63" s="82">
        <v>5.8900000000000001E-2</v>
      </c>
      <c r="W63" s="247" t="s">
        <v>76</v>
      </c>
      <c r="X63" s="258">
        <v>2</v>
      </c>
      <c r="Y63" s="78"/>
      <c r="Z63" s="78"/>
      <c r="AA63" s="247" t="s">
        <v>53</v>
      </c>
      <c r="AB63" s="252"/>
      <c r="AC63" s="70"/>
      <c r="AD63" s="70">
        <f>ROUND(S63*V63/X63,-3)</f>
        <v>29919000</v>
      </c>
      <c r="AE63" s="59" t="s">
        <v>68</v>
      </c>
      <c r="AF63" s="2"/>
    </row>
    <row r="64" spans="1:32" s="11" customFormat="1" ht="21" customHeight="1">
      <c r="A64" s="46"/>
      <c r="B64" s="47"/>
      <c r="C64" s="47"/>
      <c r="D64" s="210"/>
      <c r="E64" s="121"/>
      <c r="F64" s="121"/>
      <c r="G64" s="121"/>
      <c r="H64" s="121"/>
      <c r="I64" s="121"/>
      <c r="J64" s="121"/>
      <c r="K64" s="121"/>
      <c r="L64" s="121"/>
      <c r="M64" s="121"/>
      <c r="N64" s="72"/>
      <c r="O64" s="446" t="s">
        <v>709</v>
      </c>
      <c r="P64" s="144"/>
      <c r="Q64" s="144"/>
      <c r="R64" s="144"/>
      <c r="S64" s="252">
        <f>S59</f>
        <v>60479200</v>
      </c>
      <c r="T64" s="143" t="s">
        <v>25</v>
      </c>
      <c r="U64" s="247" t="s">
        <v>26</v>
      </c>
      <c r="V64" s="82">
        <v>5.8900000000000001E-2</v>
      </c>
      <c r="W64" s="143" t="s">
        <v>251</v>
      </c>
      <c r="X64" s="247">
        <v>2</v>
      </c>
      <c r="Y64" s="143"/>
      <c r="Z64" s="143"/>
      <c r="AA64" s="143" t="s">
        <v>27</v>
      </c>
      <c r="AB64" s="143"/>
      <c r="AC64" s="70"/>
      <c r="AD64" s="70">
        <f>ROUNDUP(S64*V64/X64,-2)</f>
        <v>1781200</v>
      </c>
      <c r="AE64" s="59" t="s">
        <v>68</v>
      </c>
      <c r="AF64" s="2"/>
    </row>
    <row r="65" spans="1:32" s="11" customFormat="1" ht="21" customHeight="1">
      <c r="A65" s="46"/>
      <c r="B65" s="47"/>
      <c r="C65" s="47"/>
      <c r="D65" s="210"/>
      <c r="E65" s="121"/>
      <c r="F65" s="121"/>
      <c r="G65" s="121"/>
      <c r="H65" s="121"/>
      <c r="I65" s="121"/>
      <c r="J65" s="121"/>
      <c r="K65" s="121"/>
      <c r="L65" s="121"/>
      <c r="M65" s="121"/>
      <c r="N65" s="72"/>
      <c r="O65" s="206" t="s">
        <v>155</v>
      </c>
      <c r="P65" s="144"/>
      <c r="Q65" s="144"/>
      <c r="R65" s="144"/>
      <c r="S65" s="252">
        <v>10440000</v>
      </c>
      <c r="T65" s="143" t="s">
        <v>25</v>
      </c>
      <c r="U65" s="247" t="s">
        <v>26</v>
      </c>
      <c r="V65" s="82">
        <v>5.8900000000000001E-2</v>
      </c>
      <c r="W65" s="143" t="s">
        <v>251</v>
      </c>
      <c r="X65" s="247">
        <v>2</v>
      </c>
      <c r="Y65" s="143"/>
      <c r="Z65" s="143"/>
      <c r="AA65" s="143" t="s">
        <v>27</v>
      </c>
      <c r="AB65" s="143"/>
      <c r="AC65" s="70"/>
      <c r="AD65" s="70">
        <f t="shared" ref="AD65" si="5">ROUND(S65*V65/X65,-3)</f>
        <v>307000</v>
      </c>
      <c r="AE65" s="59" t="s">
        <v>68</v>
      </c>
      <c r="AF65" s="2"/>
    </row>
    <row r="66" spans="1:32" s="11" customFormat="1" ht="21" customHeight="1">
      <c r="A66" s="46"/>
      <c r="B66" s="47"/>
      <c r="C66" s="47"/>
      <c r="D66" s="210"/>
      <c r="E66" s="121"/>
      <c r="F66" s="121"/>
      <c r="G66" s="121"/>
      <c r="H66" s="121"/>
      <c r="I66" s="121"/>
      <c r="J66" s="121"/>
      <c r="K66" s="121"/>
      <c r="L66" s="121"/>
      <c r="M66" s="121"/>
      <c r="N66" s="72"/>
      <c r="O66" s="206"/>
      <c r="P66" s="51"/>
      <c r="Q66" s="51"/>
      <c r="R66" s="51"/>
      <c r="S66" s="51"/>
      <c r="T66" s="52"/>
      <c r="U66" s="52"/>
      <c r="V66" s="52"/>
      <c r="W66" s="52"/>
      <c r="X66" s="52"/>
      <c r="Y66" s="52"/>
      <c r="Z66" s="52"/>
      <c r="AA66" s="52"/>
      <c r="AB66" s="52"/>
      <c r="AC66" s="70"/>
      <c r="AD66" s="70"/>
      <c r="AE66" s="59"/>
      <c r="AF66" s="2"/>
    </row>
    <row r="67" spans="1:32" s="11" customFormat="1" ht="21" customHeight="1">
      <c r="A67" s="46"/>
      <c r="B67" s="47"/>
      <c r="C67" s="47"/>
      <c r="D67" s="210"/>
      <c r="E67" s="121"/>
      <c r="F67" s="121"/>
      <c r="G67" s="121"/>
      <c r="H67" s="121"/>
      <c r="I67" s="121"/>
      <c r="J67" s="121"/>
      <c r="K67" s="121"/>
      <c r="L67" s="121"/>
      <c r="M67" s="121"/>
      <c r="N67" s="72"/>
      <c r="O67" s="204" t="s">
        <v>152</v>
      </c>
      <c r="P67" s="51"/>
      <c r="Q67" s="51"/>
      <c r="R67" s="51"/>
      <c r="S67" s="51"/>
      <c r="T67" s="52"/>
      <c r="U67" s="52"/>
      <c r="V67" s="52"/>
      <c r="W67" s="87" t="s">
        <v>102</v>
      </c>
      <c r="X67" s="87"/>
      <c r="Y67" s="87"/>
      <c r="Z67" s="87"/>
      <c r="AA67" s="87"/>
      <c r="AB67" s="87"/>
      <c r="AC67" s="74" t="s">
        <v>104</v>
      </c>
      <c r="AD67" s="74">
        <f>ROUNDUP(SUM(AD68:AD70),-3)</f>
        <v>2097000</v>
      </c>
      <c r="AE67" s="75" t="s">
        <v>103</v>
      </c>
      <c r="AF67" s="2"/>
    </row>
    <row r="68" spans="1:32" s="11" customFormat="1" ht="21" customHeight="1">
      <c r="A68" s="46"/>
      <c r="B68" s="47"/>
      <c r="C68" s="47"/>
      <c r="D68" s="210"/>
      <c r="E68" s="121"/>
      <c r="F68" s="121"/>
      <c r="G68" s="121"/>
      <c r="H68" s="121"/>
      <c r="I68" s="121"/>
      <c r="J68" s="121"/>
      <c r="K68" s="121"/>
      <c r="L68" s="121"/>
      <c r="M68" s="121"/>
      <c r="N68" s="72"/>
      <c r="O68" s="446" t="s">
        <v>701</v>
      </c>
      <c r="P68" s="144"/>
      <c r="Q68" s="144"/>
      <c r="R68" s="144"/>
      <c r="S68" s="259">
        <f>AD63</f>
        <v>29919000</v>
      </c>
      <c r="T68" s="247" t="s">
        <v>57</v>
      </c>
      <c r="U68" s="76" t="s">
        <v>58</v>
      </c>
      <c r="V68" s="82">
        <v>6.5500000000000003E-2</v>
      </c>
      <c r="W68" s="83"/>
      <c r="X68" s="84"/>
      <c r="Y68" s="85"/>
      <c r="Z68" s="85"/>
      <c r="AA68" s="247" t="s">
        <v>53</v>
      </c>
      <c r="AB68" s="252"/>
      <c r="AC68" s="70"/>
      <c r="AD68" s="70">
        <f>ROUND(S68*V68,-3)</f>
        <v>1960000</v>
      </c>
      <c r="AE68" s="59" t="s">
        <v>68</v>
      </c>
      <c r="AF68" s="2"/>
    </row>
    <row r="69" spans="1:32" s="11" customFormat="1" ht="21" customHeight="1">
      <c r="A69" s="46"/>
      <c r="B69" s="47"/>
      <c r="C69" s="47"/>
      <c r="D69" s="210"/>
      <c r="E69" s="121"/>
      <c r="F69" s="121"/>
      <c r="G69" s="121"/>
      <c r="H69" s="121"/>
      <c r="I69" s="121"/>
      <c r="J69" s="121"/>
      <c r="K69" s="121"/>
      <c r="L69" s="121"/>
      <c r="M69" s="121"/>
      <c r="N69" s="72"/>
      <c r="O69" s="446" t="s">
        <v>709</v>
      </c>
      <c r="P69" s="144"/>
      <c r="Q69" s="144"/>
      <c r="R69" s="144"/>
      <c r="S69" s="259">
        <f>AD64</f>
        <v>1781200</v>
      </c>
      <c r="T69" s="247" t="s">
        <v>57</v>
      </c>
      <c r="U69" s="76" t="s">
        <v>58</v>
      </c>
      <c r="V69" s="82">
        <v>6.5500000000000003E-2</v>
      </c>
      <c r="W69" s="83"/>
      <c r="X69" s="84"/>
      <c r="Y69" s="85"/>
      <c r="Z69" s="85"/>
      <c r="AA69" s="247" t="s">
        <v>53</v>
      </c>
      <c r="AB69" s="252"/>
      <c r="AC69" s="70"/>
      <c r="AD69" s="70">
        <f>ROUNDUP(S69*V69,-3)</f>
        <v>117000</v>
      </c>
      <c r="AE69" s="59" t="s">
        <v>68</v>
      </c>
      <c r="AF69" s="2"/>
    </row>
    <row r="70" spans="1:32" s="11" customFormat="1" ht="21" customHeight="1">
      <c r="A70" s="46"/>
      <c r="B70" s="47"/>
      <c r="C70" s="47"/>
      <c r="D70" s="210"/>
      <c r="E70" s="121"/>
      <c r="F70" s="121"/>
      <c r="G70" s="121"/>
      <c r="H70" s="121"/>
      <c r="I70" s="121"/>
      <c r="J70" s="121"/>
      <c r="K70" s="121"/>
      <c r="L70" s="121"/>
      <c r="M70" s="121"/>
      <c r="N70" s="72"/>
      <c r="O70" s="206" t="s">
        <v>155</v>
      </c>
      <c r="P70" s="144"/>
      <c r="Q70" s="144"/>
      <c r="R70" s="144"/>
      <c r="S70" s="259">
        <f>AD65</f>
        <v>307000</v>
      </c>
      <c r="T70" s="247" t="s">
        <v>57</v>
      </c>
      <c r="U70" s="76" t="s">
        <v>58</v>
      </c>
      <c r="V70" s="82">
        <v>6.5500000000000003E-2</v>
      </c>
      <c r="W70" s="83"/>
      <c r="X70" s="84"/>
      <c r="Y70" s="85"/>
      <c r="Z70" s="85"/>
      <c r="AA70" s="247" t="s">
        <v>53</v>
      </c>
      <c r="AB70" s="252"/>
      <c r="AC70" s="70"/>
      <c r="AD70" s="70">
        <f>ROUND(S70*V70,-3)</f>
        <v>20000</v>
      </c>
      <c r="AE70" s="59" t="s">
        <v>68</v>
      </c>
      <c r="AF70" s="2"/>
    </row>
    <row r="71" spans="1:32" s="11" customFormat="1" ht="21" customHeight="1">
      <c r="A71" s="46"/>
      <c r="B71" s="47"/>
      <c r="C71" s="47"/>
      <c r="D71" s="210"/>
      <c r="E71" s="121"/>
      <c r="F71" s="121"/>
      <c r="G71" s="121"/>
      <c r="H71" s="121"/>
      <c r="I71" s="121"/>
      <c r="J71" s="121"/>
      <c r="K71" s="121"/>
      <c r="L71" s="121"/>
      <c r="M71" s="121"/>
      <c r="N71" s="72"/>
      <c r="O71" s="206"/>
      <c r="P71" s="51"/>
      <c r="Q71" s="51"/>
      <c r="R71" s="51"/>
      <c r="S71" s="51"/>
      <c r="T71" s="52"/>
      <c r="U71" s="52"/>
      <c r="V71" s="52"/>
      <c r="W71" s="52"/>
      <c r="X71" s="52"/>
      <c r="Y71" s="52"/>
      <c r="Z71" s="52"/>
      <c r="AA71" s="52"/>
      <c r="AB71" s="52"/>
      <c r="AC71" s="70"/>
      <c r="AD71" s="70"/>
      <c r="AE71" s="59"/>
      <c r="AF71" s="2"/>
    </row>
    <row r="72" spans="1:32" s="11" customFormat="1" ht="21" customHeight="1">
      <c r="A72" s="46"/>
      <c r="B72" s="47"/>
      <c r="C72" s="47"/>
      <c r="D72" s="210"/>
      <c r="E72" s="121"/>
      <c r="F72" s="121"/>
      <c r="G72" s="121"/>
      <c r="H72" s="121"/>
      <c r="I72" s="121"/>
      <c r="J72" s="121"/>
      <c r="K72" s="121"/>
      <c r="L72" s="121"/>
      <c r="M72" s="121"/>
      <c r="N72" s="72"/>
      <c r="O72" s="204" t="s">
        <v>153</v>
      </c>
      <c r="P72" s="144"/>
      <c r="Q72" s="144"/>
      <c r="R72" s="144"/>
      <c r="S72" s="51"/>
      <c r="T72" s="52"/>
      <c r="U72" s="52"/>
      <c r="V72" s="52"/>
      <c r="W72" s="87" t="s">
        <v>102</v>
      </c>
      <c r="X72" s="87"/>
      <c r="Y72" s="87"/>
      <c r="Z72" s="87"/>
      <c r="AA72" s="87"/>
      <c r="AB72" s="87"/>
      <c r="AC72" s="74" t="s">
        <v>104</v>
      </c>
      <c r="AD72" s="74">
        <f>ROUNDUP(SUM(AD73:AD75),-3)</f>
        <v>8695000</v>
      </c>
      <c r="AE72" s="75" t="s">
        <v>103</v>
      </c>
      <c r="AF72" s="2"/>
    </row>
    <row r="73" spans="1:32" s="11" customFormat="1" ht="21" customHeight="1">
      <c r="A73" s="46"/>
      <c r="B73" s="47"/>
      <c r="C73" s="47"/>
      <c r="D73" s="210"/>
      <c r="E73" s="121"/>
      <c r="F73" s="121"/>
      <c r="G73" s="121"/>
      <c r="H73" s="121"/>
      <c r="I73" s="121"/>
      <c r="J73" s="121"/>
      <c r="K73" s="121"/>
      <c r="L73" s="121"/>
      <c r="M73" s="121"/>
      <c r="N73" s="72"/>
      <c r="O73" s="446" t="s">
        <v>701</v>
      </c>
      <c r="P73" s="144"/>
      <c r="Q73" s="144"/>
      <c r="R73" s="144"/>
      <c r="S73" s="252">
        <f>S63</f>
        <v>1015935700</v>
      </c>
      <c r="T73" s="247" t="s">
        <v>57</v>
      </c>
      <c r="U73" s="76" t="s">
        <v>58</v>
      </c>
      <c r="V73" s="82">
        <v>8.0000000000000002E-3</v>
      </c>
      <c r="W73" s="76"/>
      <c r="X73" s="86"/>
      <c r="Y73" s="78"/>
      <c r="Z73" s="78"/>
      <c r="AA73" s="247" t="s">
        <v>53</v>
      </c>
      <c r="AB73" s="252"/>
      <c r="AC73" s="70"/>
      <c r="AD73" s="70">
        <f>ROUND(S73*V73,-3)</f>
        <v>8127000</v>
      </c>
      <c r="AE73" s="59" t="s">
        <v>68</v>
      </c>
      <c r="AF73" s="2"/>
    </row>
    <row r="74" spans="1:32" s="11" customFormat="1" ht="21" customHeight="1">
      <c r="A74" s="46"/>
      <c r="B74" s="47"/>
      <c r="C74" s="47"/>
      <c r="D74" s="210"/>
      <c r="E74" s="121"/>
      <c r="F74" s="121"/>
      <c r="G74" s="121"/>
      <c r="H74" s="121"/>
      <c r="I74" s="121"/>
      <c r="J74" s="121"/>
      <c r="K74" s="121"/>
      <c r="L74" s="121"/>
      <c r="M74" s="121"/>
      <c r="N74" s="72"/>
      <c r="O74" s="446" t="s">
        <v>709</v>
      </c>
      <c r="P74" s="144"/>
      <c r="Q74" s="144"/>
      <c r="R74" s="144"/>
      <c r="S74" s="252">
        <f>S64</f>
        <v>60479200</v>
      </c>
      <c r="T74" s="247" t="s">
        <v>57</v>
      </c>
      <c r="U74" s="76" t="s">
        <v>58</v>
      </c>
      <c r="V74" s="82">
        <v>8.0000000000000002E-3</v>
      </c>
      <c r="W74" s="76"/>
      <c r="X74" s="86"/>
      <c r="Y74" s="78"/>
      <c r="Z74" s="78"/>
      <c r="AA74" s="247" t="s">
        <v>53</v>
      </c>
      <c r="AB74" s="252"/>
      <c r="AC74" s="70"/>
      <c r="AD74" s="70">
        <f>ROUND(S74*V74,-3)</f>
        <v>484000</v>
      </c>
      <c r="AE74" s="59" t="s">
        <v>68</v>
      </c>
      <c r="AF74" s="2"/>
    </row>
    <row r="75" spans="1:32" s="11" customFormat="1" ht="21" customHeight="1">
      <c r="A75" s="46"/>
      <c r="B75" s="47"/>
      <c r="C75" s="47"/>
      <c r="D75" s="210"/>
      <c r="E75" s="121"/>
      <c r="F75" s="121"/>
      <c r="G75" s="121"/>
      <c r="H75" s="121"/>
      <c r="I75" s="121"/>
      <c r="J75" s="121"/>
      <c r="K75" s="121"/>
      <c r="L75" s="121"/>
      <c r="M75" s="121"/>
      <c r="N75" s="72"/>
      <c r="O75" s="206" t="s">
        <v>155</v>
      </c>
      <c r="P75" s="144"/>
      <c r="Q75" s="144"/>
      <c r="R75" s="144"/>
      <c r="S75" s="252">
        <v>10440000</v>
      </c>
      <c r="T75" s="247" t="s">
        <v>57</v>
      </c>
      <c r="U75" s="76" t="s">
        <v>58</v>
      </c>
      <c r="V75" s="82">
        <v>8.0000000000000002E-3</v>
      </c>
      <c r="W75" s="76"/>
      <c r="X75" s="86"/>
      <c r="Y75" s="78"/>
      <c r="Z75" s="78"/>
      <c r="AA75" s="247" t="s">
        <v>53</v>
      </c>
      <c r="AB75" s="252"/>
      <c r="AC75" s="70"/>
      <c r="AD75" s="70">
        <f>ROUND(S75*V75,-3)</f>
        <v>84000</v>
      </c>
      <c r="AE75" s="59" t="s">
        <v>68</v>
      </c>
      <c r="AF75" s="2"/>
    </row>
    <row r="76" spans="1:32" s="11" customFormat="1" ht="21" customHeight="1">
      <c r="A76" s="46"/>
      <c r="B76" s="47"/>
      <c r="C76" s="47"/>
      <c r="D76" s="210"/>
      <c r="E76" s="121"/>
      <c r="F76" s="121"/>
      <c r="G76" s="121"/>
      <c r="H76" s="121"/>
      <c r="I76" s="121"/>
      <c r="J76" s="121"/>
      <c r="K76" s="121"/>
      <c r="L76" s="121"/>
      <c r="M76" s="121"/>
      <c r="N76" s="72"/>
      <c r="O76" s="51"/>
      <c r="P76" s="51"/>
      <c r="Q76" s="51"/>
      <c r="R76" s="51"/>
      <c r="S76" s="51"/>
      <c r="T76" s="52"/>
      <c r="U76" s="52"/>
      <c r="V76" s="52"/>
      <c r="W76" s="52"/>
      <c r="X76" s="52"/>
      <c r="Y76" s="52"/>
      <c r="Z76" s="52"/>
      <c r="AA76" s="52"/>
      <c r="AB76" s="52"/>
      <c r="AC76" s="70"/>
      <c r="AD76" s="70"/>
      <c r="AE76" s="59"/>
      <c r="AF76" s="2"/>
    </row>
    <row r="77" spans="1:32" s="11" customFormat="1" ht="21" customHeight="1">
      <c r="A77" s="46"/>
      <c r="B77" s="47"/>
      <c r="C77" s="47"/>
      <c r="D77" s="210"/>
      <c r="E77" s="121"/>
      <c r="F77" s="121"/>
      <c r="G77" s="121"/>
      <c r="H77" s="121"/>
      <c r="I77" s="121"/>
      <c r="J77" s="121"/>
      <c r="K77" s="121"/>
      <c r="L77" s="121"/>
      <c r="M77" s="121"/>
      <c r="N77" s="72"/>
      <c r="O77" s="204" t="s">
        <v>154</v>
      </c>
      <c r="P77" s="144"/>
      <c r="Q77" s="144"/>
      <c r="R77" s="144"/>
      <c r="S77" s="51"/>
      <c r="T77" s="52"/>
      <c r="U77" s="52"/>
      <c r="V77" s="52"/>
      <c r="W77" s="87" t="s">
        <v>102</v>
      </c>
      <c r="X77" s="87"/>
      <c r="Y77" s="87"/>
      <c r="Z77" s="87"/>
      <c r="AA77" s="87"/>
      <c r="AB77" s="87"/>
      <c r="AC77" s="74" t="s">
        <v>104</v>
      </c>
      <c r="AD77" s="74">
        <f>ROUNDUP(SUM(AD78:AD80),-3)</f>
        <v>6238000</v>
      </c>
      <c r="AE77" s="75" t="s">
        <v>103</v>
      </c>
      <c r="AF77" s="2"/>
    </row>
    <row r="78" spans="1:32" s="11" customFormat="1" ht="21" customHeight="1">
      <c r="A78" s="46"/>
      <c r="B78" s="47"/>
      <c r="C78" s="47"/>
      <c r="D78" s="210"/>
      <c r="E78" s="121"/>
      <c r="F78" s="121"/>
      <c r="G78" s="121"/>
      <c r="H78" s="121"/>
      <c r="I78" s="121"/>
      <c r="J78" s="121"/>
      <c r="K78" s="121"/>
      <c r="L78" s="121"/>
      <c r="M78" s="121"/>
      <c r="N78" s="72"/>
      <c r="O78" s="446" t="s">
        <v>701</v>
      </c>
      <c r="P78" s="144"/>
      <c r="Q78" s="144"/>
      <c r="R78" s="144"/>
      <c r="S78" s="252">
        <f>S73</f>
        <v>1015935700</v>
      </c>
      <c r="T78" s="247" t="s">
        <v>57</v>
      </c>
      <c r="U78" s="76" t="s">
        <v>58</v>
      </c>
      <c r="V78" s="410">
        <v>5.7400000000000003E-3</v>
      </c>
      <c r="W78" s="76"/>
      <c r="X78" s="86"/>
      <c r="Y78" s="78"/>
      <c r="Z78" s="78"/>
      <c r="AA78" s="247" t="s">
        <v>53</v>
      </c>
      <c r="AB78" s="252"/>
      <c r="AC78" s="70"/>
      <c r="AD78" s="70">
        <f>ROUND(S78*V78,-3)</f>
        <v>5831000</v>
      </c>
      <c r="AE78" s="59" t="s">
        <v>68</v>
      </c>
      <c r="AF78" s="2"/>
    </row>
    <row r="79" spans="1:32" s="11" customFormat="1" ht="21" customHeight="1">
      <c r="A79" s="46"/>
      <c r="B79" s="47"/>
      <c r="C79" s="47"/>
      <c r="D79" s="210"/>
      <c r="E79" s="121"/>
      <c r="F79" s="121"/>
      <c r="G79" s="121"/>
      <c r="H79" s="121"/>
      <c r="I79" s="121"/>
      <c r="J79" s="121"/>
      <c r="K79" s="121"/>
      <c r="L79" s="121"/>
      <c r="M79" s="121"/>
      <c r="N79" s="72"/>
      <c r="O79" s="446" t="s">
        <v>709</v>
      </c>
      <c r="P79" s="144"/>
      <c r="Q79" s="144"/>
      <c r="R79" s="144"/>
      <c r="S79" s="252">
        <f>S74</f>
        <v>60479200</v>
      </c>
      <c r="T79" s="247" t="s">
        <v>57</v>
      </c>
      <c r="U79" s="76" t="s">
        <v>58</v>
      </c>
      <c r="V79" s="410">
        <v>5.7400000000000003E-3</v>
      </c>
      <c r="W79" s="76"/>
      <c r="X79" s="86"/>
      <c r="Y79" s="78"/>
      <c r="Z79" s="78"/>
      <c r="AA79" s="247" t="s">
        <v>53</v>
      </c>
      <c r="AB79" s="252"/>
      <c r="AC79" s="70"/>
      <c r="AD79" s="70">
        <f>ROUND(S79*V79,-3)</f>
        <v>347000</v>
      </c>
      <c r="AE79" s="59" t="s">
        <v>68</v>
      </c>
      <c r="AF79" s="2"/>
    </row>
    <row r="80" spans="1:32" s="11" customFormat="1" ht="21" customHeight="1">
      <c r="A80" s="46"/>
      <c r="B80" s="47"/>
      <c r="C80" s="47"/>
      <c r="D80" s="210"/>
      <c r="E80" s="121"/>
      <c r="F80" s="121"/>
      <c r="G80" s="121"/>
      <c r="H80" s="121"/>
      <c r="I80" s="121"/>
      <c r="J80" s="121"/>
      <c r="K80" s="121"/>
      <c r="L80" s="121"/>
      <c r="M80" s="121"/>
      <c r="N80" s="72"/>
      <c r="O80" s="206" t="s">
        <v>155</v>
      </c>
      <c r="P80" s="144"/>
      <c r="Q80" s="144"/>
      <c r="R80" s="144"/>
      <c r="S80" s="252">
        <v>10440000</v>
      </c>
      <c r="T80" s="247" t="s">
        <v>57</v>
      </c>
      <c r="U80" s="76" t="s">
        <v>58</v>
      </c>
      <c r="V80" s="410">
        <v>5.7400000000000003E-3</v>
      </c>
      <c r="W80" s="76"/>
      <c r="X80" s="86"/>
      <c r="Y80" s="78"/>
      <c r="Z80" s="78"/>
      <c r="AA80" s="247" t="s">
        <v>53</v>
      </c>
      <c r="AB80" s="252"/>
      <c r="AC80" s="70"/>
      <c r="AD80" s="70">
        <f>ROUNDUP(S80*V80,-3)</f>
        <v>60000</v>
      </c>
      <c r="AE80" s="59" t="s">
        <v>68</v>
      </c>
      <c r="AF80" s="2"/>
    </row>
    <row r="81" spans="1:32" s="11" customFormat="1" ht="21" customHeight="1">
      <c r="A81" s="46"/>
      <c r="B81" s="47"/>
      <c r="C81" s="47"/>
      <c r="D81" s="210"/>
      <c r="E81" s="121"/>
      <c r="F81" s="121"/>
      <c r="G81" s="121"/>
      <c r="H81" s="121"/>
      <c r="I81" s="121"/>
      <c r="J81" s="121"/>
      <c r="K81" s="121"/>
      <c r="L81" s="121"/>
      <c r="M81" s="121"/>
      <c r="N81" s="72"/>
      <c r="O81" s="206"/>
      <c r="P81" s="51"/>
      <c r="Q81" s="51"/>
      <c r="R81" s="51"/>
      <c r="S81" s="51"/>
      <c r="T81" s="52"/>
      <c r="U81" s="52"/>
      <c r="V81" s="52"/>
      <c r="W81" s="52"/>
      <c r="X81" s="52"/>
      <c r="Y81" s="52"/>
      <c r="Z81" s="52"/>
      <c r="AA81" s="52"/>
      <c r="AB81" s="52"/>
      <c r="AC81" s="70"/>
      <c r="AD81" s="70"/>
      <c r="AE81" s="59"/>
      <c r="AF81" s="2"/>
    </row>
    <row r="82" spans="1:32" s="11" customFormat="1" ht="21" customHeight="1">
      <c r="A82" s="46"/>
      <c r="B82" s="47"/>
      <c r="C82" s="37" t="s">
        <v>106</v>
      </c>
      <c r="D82" s="212">
        <v>20877</v>
      </c>
      <c r="E82" s="127">
        <f>ROUND(AD82/1000,0)</f>
        <v>21697</v>
      </c>
      <c r="F82" s="127">
        <v>0</v>
      </c>
      <c r="G82" s="127">
        <f>AD90/1000</f>
        <v>3200</v>
      </c>
      <c r="H82" s="127">
        <v>0</v>
      </c>
      <c r="I82" s="127">
        <f>SUM(AD89,AD97:AD99)/1000</f>
        <v>1186</v>
      </c>
      <c r="J82" s="127">
        <v>0</v>
      </c>
      <c r="K82" s="127">
        <f>SUM(AD83:AD85,AD87:AD88,AD91,AD93,AD94)/1000</f>
        <v>6960</v>
      </c>
      <c r="L82" s="127">
        <f>SUM(AD86,AD92,AD95,AD96)/1000</f>
        <v>10351</v>
      </c>
      <c r="M82" s="126">
        <f>E82-D82</f>
        <v>820</v>
      </c>
      <c r="N82" s="134">
        <f>IF(D82=0,0,M82/D82)</f>
        <v>3.9277673995305837E-2</v>
      </c>
      <c r="O82" s="107" t="s">
        <v>107</v>
      </c>
      <c r="P82" s="232"/>
      <c r="Q82" s="103"/>
      <c r="R82" s="103"/>
      <c r="S82" s="103"/>
      <c r="T82" s="97"/>
      <c r="U82" s="97"/>
      <c r="V82" s="97"/>
      <c r="W82" s="233" t="s">
        <v>220</v>
      </c>
      <c r="X82" s="233"/>
      <c r="Y82" s="233"/>
      <c r="Z82" s="233"/>
      <c r="AA82" s="233"/>
      <c r="AB82" s="233"/>
      <c r="AC82" s="235"/>
      <c r="AD82" s="235">
        <f>SUM(AD83:AD99)</f>
        <v>21697000</v>
      </c>
      <c r="AE82" s="234" t="s">
        <v>25</v>
      </c>
      <c r="AF82" s="21"/>
    </row>
    <row r="83" spans="1:32" s="11" customFormat="1" ht="21" customHeight="1">
      <c r="A83" s="46"/>
      <c r="B83" s="47"/>
      <c r="C83" s="47" t="s">
        <v>223</v>
      </c>
      <c r="D83" s="210"/>
      <c r="E83" s="121"/>
      <c r="F83" s="121"/>
      <c r="G83" s="121"/>
      <c r="H83" s="121"/>
      <c r="I83" s="121"/>
      <c r="J83" s="121"/>
      <c r="K83" s="121"/>
      <c r="L83" s="121"/>
      <c r="M83" s="121"/>
      <c r="N83" s="72"/>
      <c r="O83" s="179" t="s">
        <v>169</v>
      </c>
      <c r="P83" s="144"/>
      <c r="Q83" s="143"/>
      <c r="R83" s="143"/>
      <c r="S83" s="143">
        <v>20000</v>
      </c>
      <c r="T83" s="143" t="s">
        <v>68</v>
      </c>
      <c r="U83" s="76" t="s">
        <v>58</v>
      </c>
      <c r="V83" s="143">
        <v>34</v>
      </c>
      <c r="W83" s="143" t="s">
        <v>78</v>
      </c>
      <c r="X83" s="143"/>
      <c r="Y83" s="143"/>
      <c r="Z83" s="143"/>
      <c r="AA83" s="143" t="s">
        <v>77</v>
      </c>
      <c r="AB83" s="275" t="s">
        <v>320</v>
      </c>
      <c r="AC83" s="70"/>
      <c r="AD83" s="70">
        <f>S83*V83</f>
        <v>680000</v>
      </c>
      <c r="AE83" s="59" t="s">
        <v>57</v>
      </c>
      <c r="AF83" s="2"/>
    </row>
    <row r="84" spans="1:32" s="11" customFormat="1" ht="21" customHeight="1">
      <c r="A84" s="46"/>
      <c r="B84" s="47"/>
      <c r="C84" s="47"/>
      <c r="D84" s="210"/>
      <c r="E84" s="121"/>
      <c r="F84" s="121"/>
      <c r="G84" s="121"/>
      <c r="H84" s="121"/>
      <c r="I84" s="121"/>
      <c r="J84" s="121"/>
      <c r="K84" s="121"/>
      <c r="L84" s="121"/>
      <c r="M84" s="121"/>
      <c r="N84" s="72"/>
      <c r="O84" s="144" t="s">
        <v>84</v>
      </c>
      <c r="P84" s="144"/>
      <c r="Q84" s="143"/>
      <c r="R84" s="143"/>
      <c r="S84" s="143">
        <v>100000</v>
      </c>
      <c r="T84" s="143" t="s">
        <v>68</v>
      </c>
      <c r="U84" s="76" t="s">
        <v>58</v>
      </c>
      <c r="V84" s="143">
        <v>1</v>
      </c>
      <c r="W84" s="143" t="s">
        <v>78</v>
      </c>
      <c r="X84" s="76" t="s">
        <v>58</v>
      </c>
      <c r="Y84" s="143">
        <v>12</v>
      </c>
      <c r="Z84" s="143" t="s">
        <v>29</v>
      </c>
      <c r="AA84" s="143" t="s">
        <v>77</v>
      </c>
      <c r="AB84" s="143" t="s">
        <v>108</v>
      </c>
      <c r="AC84" s="70"/>
      <c r="AD84" s="70">
        <f>S84*V84*Y84</f>
        <v>1200000</v>
      </c>
      <c r="AE84" s="59" t="s">
        <v>68</v>
      </c>
      <c r="AF84" s="2"/>
    </row>
    <row r="85" spans="1:32" s="11" customFormat="1" ht="21" customHeight="1">
      <c r="A85" s="46"/>
      <c r="B85" s="47"/>
      <c r="C85" s="47"/>
      <c r="D85" s="210"/>
      <c r="E85" s="121"/>
      <c r="F85" s="121"/>
      <c r="G85" s="121"/>
      <c r="H85" s="121"/>
      <c r="I85" s="121"/>
      <c r="J85" s="121"/>
      <c r="K85" s="121"/>
      <c r="L85" s="121"/>
      <c r="M85" s="121"/>
      <c r="N85" s="72"/>
      <c r="O85" s="144" t="s">
        <v>85</v>
      </c>
      <c r="P85" s="144"/>
      <c r="Q85" s="143"/>
      <c r="R85" s="143"/>
      <c r="S85" s="143">
        <v>300000</v>
      </c>
      <c r="T85" s="143" t="s">
        <v>57</v>
      </c>
      <c r="U85" s="76" t="s">
        <v>58</v>
      </c>
      <c r="V85" s="143">
        <v>2</v>
      </c>
      <c r="W85" s="143" t="s">
        <v>86</v>
      </c>
      <c r="X85" s="143"/>
      <c r="Y85" s="143"/>
      <c r="Z85" s="143"/>
      <c r="AA85" s="143" t="s">
        <v>77</v>
      </c>
      <c r="AB85" s="143" t="s">
        <v>108</v>
      </c>
      <c r="AC85" s="70"/>
      <c r="AD85" s="70">
        <f>S85*V85</f>
        <v>600000</v>
      </c>
      <c r="AE85" s="59" t="s">
        <v>57</v>
      </c>
      <c r="AF85" s="2"/>
    </row>
    <row r="86" spans="1:32" s="11" customFormat="1" ht="21" customHeight="1">
      <c r="A86" s="46"/>
      <c r="B86" s="47"/>
      <c r="C86" s="47"/>
      <c r="D86" s="210"/>
      <c r="E86" s="121"/>
      <c r="F86" s="121"/>
      <c r="G86" s="121"/>
      <c r="H86" s="121"/>
      <c r="I86" s="121"/>
      <c r="J86" s="121"/>
      <c r="K86" s="121"/>
      <c r="L86" s="121"/>
      <c r="M86" s="121"/>
      <c r="N86" s="72"/>
      <c r="O86" s="273" t="s">
        <v>308</v>
      </c>
      <c r="P86" s="144"/>
      <c r="Q86" s="144"/>
      <c r="R86" s="144"/>
      <c r="S86" s="143">
        <v>20000</v>
      </c>
      <c r="T86" s="143" t="s">
        <v>68</v>
      </c>
      <c r="U86" s="76" t="s">
        <v>58</v>
      </c>
      <c r="V86" s="143">
        <v>35</v>
      </c>
      <c r="W86" s="143" t="s">
        <v>78</v>
      </c>
      <c r="X86" s="76" t="s">
        <v>58</v>
      </c>
      <c r="Y86" s="143">
        <v>6</v>
      </c>
      <c r="Z86" s="143" t="s">
        <v>79</v>
      </c>
      <c r="AA86" s="143" t="s">
        <v>77</v>
      </c>
      <c r="AB86" s="426" t="s">
        <v>156</v>
      </c>
      <c r="AC86" s="77"/>
      <c r="AD86" s="143">
        <f>S86*V86*Y86</f>
        <v>4200000</v>
      </c>
      <c r="AE86" s="101" t="s">
        <v>25</v>
      </c>
      <c r="AF86" s="2"/>
    </row>
    <row r="87" spans="1:32" s="11" customFormat="1" ht="21" customHeight="1">
      <c r="A87" s="46"/>
      <c r="B87" s="47"/>
      <c r="C87" s="47"/>
      <c r="D87" s="210"/>
      <c r="E87" s="121"/>
      <c r="F87" s="121"/>
      <c r="G87" s="121"/>
      <c r="H87" s="121"/>
      <c r="I87" s="121"/>
      <c r="J87" s="121"/>
      <c r="K87" s="121"/>
      <c r="L87" s="121"/>
      <c r="M87" s="121"/>
      <c r="N87" s="72"/>
      <c r="O87" s="417" t="s">
        <v>583</v>
      </c>
      <c r="P87" s="417"/>
      <c r="Q87" s="417"/>
      <c r="R87" s="417"/>
      <c r="S87" s="416">
        <v>300000</v>
      </c>
      <c r="T87" s="416" t="s">
        <v>57</v>
      </c>
      <c r="U87" s="76" t="s">
        <v>58</v>
      </c>
      <c r="V87" s="416">
        <v>2</v>
      </c>
      <c r="W87" s="416" t="s">
        <v>56</v>
      </c>
      <c r="X87" s="416"/>
      <c r="Y87" s="416"/>
      <c r="Z87" s="416"/>
      <c r="AA87" s="416" t="s">
        <v>53</v>
      </c>
      <c r="AB87" s="416" t="s">
        <v>108</v>
      </c>
      <c r="AC87" s="70"/>
      <c r="AD87" s="70">
        <f>S87*V87</f>
        <v>600000</v>
      </c>
      <c r="AE87" s="59" t="s">
        <v>57</v>
      </c>
      <c r="AF87" s="2"/>
    </row>
    <row r="88" spans="1:32" s="11" customFormat="1" ht="21" customHeight="1">
      <c r="A88" s="46"/>
      <c r="B88" s="47"/>
      <c r="C88" s="47"/>
      <c r="D88" s="210"/>
      <c r="E88" s="121"/>
      <c r="F88" s="121"/>
      <c r="G88" s="121"/>
      <c r="H88" s="121"/>
      <c r="I88" s="121"/>
      <c r="J88" s="121"/>
      <c r="K88" s="121"/>
      <c r="L88" s="121"/>
      <c r="M88" s="121"/>
      <c r="N88" s="72"/>
      <c r="O88" s="206" t="s">
        <v>87</v>
      </c>
      <c r="P88" s="144"/>
      <c r="Q88" s="144"/>
      <c r="R88" s="144"/>
      <c r="S88" s="143"/>
      <c r="T88" s="77"/>
      <c r="U88" s="77"/>
      <c r="V88" s="77"/>
      <c r="W88" s="143"/>
      <c r="X88" s="143"/>
      <c r="Y88" s="77"/>
      <c r="Z88" s="77"/>
      <c r="AA88" s="77"/>
      <c r="AB88" s="77" t="s">
        <v>108</v>
      </c>
      <c r="AC88" s="77"/>
      <c r="AD88" s="143">
        <v>800000</v>
      </c>
      <c r="AE88" s="101" t="s">
        <v>57</v>
      </c>
      <c r="AF88" s="2"/>
    </row>
    <row r="89" spans="1:32" s="11" customFormat="1" ht="21" customHeight="1">
      <c r="A89" s="46"/>
      <c r="B89" s="47"/>
      <c r="C89" s="47"/>
      <c r="D89" s="210"/>
      <c r="E89" s="121"/>
      <c r="F89" s="121"/>
      <c r="G89" s="121"/>
      <c r="H89" s="121"/>
      <c r="I89" s="121"/>
      <c r="J89" s="121"/>
      <c r="K89" s="121"/>
      <c r="L89" s="121"/>
      <c r="M89" s="121"/>
      <c r="N89" s="72"/>
      <c r="O89" s="446" t="s">
        <v>643</v>
      </c>
      <c r="P89" s="443"/>
      <c r="Q89" s="443"/>
      <c r="R89" s="443"/>
      <c r="S89" s="442">
        <v>10000</v>
      </c>
      <c r="T89" s="442" t="s">
        <v>57</v>
      </c>
      <c r="U89" s="76" t="s">
        <v>58</v>
      </c>
      <c r="V89" s="442">
        <v>32</v>
      </c>
      <c r="W89" s="442" t="s">
        <v>56</v>
      </c>
      <c r="X89" s="442"/>
      <c r="Y89" s="442"/>
      <c r="Z89" s="442"/>
      <c r="AA89" s="442" t="s">
        <v>53</v>
      </c>
      <c r="AB89" s="457" t="s">
        <v>811</v>
      </c>
      <c r="AC89" s="458"/>
      <c r="AD89" s="458">
        <f>S89*V89</f>
        <v>320000</v>
      </c>
      <c r="AE89" s="59" t="s">
        <v>57</v>
      </c>
      <c r="AF89" s="2"/>
    </row>
    <row r="90" spans="1:32" s="11" customFormat="1" ht="21" customHeight="1">
      <c r="A90" s="46"/>
      <c r="B90" s="47"/>
      <c r="C90" s="47"/>
      <c r="D90" s="210"/>
      <c r="E90" s="121"/>
      <c r="F90" s="121"/>
      <c r="G90" s="121"/>
      <c r="H90" s="121"/>
      <c r="I90" s="121"/>
      <c r="J90" s="121"/>
      <c r="K90" s="121"/>
      <c r="L90" s="121"/>
      <c r="M90" s="121"/>
      <c r="N90" s="72"/>
      <c r="O90" s="446" t="s">
        <v>712</v>
      </c>
      <c r="P90" s="253"/>
      <c r="Q90" s="253"/>
      <c r="R90" s="253"/>
      <c r="S90" s="272">
        <v>200000</v>
      </c>
      <c r="T90" s="271" t="s">
        <v>57</v>
      </c>
      <c r="U90" s="76" t="s">
        <v>58</v>
      </c>
      <c r="V90" s="71">
        <v>16</v>
      </c>
      <c r="W90" s="76" t="s">
        <v>56</v>
      </c>
      <c r="X90" s="86"/>
      <c r="Y90" s="78"/>
      <c r="Z90" s="78"/>
      <c r="AA90" s="271" t="s">
        <v>53</v>
      </c>
      <c r="AB90" s="457" t="s">
        <v>812</v>
      </c>
      <c r="AC90" s="458"/>
      <c r="AD90" s="458">
        <f>ROUNDUP(S90*V90,-3)</f>
        <v>3200000</v>
      </c>
      <c r="AE90" s="59" t="s">
        <v>57</v>
      </c>
      <c r="AF90" s="2"/>
    </row>
    <row r="91" spans="1:32" s="11" customFormat="1" ht="21" customHeight="1">
      <c r="A91" s="46"/>
      <c r="B91" s="47"/>
      <c r="C91" s="47"/>
      <c r="D91" s="210"/>
      <c r="E91" s="121"/>
      <c r="F91" s="121"/>
      <c r="G91" s="121"/>
      <c r="H91" s="121"/>
      <c r="I91" s="121"/>
      <c r="J91" s="121"/>
      <c r="K91" s="121"/>
      <c r="L91" s="121"/>
      <c r="M91" s="121"/>
      <c r="N91" s="72"/>
      <c r="O91" s="417" t="s">
        <v>582</v>
      </c>
      <c r="P91" s="144"/>
      <c r="Q91" s="144"/>
      <c r="R91" s="144"/>
      <c r="S91" s="416">
        <v>100000</v>
      </c>
      <c r="T91" s="415" t="s">
        <v>57</v>
      </c>
      <c r="U91" s="76" t="s">
        <v>58</v>
      </c>
      <c r="V91" s="71">
        <v>14</v>
      </c>
      <c r="W91" s="76" t="s">
        <v>56</v>
      </c>
      <c r="X91" s="86"/>
      <c r="Y91" s="78"/>
      <c r="Z91" s="78"/>
      <c r="AA91" s="415" t="s">
        <v>53</v>
      </c>
      <c r="AB91" s="77" t="s">
        <v>108</v>
      </c>
      <c r="AC91" s="77"/>
      <c r="AD91" s="70">
        <f>ROUNDUP(S91*V91,-3)</f>
        <v>1400000</v>
      </c>
      <c r="AE91" s="101" t="s">
        <v>57</v>
      </c>
      <c r="AF91" s="2"/>
    </row>
    <row r="92" spans="1:32" s="11" customFormat="1" ht="21" customHeight="1">
      <c r="A92" s="46"/>
      <c r="B92" s="47"/>
      <c r="C92" s="47"/>
      <c r="D92" s="210"/>
      <c r="E92" s="121"/>
      <c r="F92" s="121"/>
      <c r="G92" s="121"/>
      <c r="H92" s="121"/>
      <c r="I92" s="121"/>
      <c r="J92" s="121"/>
      <c r="K92" s="121"/>
      <c r="L92" s="121"/>
      <c r="M92" s="121"/>
      <c r="N92" s="72"/>
      <c r="O92" s="417" t="s">
        <v>580</v>
      </c>
      <c r="P92" s="144"/>
      <c r="Q92" s="144"/>
      <c r="R92" s="144"/>
      <c r="S92" s="416">
        <v>150000</v>
      </c>
      <c r="T92" s="415" t="s">
        <v>57</v>
      </c>
      <c r="U92" s="76" t="s">
        <v>58</v>
      </c>
      <c r="V92" s="71">
        <v>35</v>
      </c>
      <c r="W92" s="76" t="s">
        <v>56</v>
      </c>
      <c r="X92" s="86"/>
      <c r="Y92" s="78"/>
      <c r="Z92" s="78"/>
      <c r="AA92" s="415" t="s">
        <v>53</v>
      </c>
      <c r="AB92" s="77" t="s">
        <v>156</v>
      </c>
      <c r="AC92" s="77"/>
      <c r="AD92" s="70">
        <f>ROUNDUP(S92*V92,-3)</f>
        <v>5250000</v>
      </c>
      <c r="AE92" s="101" t="s">
        <v>57</v>
      </c>
      <c r="AF92" s="2"/>
    </row>
    <row r="93" spans="1:32" s="11" customFormat="1" ht="21" customHeight="1">
      <c r="A93" s="46"/>
      <c r="B93" s="47"/>
      <c r="C93" s="47"/>
      <c r="D93" s="210"/>
      <c r="E93" s="121"/>
      <c r="F93" s="121"/>
      <c r="G93" s="121"/>
      <c r="H93" s="121"/>
      <c r="I93" s="121"/>
      <c r="J93" s="121"/>
      <c r="K93" s="121"/>
      <c r="L93" s="121"/>
      <c r="M93" s="121"/>
      <c r="N93" s="72"/>
      <c r="O93" s="144" t="s">
        <v>88</v>
      </c>
      <c r="P93" s="144"/>
      <c r="Q93" s="144"/>
      <c r="R93" s="144"/>
      <c r="S93" s="143">
        <v>8000</v>
      </c>
      <c r="T93" s="77" t="s">
        <v>68</v>
      </c>
      <c r="U93" s="76" t="s">
        <v>58</v>
      </c>
      <c r="V93" s="421">
        <v>35</v>
      </c>
      <c r="W93" s="143" t="s">
        <v>78</v>
      </c>
      <c r="X93" s="77"/>
      <c r="Y93" s="77"/>
      <c r="Z93" s="77"/>
      <c r="AA93" s="102" t="s">
        <v>77</v>
      </c>
      <c r="AB93" s="77" t="s">
        <v>108</v>
      </c>
      <c r="AC93" s="77"/>
      <c r="AD93" s="143">
        <f>S93*V93</f>
        <v>280000</v>
      </c>
      <c r="AE93" s="101" t="s">
        <v>68</v>
      </c>
      <c r="AF93" s="2"/>
    </row>
    <row r="94" spans="1:32" s="11" customFormat="1" ht="21" customHeight="1">
      <c r="A94" s="46"/>
      <c r="B94" s="47"/>
      <c r="C94" s="47"/>
      <c r="D94" s="210"/>
      <c r="E94" s="121"/>
      <c r="F94" s="121"/>
      <c r="G94" s="121"/>
      <c r="H94" s="121"/>
      <c r="I94" s="121"/>
      <c r="J94" s="121"/>
      <c r="K94" s="121"/>
      <c r="L94" s="121"/>
      <c r="M94" s="121"/>
      <c r="N94" s="72"/>
      <c r="O94" s="446" t="s">
        <v>750</v>
      </c>
      <c r="P94" s="144"/>
      <c r="Q94" s="144"/>
      <c r="R94" s="144"/>
      <c r="S94" s="272">
        <v>40000</v>
      </c>
      <c r="T94" s="77" t="s">
        <v>57</v>
      </c>
      <c r="U94" s="76" t="s">
        <v>58</v>
      </c>
      <c r="V94" s="421">
        <v>35</v>
      </c>
      <c r="W94" s="272" t="s">
        <v>56</v>
      </c>
      <c r="X94" s="77"/>
      <c r="Y94" s="77"/>
      <c r="Z94" s="77"/>
      <c r="AA94" s="102" t="s">
        <v>53</v>
      </c>
      <c r="AB94" s="466" t="s">
        <v>810</v>
      </c>
      <c r="AC94" s="466"/>
      <c r="AD94" s="457">
        <f>S94*V94</f>
        <v>1400000</v>
      </c>
      <c r="AE94" s="101" t="s">
        <v>57</v>
      </c>
      <c r="AF94" s="2"/>
    </row>
    <row r="95" spans="1:32" s="11" customFormat="1" ht="21" customHeight="1">
      <c r="A95" s="46"/>
      <c r="B95" s="47"/>
      <c r="C95" s="47"/>
      <c r="D95" s="210"/>
      <c r="E95" s="121"/>
      <c r="F95" s="121"/>
      <c r="G95" s="121"/>
      <c r="H95" s="121"/>
      <c r="I95" s="121"/>
      <c r="J95" s="121"/>
      <c r="K95" s="121"/>
      <c r="L95" s="121"/>
      <c r="M95" s="121"/>
      <c r="N95" s="72"/>
      <c r="O95" s="144" t="s">
        <v>89</v>
      </c>
      <c r="P95" s="144"/>
      <c r="Q95" s="144"/>
      <c r="R95" s="144"/>
      <c r="S95" s="143">
        <v>10000</v>
      </c>
      <c r="T95" s="77" t="s">
        <v>68</v>
      </c>
      <c r="U95" s="76" t="s">
        <v>58</v>
      </c>
      <c r="V95" s="421">
        <v>10</v>
      </c>
      <c r="W95" s="143" t="s">
        <v>78</v>
      </c>
      <c r="X95" s="76" t="s">
        <v>58</v>
      </c>
      <c r="Y95" s="77">
        <v>4</v>
      </c>
      <c r="Z95" s="77" t="s">
        <v>79</v>
      </c>
      <c r="AA95" s="102" t="s">
        <v>77</v>
      </c>
      <c r="AB95" s="77" t="s">
        <v>156</v>
      </c>
      <c r="AC95" s="77"/>
      <c r="AD95" s="143">
        <f>S95*V95*Y95</f>
        <v>400000</v>
      </c>
      <c r="AE95" s="101" t="s">
        <v>68</v>
      </c>
      <c r="AF95" s="2"/>
    </row>
    <row r="96" spans="1:32" s="11" customFormat="1" ht="21" customHeight="1">
      <c r="A96" s="46"/>
      <c r="B96" s="47"/>
      <c r="C96" s="47"/>
      <c r="D96" s="210"/>
      <c r="E96" s="121"/>
      <c r="F96" s="121"/>
      <c r="G96" s="121"/>
      <c r="H96" s="121"/>
      <c r="I96" s="121"/>
      <c r="J96" s="121"/>
      <c r="K96" s="121"/>
      <c r="L96" s="121"/>
      <c r="M96" s="121"/>
      <c r="N96" s="72"/>
      <c r="O96" s="253" t="s">
        <v>252</v>
      </c>
      <c r="P96" s="144"/>
      <c r="Q96" s="143"/>
      <c r="R96" s="143"/>
      <c r="S96" s="143"/>
      <c r="T96" s="143"/>
      <c r="U96" s="143"/>
      <c r="V96" s="143"/>
      <c r="W96" s="143"/>
      <c r="X96" s="143"/>
      <c r="Y96" s="143"/>
      <c r="Z96" s="143"/>
      <c r="AA96" s="143"/>
      <c r="AB96" s="426" t="s">
        <v>156</v>
      </c>
      <c r="AC96" s="70"/>
      <c r="AD96" s="70">
        <v>501000</v>
      </c>
      <c r="AE96" s="59" t="s">
        <v>68</v>
      </c>
      <c r="AF96" s="2"/>
    </row>
    <row r="97" spans="1:32" s="11" customFormat="1" ht="21" customHeight="1">
      <c r="A97" s="46"/>
      <c r="B97" s="47"/>
      <c r="C97" s="47"/>
      <c r="D97" s="210"/>
      <c r="E97" s="121"/>
      <c r="F97" s="121"/>
      <c r="G97" s="121"/>
      <c r="H97" s="121"/>
      <c r="I97" s="121"/>
      <c r="J97" s="121"/>
      <c r="K97" s="121"/>
      <c r="L97" s="121"/>
      <c r="M97" s="121"/>
      <c r="N97" s="72"/>
      <c r="O97" s="273" t="s">
        <v>309</v>
      </c>
      <c r="P97" s="179"/>
      <c r="Q97" s="178"/>
      <c r="R97" s="178"/>
      <c r="S97" s="178"/>
      <c r="T97" s="178"/>
      <c r="U97" s="178"/>
      <c r="V97" s="178"/>
      <c r="W97" s="178"/>
      <c r="X97" s="178"/>
      <c r="Y97" s="178"/>
      <c r="Z97" s="178"/>
      <c r="AA97" s="178"/>
      <c r="AB97" s="277" t="s">
        <v>295</v>
      </c>
      <c r="AC97" s="70"/>
      <c r="AD97" s="70">
        <v>200000</v>
      </c>
      <c r="AE97" s="59" t="s">
        <v>68</v>
      </c>
      <c r="AF97" s="2"/>
    </row>
    <row r="98" spans="1:32" s="11" customFormat="1" ht="21" customHeight="1">
      <c r="A98" s="46"/>
      <c r="B98" s="47"/>
      <c r="C98" s="47"/>
      <c r="D98" s="210"/>
      <c r="E98" s="121"/>
      <c r="F98" s="121"/>
      <c r="G98" s="121"/>
      <c r="H98" s="121"/>
      <c r="I98" s="121"/>
      <c r="J98" s="121"/>
      <c r="K98" s="121"/>
      <c r="L98" s="121"/>
      <c r="M98" s="121"/>
      <c r="N98" s="72"/>
      <c r="O98" s="206" t="s">
        <v>210</v>
      </c>
      <c r="P98" s="144"/>
      <c r="Q98" s="143"/>
      <c r="R98" s="143"/>
      <c r="S98" s="143"/>
      <c r="T98" s="143"/>
      <c r="U98" s="143"/>
      <c r="V98" s="143"/>
      <c r="W98" s="143"/>
      <c r="X98" s="143"/>
      <c r="Y98" s="143"/>
      <c r="Z98" s="143"/>
      <c r="AA98" s="143"/>
      <c r="AB98" s="277" t="s">
        <v>295</v>
      </c>
      <c r="AC98" s="70"/>
      <c r="AD98" s="70">
        <v>6000</v>
      </c>
      <c r="AE98" s="59" t="s">
        <v>68</v>
      </c>
      <c r="AF98" s="2"/>
    </row>
    <row r="99" spans="1:32" s="11" customFormat="1" ht="21" customHeight="1">
      <c r="A99" s="46"/>
      <c r="B99" s="47"/>
      <c r="C99" s="47"/>
      <c r="D99" s="210"/>
      <c r="E99" s="121"/>
      <c r="F99" s="121"/>
      <c r="G99" s="121"/>
      <c r="H99" s="121"/>
      <c r="I99" s="121"/>
      <c r="J99" s="121"/>
      <c r="K99" s="121"/>
      <c r="L99" s="121"/>
      <c r="M99" s="121"/>
      <c r="N99" s="72"/>
      <c r="O99" s="206" t="s">
        <v>211</v>
      </c>
      <c r="P99" s="144"/>
      <c r="Q99" s="143"/>
      <c r="R99" s="143"/>
      <c r="S99" s="143">
        <v>20000</v>
      </c>
      <c r="T99" s="77" t="s">
        <v>68</v>
      </c>
      <c r="U99" s="76" t="s">
        <v>58</v>
      </c>
      <c r="V99" s="77">
        <v>33</v>
      </c>
      <c r="W99" s="143" t="s">
        <v>78</v>
      </c>
      <c r="X99" s="76" t="s">
        <v>58</v>
      </c>
      <c r="Y99" s="77">
        <v>1</v>
      </c>
      <c r="Z99" s="77" t="s">
        <v>79</v>
      </c>
      <c r="AA99" s="102" t="s">
        <v>77</v>
      </c>
      <c r="AB99" s="77" t="s">
        <v>620</v>
      </c>
      <c r="AC99" s="77"/>
      <c r="AD99" s="143">
        <f>S99*V99*Y99</f>
        <v>660000</v>
      </c>
      <c r="AE99" s="101" t="s">
        <v>68</v>
      </c>
      <c r="AF99" s="2"/>
    </row>
    <row r="100" spans="1:32" s="11" customFormat="1" ht="21" customHeight="1">
      <c r="A100" s="46"/>
      <c r="B100" s="61"/>
      <c r="C100" s="61"/>
      <c r="D100" s="211"/>
      <c r="E100" s="124"/>
      <c r="F100" s="124"/>
      <c r="G100" s="124"/>
      <c r="H100" s="124"/>
      <c r="I100" s="124"/>
      <c r="J100" s="124"/>
      <c r="K100" s="124"/>
      <c r="L100" s="124"/>
      <c r="M100" s="124"/>
      <c r="N100" s="92"/>
      <c r="O100" s="204"/>
      <c r="P100" s="88"/>
      <c r="Q100" s="88"/>
      <c r="R100" s="88"/>
      <c r="S100" s="87"/>
      <c r="T100" s="94"/>
      <c r="U100" s="94"/>
      <c r="V100" s="94"/>
      <c r="W100" s="87"/>
      <c r="X100" s="94"/>
      <c r="Y100" s="94"/>
      <c r="Z100" s="94"/>
      <c r="AA100" s="87"/>
      <c r="AB100" s="94"/>
      <c r="AC100" s="94"/>
      <c r="AD100" s="87"/>
      <c r="AE100" s="140"/>
      <c r="AF100" s="2"/>
    </row>
    <row r="101" spans="1:32" s="11" customFormat="1" ht="21" customHeight="1">
      <c r="A101" s="46"/>
      <c r="B101" s="47" t="s">
        <v>222</v>
      </c>
      <c r="C101" s="47" t="s">
        <v>5</v>
      </c>
      <c r="D101" s="121">
        <f>SUM(D102,D105,D107)</f>
        <v>2950</v>
      </c>
      <c r="E101" s="121">
        <f>SUM(E102,E105,E107)</f>
        <v>2550</v>
      </c>
      <c r="F101" s="121">
        <f t="shared" ref="F101:L101" si="6">SUM(F102,F105,F107)</f>
        <v>50</v>
      </c>
      <c r="G101" s="121">
        <f t="shared" si="6"/>
        <v>0</v>
      </c>
      <c r="H101" s="121">
        <f t="shared" si="6"/>
        <v>0</v>
      </c>
      <c r="I101" s="121">
        <f t="shared" si="6"/>
        <v>0</v>
      </c>
      <c r="J101" s="121">
        <f t="shared" si="6"/>
        <v>0</v>
      </c>
      <c r="K101" s="121">
        <f t="shared" si="6"/>
        <v>2500</v>
      </c>
      <c r="L101" s="121">
        <f t="shared" si="6"/>
        <v>0</v>
      </c>
      <c r="M101" s="121">
        <f>E101-D101</f>
        <v>-400</v>
      </c>
      <c r="N101" s="72">
        <f>IF(D101=0,0,M101/D101)</f>
        <v>-0.13559322033898305</v>
      </c>
      <c r="O101" s="251" t="s">
        <v>254</v>
      </c>
      <c r="P101" s="33"/>
      <c r="Q101" s="33"/>
      <c r="R101" s="33"/>
      <c r="S101" s="34"/>
      <c r="T101" s="34"/>
      <c r="U101" s="34"/>
      <c r="V101" s="34"/>
      <c r="W101" s="256"/>
      <c r="X101" s="256"/>
      <c r="Y101" s="256"/>
      <c r="Z101" s="256"/>
      <c r="AA101" s="256"/>
      <c r="AB101" s="256"/>
      <c r="AC101" s="104"/>
      <c r="AD101" s="104">
        <f>SUM(AD102,AD105,AD107)</f>
        <v>2550000</v>
      </c>
      <c r="AE101" s="105" t="s">
        <v>25</v>
      </c>
      <c r="AF101" s="5"/>
    </row>
    <row r="102" spans="1:32" s="11" customFormat="1" ht="21" customHeight="1">
      <c r="A102" s="46"/>
      <c r="B102" s="47" t="s">
        <v>253</v>
      </c>
      <c r="C102" s="37" t="s">
        <v>10</v>
      </c>
      <c r="D102" s="212">
        <v>1200</v>
      </c>
      <c r="E102" s="126">
        <f>AD102/1000</f>
        <v>1200</v>
      </c>
      <c r="F102" s="126">
        <v>0</v>
      </c>
      <c r="G102" s="126">
        <v>0</v>
      </c>
      <c r="H102" s="126">
        <v>0</v>
      </c>
      <c r="I102" s="126">
        <v>0</v>
      </c>
      <c r="J102" s="126">
        <v>0</v>
      </c>
      <c r="K102" s="126">
        <f>AD102/1000</f>
        <v>1200</v>
      </c>
      <c r="L102" s="126">
        <v>0</v>
      </c>
      <c r="M102" s="126">
        <f>E102-D102</f>
        <v>0</v>
      </c>
      <c r="N102" s="134">
        <f>IF(D102=0,0,M102/D102)</f>
        <v>0</v>
      </c>
      <c r="O102" s="107" t="s">
        <v>37</v>
      </c>
      <c r="P102" s="200"/>
      <c r="Q102" s="216"/>
      <c r="R102" s="216"/>
      <c r="S102" s="216"/>
      <c r="T102" s="96"/>
      <c r="U102" s="96"/>
      <c r="V102" s="96"/>
      <c r="W102" s="96"/>
      <c r="X102" s="96"/>
      <c r="Y102" s="233" t="s">
        <v>256</v>
      </c>
      <c r="Z102" s="233"/>
      <c r="AA102" s="233"/>
      <c r="AB102" s="233"/>
      <c r="AC102" s="235"/>
      <c r="AD102" s="235">
        <f>AD103</f>
        <v>1200000</v>
      </c>
      <c r="AE102" s="234" t="s">
        <v>25</v>
      </c>
    </row>
    <row r="103" spans="1:32" s="11" customFormat="1" ht="21" customHeight="1">
      <c r="A103" s="46"/>
      <c r="B103" s="47"/>
      <c r="C103" s="47"/>
      <c r="D103" s="210"/>
      <c r="E103" s="121"/>
      <c r="F103" s="121"/>
      <c r="G103" s="121"/>
      <c r="H103" s="121"/>
      <c r="I103" s="121"/>
      <c r="J103" s="121"/>
      <c r="K103" s="121"/>
      <c r="L103" s="121"/>
      <c r="M103" s="121"/>
      <c r="N103" s="72"/>
      <c r="O103" s="253" t="s">
        <v>257</v>
      </c>
      <c r="P103" s="51"/>
      <c r="Q103" s="51"/>
      <c r="R103" s="51"/>
      <c r="S103" s="52"/>
      <c r="T103" s="56"/>
      <c r="U103" s="56"/>
      <c r="V103" s="52"/>
      <c r="W103" s="51"/>
      <c r="X103" s="52"/>
      <c r="Y103" s="52"/>
      <c r="Z103" s="52"/>
      <c r="AA103" s="52"/>
      <c r="AB103" s="52" t="s">
        <v>109</v>
      </c>
      <c r="AC103" s="52"/>
      <c r="AD103" s="52">
        <v>1200000</v>
      </c>
      <c r="AE103" s="59" t="s">
        <v>93</v>
      </c>
      <c r="AF103" s="2"/>
    </row>
    <row r="104" spans="1:32" s="11" customFormat="1" ht="21" customHeight="1">
      <c r="A104" s="46"/>
      <c r="B104" s="47"/>
      <c r="C104" s="61"/>
      <c r="D104" s="211"/>
      <c r="E104" s="124"/>
      <c r="F104" s="124"/>
      <c r="G104" s="124"/>
      <c r="H104" s="124"/>
      <c r="I104" s="124"/>
      <c r="J104" s="124"/>
      <c r="K104" s="124"/>
      <c r="L104" s="124"/>
      <c r="M104" s="124"/>
      <c r="N104" s="92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  <c r="AA104" s="94"/>
      <c r="AB104" s="94"/>
      <c r="AC104" s="94"/>
      <c r="AD104" s="94"/>
      <c r="AE104" s="140"/>
      <c r="AF104" s="1"/>
    </row>
    <row r="105" spans="1:32" s="11" customFormat="1" ht="21" customHeight="1">
      <c r="A105" s="46"/>
      <c r="B105" s="47"/>
      <c r="C105" s="47" t="s">
        <v>11</v>
      </c>
      <c r="D105" s="210">
        <v>0</v>
      </c>
      <c r="E105" s="121">
        <f>AD105/1000</f>
        <v>0</v>
      </c>
      <c r="F105" s="121">
        <v>0</v>
      </c>
      <c r="G105" s="121">
        <v>0</v>
      </c>
      <c r="H105" s="121">
        <v>0</v>
      </c>
      <c r="I105" s="121">
        <v>0</v>
      </c>
      <c r="J105" s="121">
        <v>0</v>
      </c>
      <c r="K105" s="121">
        <v>0</v>
      </c>
      <c r="L105" s="121">
        <v>0</v>
      </c>
      <c r="M105" s="121">
        <f>E105-D105</f>
        <v>0</v>
      </c>
      <c r="N105" s="72">
        <f>IF(D105=0,0,M105/D105)</f>
        <v>0</v>
      </c>
      <c r="O105" s="107" t="s">
        <v>255</v>
      </c>
      <c r="P105" s="232"/>
      <c r="Q105" s="33"/>
      <c r="R105" s="33"/>
      <c r="S105" s="33"/>
      <c r="T105" s="34"/>
      <c r="U105" s="34"/>
      <c r="V105" s="34"/>
      <c r="W105" s="34"/>
      <c r="X105" s="34"/>
      <c r="Y105" s="233" t="s">
        <v>256</v>
      </c>
      <c r="Z105" s="233"/>
      <c r="AA105" s="233"/>
      <c r="AB105" s="233"/>
      <c r="AC105" s="235"/>
      <c r="AD105" s="235">
        <v>0</v>
      </c>
      <c r="AE105" s="234" t="s">
        <v>25</v>
      </c>
      <c r="AF105" s="1"/>
    </row>
    <row r="106" spans="1:32" s="11" customFormat="1" ht="21" customHeight="1">
      <c r="A106" s="46"/>
      <c r="B106" s="47"/>
      <c r="C106" s="61"/>
      <c r="D106" s="211"/>
      <c r="E106" s="124"/>
      <c r="F106" s="124"/>
      <c r="G106" s="124"/>
      <c r="H106" s="124"/>
      <c r="I106" s="124"/>
      <c r="J106" s="124"/>
      <c r="K106" s="124"/>
      <c r="L106" s="124"/>
      <c r="M106" s="124"/>
      <c r="N106" s="92"/>
      <c r="O106" s="204"/>
      <c r="P106" s="88"/>
      <c r="Q106" s="88"/>
      <c r="R106" s="88"/>
      <c r="S106" s="87"/>
      <c r="T106" s="93"/>
      <c r="U106" s="93"/>
      <c r="V106" s="87"/>
      <c r="W106" s="88"/>
      <c r="X106" s="87"/>
      <c r="Y106" s="87"/>
      <c r="Z106" s="87"/>
      <c r="AA106" s="87"/>
      <c r="AB106" s="87"/>
      <c r="AC106" s="87"/>
      <c r="AD106" s="87"/>
      <c r="AE106" s="75"/>
      <c r="AF106" s="1"/>
    </row>
    <row r="107" spans="1:32" s="11" customFormat="1" ht="21" customHeight="1">
      <c r="A107" s="46"/>
      <c r="B107" s="47"/>
      <c r="C107" s="47" t="s">
        <v>111</v>
      </c>
      <c r="D107" s="210">
        <v>1750</v>
      </c>
      <c r="E107" s="121">
        <f>AD107/1000</f>
        <v>1350</v>
      </c>
      <c r="F107" s="121">
        <v>50</v>
      </c>
      <c r="G107" s="121">
        <v>0</v>
      </c>
      <c r="H107" s="121">
        <v>0</v>
      </c>
      <c r="I107" s="121">
        <v>0</v>
      </c>
      <c r="J107" s="121">
        <v>0</v>
      </c>
      <c r="K107" s="126">
        <v>1300</v>
      </c>
      <c r="L107" s="121">
        <v>0</v>
      </c>
      <c r="M107" s="121">
        <f>E107-D107</f>
        <v>-400</v>
      </c>
      <c r="N107" s="72">
        <f>IF(D107=0,0,M107/D107)</f>
        <v>-0.22857142857142856</v>
      </c>
      <c r="O107" s="129" t="s">
        <v>38</v>
      </c>
      <c r="P107" s="33"/>
      <c r="Q107" s="33"/>
      <c r="R107" s="33"/>
      <c r="S107" s="33"/>
      <c r="T107" s="34"/>
      <c r="U107" s="34"/>
      <c r="V107" s="34"/>
      <c r="W107" s="34"/>
      <c r="X107" s="34"/>
      <c r="Y107" s="233" t="s">
        <v>256</v>
      </c>
      <c r="Z107" s="233"/>
      <c r="AA107" s="233"/>
      <c r="AB107" s="233"/>
      <c r="AC107" s="235"/>
      <c r="AD107" s="235">
        <f>SUM(AD108:AD110)</f>
        <v>1350000</v>
      </c>
      <c r="AE107" s="234" t="s">
        <v>25</v>
      </c>
      <c r="AF107" s="1"/>
    </row>
    <row r="108" spans="1:32" s="14" customFormat="1" ht="21" customHeight="1">
      <c r="A108" s="46"/>
      <c r="B108" s="47"/>
      <c r="C108" s="47"/>
      <c r="D108" s="210"/>
      <c r="E108" s="121"/>
      <c r="F108" s="121"/>
      <c r="G108" s="121"/>
      <c r="H108" s="121"/>
      <c r="I108" s="121"/>
      <c r="J108" s="121"/>
      <c r="K108" s="121"/>
      <c r="L108" s="121"/>
      <c r="M108" s="121"/>
      <c r="N108" s="72"/>
      <c r="O108" s="51" t="s">
        <v>112</v>
      </c>
      <c r="P108" s="51"/>
      <c r="Q108" s="51"/>
      <c r="R108" s="51"/>
      <c r="S108" s="52"/>
      <c r="T108" s="56"/>
      <c r="U108" s="56"/>
      <c r="V108" s="52"/>
      <c r="W108" s="51"/>
      <c r="X108" s="52"/>
      <c r="Y108" s="52"/>
      <c r="Z108" s="52"/>
      <c r="AA108" s="52"/>
      <c r="AB108" s="408" t="s">
        <v>549</v>
      </c>
      <c r="AC108" s="52"/>
      <c r="AD108" s="52">
        <v>50000</v>
      </c>
      <c r="AE108" s="59" t="s">
        <v>25</v>
      </c>
      <c r="AF108" s="4"/>
    </row>
    <row r="109" spans="1:32" s="14" customFormat="1" ht="21" customHeight="1">
      <c r="A109" s="46"/>
      <c r="B109" s="47"/>
      <c r="C109" s="47"/>
      <c r="D109" s="210"/>
      <c r="E109" s="121"/>
      <c r="F109" s="121"/>
      <c r="G109" s="121"/>
      <c r="H109" s="121"/>
      <c r="I109" s="121"/>
      <c r="J109" s="121"/>
      <c r="K109" s="121"/>
      <c r="L109" s="121"/>
      <c r="M109" s="121"/>
      <c r="N109" s="72"/>
      <c r="O109" s="409"/>
      <c r="P109" s="409"/>
      <c r="Q109" s="409"/>
      <c r="R109" s="409"/>
      <c r="S109" s="408"/>
      <c r="T109" s="56"/>
      <c r="U109" s="56"/>
      <c r="V109" s="408"/>
      <c r="W109" s="409"/>
      <c r="X109" s="408"/>
      <c r="Y109" s="408"/>
      <c r="Z109" s="408"/>
      <c r="AA109" s="408"/>
      <c r="AB109" s="408" t="s">
        <v>556</v>
      </c>
      <c r="AC109" s="408"/>
      <c r="AD109" s="408">
        <v>500000</v>
      </c>
      <c r="AE109" s="59" t="s">
        <v>545</v>
      </c>
      <c r="AF109" s="4"/>
    </row>
    <row r="110" spans="1:32" s="14" customFormat="1" ht="21" customHeight="1">
      <c r="A110" s="46"/>
      <c r="B110" s="47"/>
      <c r="C110" s="47"/>
      <c r="D110" s="210"/>
      <c r="E110" s="121"/>
      <c r="F110" s="121"/>
      <c r="G110" s="121"/>
      <c r="H110" s="121"/>
      <c r="I110" s="121"/>
      <c r="J110" s="121"/>
      <c r="K110" s="121"/>
      <c r="L110" s="121"/>
      <c r="M110" s="121"/>
      <c r="N110" s="72"/>
      <c r="O110" s="446" t="s">
        <v>809</v>
      </c>
      <c r="P110" s="144"/>
      <c r="Q110" s="144"/>
      <c r="R110" s="144"/>
      <c r="S110" s="143">
        <v>50000</v>
      </c>
      <c r="T110" s="143" t="s">
        <v>57</v>
      </c>
      <c r="U110" s="144" t="s">
        <v>58</v>
      </c>
      <c r="V110" s="457">
        <v>4</v>
      </c>
      <c r="W110" s="143" t="s">
        <v>56</v>
      </c>
      <c r="X110" s="144" t="s">
        <v>58</v>
      </c>
      <c r="Y110" s="57">
        <v>4</v>
      </c>
      <c r="Z110" s="99" t="s">
        <v>0</v>
      </c>
      <c r="AA110" s="99" t="s">
        <v>53</v>
      </c>
      <c r="AB110" s="99" t="s">
        <v>108</v>
      </c>
      <c r="AC110" s="144"/>
      <c r="AD110" s="457">
        <f>S110*V110*Y110</f>
        <v>800000</v>
      </c>
      <c r="AE110" s="59" t="s">
        <v>57</v>
      </c>
      <c r="AF110" s="4"/>
    </row>
    <row r="111" spans="1:32" s="14" customFormat="1" ht="21" customHeight="1">
      <c r="A111" s="46"/>
      <c r="B111" s="47"/>
      <c r="C111" s="47"/>
      <c r="D111" s="210"/>
      <c r="E111" s="121"/>
      <c r="F111" s="121"/>
      <c r="G111" s="121"/>
      <c r="H111" s="121"/>
      <c r="I111" s="121"/>
      <c r="J111" s="121"/>
      <c r="K111" s="121"/>
      <c r="L111" s="121"/>
      <c r="M111" s="121"/>
      <c r="N111" s="72"/>
      <c r="O111" s="51"/>
      <c r="P111" s="51"/>
      <c r="Q111" s="51"/>
      <c r="R111" s="51"/>
      <c r="S111" s="52"/>
      <c r="T111" s="56"/>
      <c r="U111" s="56"/>
      <c r="V111" s="52"/>
      <c r="W111" s="51"/>
      <c r="X111" s="52"/>
      <c r="Y111" s="52"/>
      <c r="Z111" s="52"/>
      <c r="AA111" s="52"/>
      <c r="AB111" s="52"/>
      <c r="AC111" s="52"/>
      <c r="AD111" s="52"/>
      <c r="AE111" s="59"/>
      <c r="AF111" s="4"/>
    </row>
    <row r="112" spans="1:32" s="11" customFormat="1" ht="21" customHeight="1">
      <c r="A112" s="46"/>
      <c r="B112" s="37" t="s">
        <v>12</v>
      </c>
      <c r="C112" s="229" t="s">
        <v>5</v>
      </c>
      <c r="D112" s="230">
        <f t="shared" ref="D112:L112" si="7">SUM(D113,D118,D136,D144,D158,D164)</f>
        <v>95911</v>
      </c>
      <c r="E112" s="230">
        <f t="shared" si="7"/>
        <v>97319</v>
      </c>
      <c r="F112" s="230">
        <f t="shared" si="7"/>
        <v>47950</v>
      </c>
      <c r="G112" s="230">
        <f t="shared" si="7"/>
        <v>3600</v>
      </c>
      <c r="H112" s="230">
        <f t="shared" si="7"/>
        <v>0</v>
      </c>
      <c r="I112" s="230">
        <f t="shared" si="7"/>
        <v>6576</v>
      </c>
      <c r="J112" s="230">
        <f t="shared" si="7"/>
        <v>15878</v>
      </c>
      <c r="K112" s="230">
        <f t="shared" si="7"/>
        <v>2211</v>
      </c>
      <c r="L112" s="230">
        <f t="shared" si="7"/>
        <v>21104</v>
      </c>
      <c r="M112" s="230">
        <f>E112-D112</f>
        <v>1408</v>
      </c>
      <c r="N112" s="231">
        <f>IF(D112=0,0,M112/D112)</f>
        <v>1.4680276506344424E-2</v>
      </c>
      <c r="O112" s="232" t="s">
        <v>261</v>
      </c>
      <c r="P112" s="232"/>
      <c r="Q112" s="232"/>
      <c r="R112" s="232"/>
      <c r="S112" s="233"/>
      <c r="T112" s="260"/>
      <c r="U112" s="233"/>
      <c r="V112" s="629"/>
      <c r="W112" s="630"/>
      <c r="X112" s="233"/>
      <c r="Y112" s="233"/>
      <c r="Z112" s="233"/>
      <c r="AA112" s="233"/>
      <c r="AB112" s="233"/>
      <c r="AC112" s="233"/>
      <c r="AD112" s="233">
        <f>SUM(AD113,AD118,AD136,AD144,AD158,AD164)</f>
        <v>97319000</v>
      </c>
      <c r="AE112" s="234" t="s">
        <v>25</v>
      </c>
      <c r="AF112" s="1"/>
    </row>
    <row r="113" spans="1:34" s="11" customFormat="1" ht="21" customHeight="1">
      <c r="A113" s="46"/>
      <c r="B113" s="47"/>
      <c r="C113" s="47" t="s">
        <v>113</v>
      </c>
      <c r="D113" s="210">
        <v>5850</v>
      </c>
      <c r="E113" s="121">
        <f>AD113/1000</f>
        <v>5850</v>
      </c>
      <c r="F113" s="121">
        <v>1000</v>
      </c>
      <c r="G113" s="121">
        <v>0</v>
      </c>
      <c r="H113" s="121">
        <v>0</v>
      </c>
      <c r="I113" s="121">
        <v>0</v>
      </c>
      <c r="J113" s="121">
        <v>0</v>
      </c>
      <c r="K113" s="121">
        <v>600</v>
      </c>
      <c r="L113" s="121">
        <v>4250</v>
      </c>
      <c r="M113" s="121">
        <f>E113-D113</f>
        <v>0</v>
      </c>
      <c r="N113" s="72">
        <f>IF(D113=0,0,M113/D113)</f>
        <v>0</v>
      </c>
      <c r="O113" s="129" t="s">
        <v>40</v>
      </c>
      <c r="P113" s="33"/>
      <c r="Q113" s="33"/>
      <c r="R113" s="33"/>
      <c r="S113" s="33"/>
      <c r="T113" s="34"/>
      <c r="U113" s="34"/>
      <c r="V113" s="34"/>
      <c r="W113" s="34"/>
      <c r="X113" s="34"/>
      <c r="Y113" s="250" t="s">
        <v>256</v>
      </c>
      <c r="Z113" s="34"/>
      <c r="AA113" s="34"/>
      <c r="AB113" s="34"/>
      <c r="AC113" s="53"/>
      <c r="AD113" s="53">
        <f>SUM(AD114:AD117)</f>
        <v>5850000</v>
      </c>
      <c r="AE113" s="35" t="s">
        <v>25</v>
      </c>
      <c r="AF113" s="20"/>
      <c r="AG113" s="19"/>
      <c r="AH113" s="19"/>
    </row>
    <row r="114" spans="1:34" s="11" customFormat="1" ht="21" customHeight="1">
      <c r="A114" s="46"/>
      <c r="B114" s="47"/>
      <c r="C114" s="47"/>
      <c r="D114" s="210"/>
      <c r="E114" s="121"/>
      <c r="F114" s="121"/>
      <c r="G114" s="121"/>
      <c r="H114" s="121"/>
      <c r="I114" s="121"/>
      <c r="J114" s="121"/>
      <c r="K114" s="121"/>
      <c r="L114" s="121"/>
      <c r="M114" s="121"/>
      <c r="N114" s="72"/>
      <c r="O114" s="253" t="s">
        <v>262</v>
      </c>
      <c r="P114" s="51"/>
      <c r="Q114" s="51"/>
      <c r="R114" s="51"/>
      <c r="S114" s="252">
        <v>50000</v>
      </c>
      <c r="T114" s="252" t="s">
        <v>57</v>
      </c>
      <c r="U114" s="76" t="s">
        <v>58</v>
      </c>
      <c r="V114" s="252">
        <v>1</v>
      </c>
      <c r="W114" s="252" t="s">
        <v>56</v>
      </c>
      <c r="X114" s="76" t="s">
        <v>58</v>
      </c>
      <c r="Y114" s="252">
        <v>12</v>
      </c>
      <c r="Z114" s="252" t="s">
        <v>29</v>
      </c>
      <c r="AA114" s="252" t="s">
        <v>53</v>
      </c>
      <c r="AB114" s="252" t="s">
        <v>263</v>
      </c>
      <c r="AC114" s="70"/>
      <c r="AD114" s="70">
        <f>S114*V114*Y114</f>
        <v>600000</v>
      </c>
      <c r="AE114" s="59" t="s">
        <v>25</v>
      </c>
      <c r="AF114" s="2"/>
    </row>
    <row r="115" spans="1:34" s="11" customFormat="1" ht="21" customHeight="1">
      <c r="A115" s="46"/>
      <c r="B115" s="47"/>
      <c r="C115" s="47"/>
      <c r="D115" s="210"/>
      <c r="E115" s="121"/>
      <c r="F115" s="121"/>
      <c r="G115" s="121"/>
      <c r="H115" s="121"/>
      <c r="I115" s="121"/>
      <c r="J115" s="121"/>
      <c r="K115" s="121"/>
      <c r="L115" s="121"/>
      <c r="M115" s="121"/>
      <c r="N115" s="72"/>
      <c r="O115" s="433" t="s">
        <v>625</v>
      </c>
      <c r="P115" s="433"/>
      <c r="Q115" s="433"/>
      <c r="R115" s="433"/>
      <c r="S115" s="422">
        <v>30000</v>
      </c>
      <c r="T115" s="434" t="s">
        <v>25</v>
      </c>
      <c r="U115" s="434" t="s">
        <v>26</v>
      </c>
      <c r="V115" s="422">
        <v>35</v>
      </c>
      <c r="W115" s="434" t="s">
        <v>264</v>
      </c>
      <c r="X115" s="422" t="s">
        <v>26</v>
      </c>
      <c r="Y115" s="422">
        <v>5</v>
      </c>
      <c r="Z115" s="422" t="s">
        <v>626</v>
      </c>
      <c r="AA115" s="422" t="s">
        <v>27</v>
      </c>
      <c r="AB115" s="422"/>
      <c r="AC115" s="422"/>
      <c r="AD115" s="422">
        <f>S115*V115*Y115</f>
        <v>5250000</v>
      </c>
      <c r="AE115" s="435" t="s">
        <v>627</v>
      </c>
      <c r="AF115" s="2"/>
    </row>
    <row r="116" spans="1:34" s="11" customFormat="1" ht="21" customHeight="1">
      <c r="A116" s="46"/>
      <c r="B116" s="47"/>
      <c r="C116" s="47"/>
      <c r="D116" s="210"/>
      <c r="E116" s="121"/>
      <c r="F116" s="121"/>
      <c r="G116" s="121"/>
      <c r="H116" s="121"/>
      <c r="I116" s="121"/>
      <c r="J116" s="121"/>
      <c r="K116" s="121"/>
      <c r="L116" s="121"/>
      <c r="M116" s="121"/>
      <c r="N116" s="72"/>
      <c r="O116" s="433"/>
      <c r="P116" s="433"/>
      <c r="Q116" s="433"/>
      <c r="R116" s="433"/>
      <c r="S116" s="422"/>
      <c r="T116" s="422"/>
      <c r="U116" s="436"/>
      <c r="V116" s="422"/>
      <c r="W116" s="422"/>
      <c r="X116" s="436"/>
      <c r="Y116" s="422" t="s">
        <v>628</v>
      </c>
      <c r="Z116" s="422"/>
      <c r="AA116" s="422"/>
      <c r="AB116" s="422"/>
      <c r="AC116" s="437"/>
      <c r="AD116" s="437"/>
      <c r="AE116" s="435"/>
      <c r="AF116" s="2"/>
    </row>
    <row r="117" spans="1:34" s="11" customFormat="1" ht="21" customHeight="1">
      <c r="A117" s="46"/>
      <c r="B117" s="47"/>
      <c r="C117" s="47"/>
      <c r="D117" s="210"/>
      <c r="E117" s="121"/>
      <c r="F117" s="121"/>
      <c r="G117" s="121"/>
      <c r="H117" s="121"/>
      <c r="I117" s="121"/>
      <c r="J117" s="121"/>
      <c r="K117" s="121"/>
      <c r="L117" s="121"/>
      <c r="M117" s="121"/>
      <c r="N117" s="72"/>
      <c r="O117" s="253"/>
      <c r="P117" s="51"/>
      <c r="Q117" s="51"/>
      <c r="R117" s="51"/>
      <c r="S117" s="52"/>
      <c r="T117" s="56"/>
      <c r="U117" s="56"/>
      <c r="V117" s="52"/>
      <c r="W117" s="56"/>
      <c r="X117" s="52"/>
      <c r="Y117" s="52"/>
      <c r="Z117" s="252"/>
      <c r="AA117" s="52"/>
      <c r="AB117" s="252"/>
      <c r="AC117" s="52"/>
      <c r="AD117" s="52"/>
      <c r="AE117" s="59" t="s">
        <v>68</v>
      </c>
      <c r="AF117" s="2"/>
    </row>
    <row r="118" spans="1:34" s="11" customFormat="1" ht="21" customHeight="1">
      <c r="A118" s="46"/>
      <c r="B118" s="47"/>
      <c r="C118" s="37" t="s">
        <v>41</v>
      </c>
      <c r="D118" s="212">
        <v>21088</v>
      </c>
      <c r="E118" s="126">
        <f>ROUND(AD118/1000,0)</f>
        <v>21548</v>
      </c>
      <c r="F118" s="126">
        <v>10000</v>
      </c>
      <c r="G118" s="126">
        <v>0</v>
      </c>
      <c r="H118" s="126">
        <v>0</v>
      </c>
      <c r="I118" s="126">
        <v>460</v>
      </c>
      <c r="J118" s="126">
        <v>11088</v>
      </c>
      <c r="K118" s="126">
        <v>0</v>
      </c>
      <c r="L118" s="126">
        <v>0</v>
      </c>
      <c r="M118" s="126">
        <f>E118-D118</f>
        <v>460</v>
      </c>
      <c r="N118" s="134">
        <f>IF(D118=0,0,M118/D118)</f>
        <v>2.1813353566009105E-2</v>
      </c>
      <c r="O118" s="107" t="s">
        <v>42</v>
      </c>
      <c r="P118" s="103"/>
      <c r="Q118" s="103"/>
      <c r="R118" s="103"/>
      <c r="S118" s="103"/>
      <c r="T118" s="97"/>
      <c r="U118" s="97"/>
      <c r="V118" s="97"/>
      <c r="W118" s="97"/>
      <c r="X118" s="97"/>
      <c r="Y118" s="233" t="s">
        <v>28</v>
      </c>
      <c r="Z118" s="233"/>
      <c r="AA118" s="233"/>
      <c r="AB118" s="233"/>
      <c r="AC118" s="235"/>
      <c r="AD118" s="235">
        <f>SUM(AD119:AD132)</f>
        <v>21548000</v>
      </c>
      <c r="AE118" s="234" t="s">
        <v>25</v>
      </c>
      <c r="AF118" s="1"/>
    </row>
    <row r="119" spans="1:34" s="11" customFormat="1" ht="21" customHeight="1">
      <c r="A119" s="46"/>
      <c r="B119" s="47"/>
      <c r="C119" s="47" t="s">
        <v>283</v>
      </c>
      <c r="D119" s="210"/>
      <c r="E119" s="121"/>
      <c r="F119" s="121"/>
      <c r="G119" s="121"/>
      <c r="H119" s="121"/>
      <c r="I119" s="121"/>
      <c r="J119" s="121"/>
      <c r="K119" s="121"/>
      <c r="L119" s="121"/>
      <c r="M119" s="121"/>
      <c r="N119" s="72"/>
      <c r="O119" s="216" t="s">
        <v>157</v>
      </c>
      <c r="P119" s="51"/>
      <c r="Q119" s="51"/>
      <c r="R119" s="51"/>
      <c r="S119" s="52"/>
      <c r="T119" s="56"/>
      <c r="U119" s="52"/>
      <c r="V119" s="625"/>
      <c r="W119" s="626"/>
      <c r="X119" s="52"/>
      <c r="Y119" s="96"/>
      <c r="Z119" s="96"/>
      <c r="AA119" s="96"/>
      <c r="AB119" s="96"/>
      <c r="AC119" s="96"/>
      <c r="AD119" s="438">
        <v>1500000</v>
      </c>
      <c r="AE119" s="136" t="s">
        <v>25</v>
      </c>
      <c r="AF119" s="1"/>
    </row>
    <row r="120" spans="1:34" s="11" customFormat="1" ht="21" customHeight="1">
      <c r="A120" s="46"/>
      <c r="B120" s="47"/>
      <c r="C120" s="47"/>
      <c r="D120" s="210"/>
      <c r="E120" s="121"/>
      <c r="F120" s="121"/>
      <c r="G120" s="121"/>
      <c r="H120" s="121"/>
      <c r="I120" s="121"/>
      <c r="J120" s="121"/>
      <c r="K120" s="121"/>
      <c r="L120" s="121"/>
      <c r="M120" s="121"/>
      <c r="N120" s="72"/>
      <c r="O120" s="253" t="s">
        <v>265</v>
      </c>
      <c r="P120" s="51"/>
      <c r="Q120" s="51"/>
      <c r="R120" s="51"/>
      <c r="S120" s="52"/>
      <c r="T120" s="56"/>
      <c r="U120" s="56"/>
      <c r="V120" s="52"/>
      <c r="W120" s="51"/>
      <c r="X120" s="52"/>
      <c r="Y120" s="52"/>
      <c r="Z120" s="52"/>
      <c r="AA120" s="52"/>
      <c r="AB120" s="52"/>
      <c r="AC120" s="52"/>
      <c r="AD120" s="422">
        <v>1344000</v>
      </c>
      <c r="AE120" s="59" t="s">
        <v>25</v>
      </c>
      <c r="AF120" s="20"/>
    </row>
    <row r="121" spans="1:34" s="11" customFormat="1" ht="21" customHeight="1">
      <c r="A121" s="46"/>
      <c r="B121" s="47"/>
      <c r="C121" s="47"/>
      <c r="D121" s="210"/>
      <c r="E121" s="121"/>
      <c r="F121" s="121"/>
      <c r="G121" s="121"/>
      <c r="H121" s="121"/>
      <c r="I121" s="121"/>
      <c r="J121" s="121"/>
      <c r="K121" s="121"/>
      <c r="L121" s="121"/>
      <c r="M121" s="121"/>
      <c r="N121" s="72"/>
      <c r="O121" s="253" t="s">
        <v>266</v>
      </c>
      <c r="P121" s="51"/>
      <c r="Q121" s="51"/>
      <c r="R121" s="51"/>
      <c r="S121" s="52"/>
      <c r="T121" s="56"/>
      <c r="U121" s="56"/>
      <c r="V121" s="52"/>
      <c r="W121" s="51"/>
      <c r="X121" s="52"/>
      <c r="Y121" s="52"/>
      <c r="Z121" s="52"/>
      <c r="AA121" s="52"/>
      <c r="AB121" s="52"/>
      <c r="AC121" s="52"/>
      <c r="AD121" s="422">
        <v>1200000</v>
      </c>
      <c r="AE121" s="59" t="s">
        <v>25</v>
      </c>
      <c r="AF121" s="20"/>
    </row>
    <row r="122" spans="1:34" s="11" customFormat="1" ht="21" customHeight="1">
      <c r="A122" s="46"/>
      <c r="B122" s="47"/>
      <c r="C122" s="47"/>
      <c r="D122" s="210"/>
      <c r="E122" s="121"/>
      <c r="F122" s="121"/>
      <c r="G122" s="121"/>
      <c r="H122" s="121"/>
      <c r="I122" s="121"/>
      <c r="J122" s="121"/>
      <c r="K122" s="121"/>
      <c r="L122" s="121"/>
      <c r="M122" s="121"/>
      <c r="N122" s="72"/>
      <c r="O122" s="253" t="s">
        <v>267</v>
      </c>
      <c r="P122" s="144"/>
      <c r="Q122" s="144"/>
      <c r="R122" s="144"/>
      <c r="S122" s="143"/>
      <c r="T122" s="56"/>
      <c r="U122" s="56"/>
      <c r="V122" s="143"/>
      <c r="W122" s="144"/>
      <c r="X122" s="143"/>
      <c r="Y122" s="143"/>
      <c r="Z122" s="143"/>
      <c r="AA122" s="143"/>
      <c r="AB122" s="188"/>
      <c r="AC122" s="143"/>
      <c r="AD122" s="422">
        <v>1254000</v>
      </c>
      <c r="AE122" s="59" t="s">
        <v>68</v>
      </c>
      <c r="AF122" s="20"/>
    </row>
    <row r="123" spans="1:34" s="11" customFormat="1" ht="21" customHeight="1">
      <c r="A123" s="46"/>
      <c r="B123" s="47"/>
      <c r="C123" s="47"/>
      <c r="D123" s="210"/>
      <c r="E123" s="121"/>
      <c r="F123" s="121"/>
      <c r="G123" s="121"/>
      <c r="H123" s="121"/>
      <c r="I123" s="121"/>
      <c r="J123" s="121"/>
      <c r="K123" s="121"/>
      <c r="L123" s="121"/>
      <c r="M123" s="121"/>
      <c r="N123" s="72"/>
      <c r="O123" s="253" t="s">
        <v>268</v>
      </c>
      <c r="P123" s="51"/>
      <c r="Q123" s="51"/>
      <c r="R123" s="51"/>
      <c r="S123" s="52"/>
      <c r="T123" s="56"/>
      <c r="U123" s="56"/>
      <c r="V123" s="52"/>
      <c r="W123" s="51"/>
      <c r="X123" s="52"/>
      <c r="Y123" s="52"/>
      <c r="Z123" s="52"/>
      <c r="AA123" s="52"/>
      <c r="AB123" s="52"/>
      <c r="AC123" s="52"/>
      <c r="AD123" s="422">
        <v>3000000</v>
      </c>
      <c r="AE123" s="59" t="s">
        <v>25</v>
      </c>
      <c r="AF123" s="20"/>
    </row>
    <row r="124" spans="1:34" s="11" customFormat="1" ht="21" customHeight="1">
      <c r="A124" s="46"/>
      <c r="B124" s="47"/>
      <c r="C124" s="47"/>
      <c r="D124" s="210"/>
      <c r="E124" s="121"/>
      <c r="F124" s="121"/>
      <c r="G124" s="121"/>
      <c r="H124" s="121"/>
      <c r="I124" s="121"/>
      <c r="J124" s="121"/>
      <c r="K124" s="121"/>
      <c r="L124" s="121"/>
      <c r="M124" s="121"/>
      <c r="N124" s="72"/>
      <c r="O124" s="253" t="s">
        <v>269</v>
      </c>
      <c r="P124" s="51"/>
      <c r="Q124" s="51"/>
      <c r="R124" s="51"/>
      <c r="S124" s="52"/>
      <c r="T124" s="56"/>
      <c r="U124" s="56"/>
      <c r="V124" s="52"/>
      <c r="W124" s="51"/>
      <c r="X124" s="52"/>
      <c r="Y124" s="52"/>
      <c r="Z124" s="52"/>
      <c r="AA124" s="52"/>
      <c r="AB124" s="52"/>
      <c r="AC124" s="52"/>
      <c r="AD124" s="422">
        <v>450000</v>
      </c>
      <c r="AE124" s="59" t="s">
        <v>25</v>
      </c>
      <c r="AF124" s="20"/>
    </row>
    <row r="125" spans="1:34" s="11" customFormat="1" ht="21" customHeight="1">
      <c r="A125" s="46"/>
      <c r="B125" s="47"/>
      <c r="C125" s="47"/>
      <c r="D125" s="210"/>
      <c r="E125" s="121"/>
      <c r="F125" s="121"/>
      <c r="G125" s="121"/>
      <c r="H125" s="121"/>
      <c r="I125" s="121"/>
      <c r="J125" s="121"/>
      <c r="K125" s="121"/>
      <c r="L125" s="121"/>
      <c r="M125" s="121"/>
      <c r="N125" s="72"/>
      <c r="O125" s="253" t="s">
        <v>270</v>
      </c>
      <c r="P125" s="144"/>
      <c r="Q125" s="144"/>
      <c r="R125" s="144"/>
      <c r="S125" s="143"/>
      <c r="T125" s="56"/>
      <c r="U125" s="56"/>
      <c r="V125" s="143"/>
      <c r="W125" s="144"/>
      <c r="X125" s="143"/>
      <c r="Y125" s="143"/>
      <c r="Z125" s="143"/>
      <c r="AA125" s="143"/>
      <c r="AB125" s="143"/>
      <c r="AC125" s="143"/>
      <c r="AD125" s="422">
        <v>2400000</v>
      </c>
      <c r="AE125" s="59" t="s">
        <v>68</v>
      </c>
      <c r="AF125" s="20"/>
    </row>
    <row r="126" spans="1:34" s="11" customFormat="1" ht="21" customHeight="1">
      <c r="A126" s="46"/>
      <c r="B126" s="47"/>
      <c r="C126" s="47"/>
      <c r="D126" s="210"/>
      <c r="E126" s="121"/>
      <c r="F126" s="121"/>
      <c r="G126" s="121"/>
      <c r="H126" s="121"/>
      <c r="I126" s="121"/>
      <c r="J126" s="121"/>
      <c r="K126" s="121"/>
      <c r="L126" s="121"/>
      <c r="M126" s="121"/>
      <c r="N126" s="72"/>
      <c r="O126" s="253" t="s">
        <v>271</v>
      </c>
      <c r="P126" s="144"/>
      <c r="Q126" s="144"/>
      <c r="R126" s="144"/>
      <c r="S126" s="143"/>
      <c r="T126" s="56"/>
      <c r="U126" s="56"/>
      <c r="V126" s="143"/>
      <c r="W126" s="144"/>
      <c r="X126" s="143"/>
      <c r="Y126" s="143"/>
      <c r="Z126" s="143"/>
      <c r="AA126" s="143"/>
      <c r="AB126" s="143"/>
      <c r="AC126" s="143"/>
      <c r="AD126" s="422">
        <v>800000</v>
      </c>
      <c r="AE126" s="59" t="s">
        <v>68</v>
      </c>
      <c r="AF126" s="20"/>
    </row>
    <row r="127" spans="1:34" s="11" customFormat="1" ht="21" customHeight="1">
      <c r="A127" s="46"/>
      <c r="B127" s="47"/>
      <c r="C127" s="47"/>
      <c r="D127" s="210"/>
      <c r="E127" s="121"/>
      <c r="F127" s="121"/>
      <c r="G127" s="121"/>
      <c r="H127" s="121"/>
      <c r="I127" s="121"/>
      <c r="J127" s="121"/>
      <c r="K127" s="121"/>
      <c r="L127" s="121"/>
      <c r="M127" s="121"/>
      <c r="N127" s="72"/>
      <c r="O127" s="253" t="s">
        <v>272</v>
      </c>
      <c r="P127" s="144"/>
      <c r="Q127" s="144"/>
      <c r="R127" s="144"/>
      <c r="S127" s="143"/>
      <c r="T127" s="56"/>
      <c r="U127" s="56"/>
      <c r="V127" s="143"/>
      <c r="W127" s="144"/>
      <c r="X127" s="143"/>
      <c r="Y127" s="143"/>
      <c r="Z127" s="143"/>
      <c r="AA127" s="143"/>
      <c r="AB127" s="143"/>
      <c r="AC127" s="143"/>
      <c r="AD127" s="422">
        <v>2000000</v>
      </c>
      <c r="AE127" s="59" t="s">
        <v>68</v>
      </c>
      <c r="AF127" s="20"/>
    </row>
    <row r="128" spans="1:34" s="11" customFormat="1" ht="21" customHeight="1">
      <c r="A128" s="46"/>
      <c r="B128" s="47"/>
      <c r="C128" s="47"/>
      <c r="D128" s="210"/>
      <c r="E128" s="121"/>
      <c r="F128" s="121"/>
      <c r="G128" s="121"/>
      <c r="H128" s="121"/>
      <c r="I128" s="121"/>
      <c r="J128" s="121"/>
      <c r="K128" s="121"/>
      <c r="L128" s="121"/>
      <c r="M128" s="121"/>
      <c r="N128" s="72"/>
      <c r="O128" s="253" t="s">
        <v>273</v>
      </c>
      <c r="P128" s="51"/>
      <c r="Q128" s="51"/>
      <c r="R128" s="51"/>
      <c r="S128" s="52"/>
      <c r="T128" s="56"/>
      <c r="U128" s="56"/>
      <c r="V128" s="52"/>
      <c r="W128" s="51"/>
      <c r="X128" s="52"/>
      <c r="Y128" s="52"/>
      <c r="Z128" s="52"/>
      <c r="AA128" s="52"/>
      <c r="AB128" s="178"/>
      <c r="AC128" s="52"/>
      <c r="AD128" s="422">
        <v>1500000</v>
      </c>
      <c r="AE128" s="59" t="s">
        <v>96</v>
      </c>
      <c r="AF128" s="20"/>
    </row>
    <row r="129" spans="1:32" s="11" customFormat="1" ht="21" customHeight="1">
      <c r="A129" s="46"/>
      <c r="B129" s="47"/>
      <c r="C129" s="47"/>
      <c r="D129" s="210"/>
      <c r="E129" s="121"/>
      <c r="F129" s="121"/>
      <c r="G129" s="121"/>
      <c r="H129" s="121"/>
      <c r="I129" s="121"/>
      <c r="J129" s="121"/>
      <c r="K129" s="121"/>
      <c r="L129" s="121"/>
      <c r="M129" s="121"/>
      <c r="N129" s="72"/>
      <c r="O129" s="253" t="s">
        <v>274</v>
      </c>
      <c r="P129" s="187"/>
      <c r="Q129" s="187"/>
      <c r="R129" s="187"/>
      <c r="S129" s="146">
        <v>250000</v>
      </c>
      <c r="T129" s="147" t="s">
        <v>57</v>
      </c>
      <c r="U129" s="147" t="s">
        <v>26</v>
      </c>
      <c r="V129" s="146">
        <v>12</v>
      </c>
      <c r="W129" s="145" t="s">
        <v>29</v>
      </c>
      <c r="X129" s="146" t="s">
        <v>27</v>
      </c>
      <c r="Y129" s="146"/>
      <c r="Z129" s="146"/>
      <c r="AA129" s="146"/>
      <c r="AB129" s="146"/>
      <c r="AC129" s="146"/>
      <c r="AD129" s="422">
        <f>S129*V129</f>
        <v>3000000</v>
      </c>
      <c r="AE129" s="59" t="s">
        <v>205</v>
      </c>
      <c r="AF129" s="20"/>
    </row>
    <row r="130" spans="1:32" s="11" customFormat="1" ht="21" customHeight="1">
      <c r="A130" s="46"/>
      <c r="B130" s="47"/>
      <c r="C130" s="47"/>
      <c r="D130" s="210"/>
      <c r="E130" s="121"/>
      <c r="F130" s="121"/>
      <c r="G130" s="121"/>
      <c r="H130" s="121"/>
      <c r="I130" s="121"/>
      <c r="J130" s="121"/>
      <c r="K130" s="121"/>
      <c r="L130" s="121"/>
      <c r="M130" s="121"/>
      <c r="N130" s="72"/>
      <c r="O130" s="253" t="s">
        <v>275</v>
      </c>
      <c r="P130" s="253"/>
      <c r="Q130" s="253"/>
      <c r="R130" s="253"/>
      <c r="S130" s="146"/>
      <c r="T130" s="147"/>
      <c r="U130" s="147"/>
      <c r="V130" s="146"/>
      <c r="W130" s="145"/>
      <c r="X130" s="146"/>
      <c r="Y130" s="146"/>
      <c r="Z130" s="146"/>
      <c r="AA130" s="146"/>
      <c r="AB130" s="146"/>
      <c r="AC130" s="146"/>
      <c r="AD130" s="422">
        <v>200000</v>
      </c>
      <c r="AE130" s="59" t="s">
        <v>250</v>
      </c>
      <c r="AF130" s="20"/>
    </row>
    <row r="131" spans="1:32" s="11" customFormat="1" ht="21" customHeight="1">
      <c r="A131" s="46"/>
      <c r="B131" s="47"/>
      <c r="C131" s="47"/>
      <c r="D131" s="210"/>
      <c r="E131" s="121"/>
      <c r="F131" s="121"/>
      <c r="G131" s="121"/>
      <c r="H131" s="121"/>
      <c r="I131" s="121"/>
      <c r="J131" s="121"/>
      <c r="K131" s="121"/>
      <c r="L131" s="121"/>
      <c r="M131" s="121"/>
      <c r="N131" s="72"/>
      <c r="O131" s="446" t="s">
        <v>737</v>
      </c>
      <c r="P131" s="51"/>
      <c r="Q131" s="51"/>
      <c r="R131" s="51"/>
      <c r="S131" s="52"/>
      <c r="T131" s="56"/>
      <c r="U131" s="52"/>
      <c r="V131" s="625"/>
      <c r="W131" s="626"/>
      <c r="X131" s="52"/>
      <c r="Y131" s="52"/>
      <c r="Z131" s="52"/>
      <c r="AA131" s="52"/>
      <c r="AB131" s="456" t="s">
        <v>738</v>
      </c>
      <c r="AC131" s="52"/>
      <c r="AD131" s="457">
        <v>1960000</v>
      </c>
      <c r="AE131" s="59" t="s">
        <v>25</v>
      </c>
      <c r="AF131" s="1"/>
    </row>
    <row r="132" spans="1:32" s="11" customFormat="1" ht="21" customHeight="1">
      <c r="A132" s="46"/>
      <c r="B132" s="47"/>
      <c r="C132" s="47"/>
      <c r="D132" s="210"/>
      <c r="E132" s="121"/>
      <c r="F132" s="121"/>
      <c r="G132" s="121"/>
      <c r="H132" s="121"/>
      <c r="I132" s="121"/>
      <c r="J132" s="121"/>
      <c r="K132" s="121"/>
      <c r="L132" s="121"/>
      <c r="M132" s="121"/>
      <c r="N132" s="72"/>
      <c r="O132" s="253" t="s">
        <v>276</v>
      </c>
      <c r="P132" s="51"/>
      <c r="Q132" s="51"/>
      <c r="R132" s="51"/>
      <c r="S132" s="52"/>
      <c r="T132" s="56"/>
      <c r="U132" s="52"/>
      <c r="V132" s="52"/>
      <c r="W132" s="51"/>
      <c r="X132" s="52"/>
      <c r="Y132" s="52"/>
      <c r="Z132" s="52"/>
      <c r="AA132" s="52"/>
      <c r="AB132" s="275"/>
      <c r="AC132" s="52"/>
      <c r="AD132" s="422">
        <f>SUM(AD133:AD135)</f>
        <v>940000</v>
      </c>
      <c r="AE132" s="59" t="s">
        <v>96</v>
      </c>
      <c r="AF132" s="1"/>
    </row>
    <row r="133" spans="1:32" s="11" customFormat="1" ht="21" customHeight="1">
      <c r="A133" s="46"/>
      <c r="B133" s="47"/>
      <c r="C133" s="47"/>
      <c r="D133" s="210"/>
      <c r="E133" s="121"/>
      <c r="F133" s="121"/>
      <c r="G133" s="121"/>
      <c r="H133" s="121"/>
      <c r="I133" s="121"/>
      <c r="J133" s="121"/>
      <c r="K133" s="121"/>
      <c r="L133" s="121"/>
      <c r="M133" s="121"/>
      <c r="N133" s="72"/>
      <c r="O133" s="145" t="s">
        <v>115</v>
      </c>
      <c r="P133" s="145"/>
      <c r="Q133" s="145"/>
      <c r="R133" s="145"/>
      <c r="S133" s="146">
        <v>55000</v>
      </c>
      <c r="T133" s="147" t="s">
        <v>93</v>
      </c>
      <c r="U133" s="147" t="s">
        <v>26</v>
      </c>
      <c r="V133" s="146">
        <v>12</v>
      </c>
      <c r="W133" s="145" t="s">
        <v>29</v>
      </c>
      <c r="X133" s="146" t="s">
        <v>27</v>
      </c>
      <c r="Y133" s="146"/>
      <c r="Z133" s="146"/>
      <c r="AA133" s="146"/>
      <c r="AB133" s="146"/>
      <c r="AC133" s="146"/>
      <c r="AD133" s="422">
        <f>S133*V133</f>
        <v>660000</v>
      </c>
      <c r="AE133" s="148" t="s">
        <v>96</v>
      </c>
      <c r="AF133" s="1"/>
    </row>
    <row r="134" spans="1:32" s="11" customFormat="1" ht="21" customHeight="1">
      <c r="A134" s="46"/>
      <c r="B134" s="47"/>
      <c r="C134" s="47"/>
      <c r="D134" s="210"/>
      <c r="E134" s="121"/>
      <c r="F134" s="121"/>
      <c r="G134" s="121"/>
      <c r="H134" s="121"/>
      <c r="I134" s="121"/>
      <c r="J134" s="121"/>
      <c r="K134" s="121"/>
      <c r="L134" s="121"/>
      <c r="M134" s="121"/>
      <c r="N134" s="72"/>
      <c r="O134" s="145" t="s">
        <v>116</v>
      </c>
      <c r="P134" s="145"/>
      <c r="Q134" s="145"/>
      <c r="R134" s="145"/>
      <c r="S134" s="146">
        <v>15000</v>
      </c>
      <c r="T134" s="147" t="s">
        <v>93</v>
      </c>
      <c r="U134" s="147" t="s">
        <v>26</v>
      </c>
      <c r="V134" s="146">
        <v>12</v>
      </c>
      <c r="W134" s="145" t="s">
        <v>29</v>
      </c>
      <c r="X134" s="146" t="s">
        <v>27</v>
      </c>
      <c r="Y134" s="146"/>
      <c r="Z134" s="146"/>
      <c r="AA134" s="146"/>
      <c r="AB134" s="146"/>
      <c r="AC134" s="146"/>
      <c r="AD134" s="422">
        <f>S134*V134</f>
        <v>180000</v>
      </c>
      <c r="AE134" s="148" t="s">
        <v>96</v>
      </c>
      <c r="AF134" s="1"/>
    </row>
    <row r="135" spans="1:32" s="11" customFormat="1" ht="21" customHeight="1">
      <c r="A135" s="46"/>
      <c r="B135" s="47"/>
      <c r="C135" s="61"/>
      <c r="D135" s="211"/>
      <c r="E135" s="124"/>
      <c r="F135" s="124"/>
      <c r="G135" s="124"/>
      <c r="H135" s="124"/>
      <c r="I135" s="124"/>
      <c r="J135" s="124"/>
      <c r="K135" s="124"/>
      <c r="L135" s="124"/>
      <c r="M135" s="124"/>
      <c r="N135" s="92"/>
      <c r="O135" s="149" t="s">
        <v>117</v>
      </c>
      <c r="P135" s="149"/>
      <c r="Q135" s="149"/>
      <c r="R135" s="149"/>
      <c r="S135" s="149"/>
      <c r="T135" s="149"/>
      <c r="U135" s="149"/>
      <c r="V135" s="149"/>
      <c r="W135" s="149"/>
      <c r="X135" s="149"/>
      <c r="Y135" s="149"/>
      <c r="Z135" s="149"/>
      <c r="AA135" s="149"/>
      <c r="AB135" s="149"/>
      <c r="AC135" s="149"/>
      <c r="AD135" s="439">
        <v>100000</v>
      </c>
      <c r="AE135" s="150" t="s">
        <v>96</v>
      </c>
      <c r="AF135" s="1"/>
    </row>
    <row r="136" spans="1:32" s="11" customFormat="1" ht="21" customHeight="1">
      <c r="A136" s="46"/>
      <c r="B136" s="47"/>
      <c r="C136" s="47" t="s">
        <v>39</v>
      </c>
      <c r="D136" s="210">
        <v>27790</v>
      </c>
      <c r="E136" s="121">
        <f>ROUND(AD136/1000,0)</f>
        <v>27790</v>
      </c>
      <c r="F136" s="121">
        <v>23000</v>
      </c>
      <c r="G136" s="121">
        <v>0</v>
      </c>
      <c r="H136" s="121">
        <v>0</v>
      </c>
      <c r="I136" s="121">
        <v>0</v>
      </c>
      <c r="J136" s="121">
        <v>4790</v>
      </c>
      <c r="K136" s="121">
        <v>0</v>
      </c>
      <c r="L136" s="121">
        <v>0</v>
      </c>
      <c r="M136" s="121">
        <f>E136-D136</f>
        <v>0</v>
      </c>
      <c r="N136" s="72">
        <f>IF(D136=0,0,M136/D136)</f>
        <v>0</v>
      </c>
      <c r="O136" s="129" t="s">
        <v>43</v>
      </c>
      <c r="P136" s="33"/>
      <c r="Q136" s="33"/>
      <c r="R136" s="33"/>
      <c r="S136" s="33"/>
      <c r="T136" s="34"/>
      <c r="U136" s="34"/>
      <c r="V136" s="34"/>
      <c r="W136" s="34"/>
      <c r="X136" s="34"/>
      <c r="Y136" s="233" t="s">
        <v>256</v>
      </c>
      <c r="Z136" s="233"/>
      <c r="AA136" s="233"/>
      <c r="AB136" s="233"/>
      <c r="AC136" s="235"/>
      <c r="AD136" s="235">
        <f>ROUND(SUM(AD137:AD142),-3)</f>
        <v>27790000</v>
      </c>
      <c r="AE136" s="234" t="s">
        <v>25</v>
      </c>
      <c r="AF136" s="1"/>
    </row>
    <row r="137" spans="1:32" s="11" customFormat="1" ht="21" customHeight="1">
      <c r="A137" s="46"/>
      <c r="B137" s="47"/>
      <c r="C137" s="47"/>
      <c r="D137" s="210"/>
      <c r="E137" s="121"/>
      <c r="F137" s="121"/>
      <c r="G137" s="121"/>
      <c r="H137" s="121"/>
      <c r="I137" s="121"/>
      <c r="J137" s="121"/>
      <c r="K137" s="121"/>
      <c r="L137" s="121"/>
      <c r="M137" s="121"/>
      <c r="N137" s="72"/>
      <c r="O137" s="216" t="s">
        <v>118</v>
      </c>
      <c r="P137" s="51"/>
      <c r="Q137" s="51"/>
      <c r="R137" s="51"/>
      <c r="S137" s="146">
        <v>100000</v>
      </c>
      <c r="T137" s="147" t="s">
        <v>25</v>
      </c>
      <c r="U137" s="147" t="s">
        <v>26</v>
      </c>
      <c r="V137" s="146">
        <v>12</v>
      </c>
      <c r="W137" s="145" t="s">
        <v>29</v>
      </c>
      <c r="X137" s="146" t="s">
        <v>27</v>
      </c>
      <c r="Y137" s="52"/>
      <c r="Z137" s="52"/>
      <c r="AA137" s="143"/>
      <c r="AB137" s="52"/>
      <c r="AC137" s="52"/>
      <c r="AD137" s="422">
        <f>S137*V137</f>
        <v>1200000</v>
      </c>
      <c r="AE137" s="59" t="s">
        <v>25</v>
      </c>
      <c r="AF137" s="1"/>
    </row>
    <row r="138" spans="1:32" s="11" customFormat="1" ht="21" customHeight="1">
      <c r="A138" s="46"/>
      <c r="B138" s="47"/>
      <c r="C138" s="47"/>
      <c r="D138" s="210"/>
      <c r="E138" s="121"/>
      <c r="F138" s="121"/>
      <c r="G138" s="121"/>
      <c r="H138" s="121"/>
      <c r="I138" s="121"/>
      <c r="J138" s="121"/>
      <c r="K138" s="121"/>
      <c r="L138" s="121"/>
      <c r="M138" s="121"/>
      <c r="N138" s="72"/>
      <c r="O138" s="206" t="s">
        <v>206</v>
      </c>
      <c r="P138" s="187"/>
      <c r="Q138" s="187"/>
      <c r="R138" s="187"/>
      <c r="S138" s="252">
        <v>35000</v>
      </c>
      <c r="T138" s="56" t="s">
        <v>57</v>
      </c>
      <c r="U138" s="56" t="s">
        <v>26</v>
      </c>
      <c r="V138" s="252">
        <v>12</v>
      </c>
      <c r="W138" s="253" t="s">
        <v>0</v>
      </c>
      <c r="X138" s="252" t="s">
        <v>27</v>
      </c>
      <c r="Y138" s="252"/>
      <c r="Z138" s="252"/>
      <c r="AA138" s="252"/>
      <c r="AB138" s="252"/>
      <c r="AC138" s="252"/>
      <c r="AD138" s="422">
        <f>S138*V138</f>
        <v>420000</v>
      </c>
      <c r="AE138" s="59" t="s">
        <v>205</v>
      </c>
      <c r="AF138" s="1"/>
    </row>
    <row r="139" spans="1:32" s="11" customFormat="1" ht="21" customHeight="1">
      <c r="A139" s="46"/>
      <c r="B139" s="47"/>
      <c r="C139" s="47"/>
      <c r="D139" s="210"/>
      <c r="E139" s="121"/>
      <c r="F139" s="121"/>
      <c r="G139" s="121"/>
      <c r="H139" s="121"/>
      <c r="I139" s="121"/>
      <c r="J139" s="121"/>
      <c r="K139" s="121"/>
      <c r="L139" s="121"/>
      <c r="M139" s="121"/>
      <c r="N139" s="72"/>
      <c r="O139" s="206" t="s">
        <v>119</v>
      </c>
      <c r="P139" s="51"/>
      <c r="Q139" s="51"/>
      <c r="R139" s="51"/>
      <c r="S139" s="252">
        <v>1200000</v>
      </c>
      <c r="T139" s="56" t="s">
        <v>57</v>
      </c>
      <c r="U139" s="56" t="s">
        <v>26</v>
      </c>
      <c r="V139" s="252">
        <v>12</v>
      </c>
      <c r="W139" s="253" t="s">
        <v>0</v>
      </c>
      <c r="X139" s="252" t="s">
        <v>27</v>
      </c>
      <c r="Y139" s="252"/>
      <c r="Z139" s="252"/>
      <c r="AA139" s="252"/>
      <c r="AB139" s="252"/>
      <c r="AC139" s="252"/>
      <c r="AD139" s="422">
        <f>S139*V139</f>
        <v>14400000</v>
      </c>
      <c r="AE139" s="59" t="s">
        <v>25</v>
      </c>
      <c r="AF139" s="1"/>
    </row>
    <row r="140" spans="1:32" s="14" customFormat="1" ht="21" customHeight="1">
      <c r="A140" s="46"/>
      <c r="B140" s="47"/>
      <c r="C140" s="47"/>
      <c r="D140" s="210"/>
      <c r="E140" s="121"/>
      <c r="F140" s="121"/>
      <c r="G140" s="121"/>
      <c r="H140" s="121"/>
      <c r="I140" s="121"/>
      <c r="J140" s="121"/>
      <c r="K140" s="121"/>
      <c r="L140" s="121"/>
      <c r="M140" s="121"/>
      <c r="N140" s="72"/>
      <c r="O140" s="206" t="s">
        <v>120</v>
      </c>
      <c r="P140" s="51"/>
      <c r="Q140" s="51"/>
      <c r="R140" s="51"/>
      <c r="S140" s="252">
        <v>850000</v>
      </c>
      <c r="T140" s="56" t="s">
        <v>57</v>
      </c>
      <c r="U140" s="56" t="s">
        <v>26</v>
      </c>
      <c r="V140" s="252">
        <v>12</v>
      </c>
      <c r="W140" s="253" t="s">
        <v>0</v>
      </c>
      <c r="X140" s="252" t="s">
        <v>27</v>
      </c>
      <c r="Y140" s="252"/>
      <c r="Z140" s="252"/>
      <c r="AA140" s="252"/>
      <c r="AB140" s="252"/>
      <c r="AC140" s="252"/>
      <c r="AD140" s="422">
        <f>S140*V140</f>
        <v>10200000</v>
      </c>
      <c r="AE140" s="59" t="s">
        <v>25</v>
      </c>
      <c r="AF140" s="4"/>
    </row>
    <row r="141" spans="1:32" s="14" customFormat="1" ht="21" customHeight="1">
      <c r="A141" s="46"/>
      <c r="B141" s="47"/>
      <c r="C141" s="47"/>
      <c r="D141" s="210"/>
      <c r="E141" s="121"/>
      <c r="F141" s="121"/>
      <c r="G141" s="121"/>
      <c r="H141" s="121"/>
      <c r="I141" s="121"/>
      <c r="J141" s="121"/>
      <c r="K141" s="121"/>
      <c r="L141" s="121"/>
      <c r="M141" s="121"/>
      <c r="N141" s="72"/>
      <c r="O141" s="144" t="s">
        <v>158</v>
      </c>
      <c r="P141" s="51"/>
      <c r="Q141" s="51"/>
      <c r="R141" s="51"/>
      <c r="S141" s="252">
        <v>10000</v>
      </c>
      <c r="T141" s="56" t="s">
        <v>57</v>
      </c>
      <c r="U141" s="56" t="s">
        <v>26</v>
      </c>
      <c r="V141" s="252">
        <v>12</v>
      </c>
      <c r="W141" s="253" t="s">
        <v>0</v>
      </c>
      <c r="X141" s="252" t="s">
        <v>27</v>
      </c>
      <c r="Y141" s="252"/>
      <c r="Z141" s="252"/>
      <c r="AA141" s="252"/>
      <c r="AB141" s="252"/>
      <c r="AC141" s="252"/>
      <c r="AD141" s="422">
        <f>S141*V141</f>
        <v>120000</v>
      </c>
      <c r="AE141" s="59" t="s">
        <v>25</v>
      </c>
      <c r="AF141" s="4"/>
    </row>
    <row r="142" spans="1:32" s="14" customFormat="1" ht="21" customHeight="1">
      <c r="A142" s="46"/>
      <c r="B142" s="47"/>
      <c r="C142" s="47"/>
      <c r="D142" s="210"/>
      <c r="E142" s="121"/>
      <c r="F142" s="121"/>
      <c r="G142" s="121"/>
      <c r="H142" s="121"/>
      <c r="I142" s="121"/>
      <c r="J142" s="121"/>
      <c r="K142" s="121"/>
      <c r="L142" s="121"/>
      <c r="M142" s="121"/>
      <c r="N142" s="72"/>
      <c r="O142" s="182" t="s">
        <v>176</v>
      </c>
      <c r="P142" s="144"/>
      <c r="Q142" s="144"/>
      <c r="R142" s="144"/>
      <c r="S142" s="143"/>
      <c r="T142" s="56"/>
      <c r="U142" s="56"/>
      <c r="V142" s="143"/>
      <c r="W142" s="144"/>
      <c r="X142" s="143"/>
      <c r="Y142" s="143"/>
      <c r="Z142" s="143"/>
      <c r="AA142" s="143"/>
      <c r="AB142" s="143"/>
      <c r="AC142" s="143"/>
      <c r="AD142" s="422">
        <v>1450000</v>
      </c>
      <c r="AE142" s="59" t="s">
        <v>68</v>
      </c>
      <c r="AF142" s="4"/>
    </row>
    <row r="143" spans="1:32" s="14" customFormat="1" ht="21" customHeight="1">
      <c r="A143" s="46"/>
      <c r="B143" s="47"/>
      <c r="C143" s="47"/>
      <c r="D143" s="210"/>
      <c r="E143" s="121"/>
      <c r="F143" s="121"/>
      <c r="G143" s="121"/>
      <c r="H143" s="121"/>
      <c r="I143" s="121"/>
      <c r="J143" s="121"/>
      <c r="K143" s="121"/>
      <c r="L143" s="121"/>
      <c r="M143" s="121"/>
      <c r="N143" s="72"/>
      <c r="O143" s="133"/>
      <c r="P143" s="51"/>
      <c r="Q143" s="51"/>
      <c r="R143" s="51"/>
      <c r="S143" s="52"/>
      <c r="T143" s="56"/>
      <c r="U143" s="56"/>
      <c r="V143" s="52"/>
      <c r="W143" s="51"/>
      <c r="X143" s="52"/>
      <c r="Y143" s="52"/>
      <c r="Z143" s="52"/>
      <c r="AA143" s="52"/>
      <c r="AB143" s="178"/>
      <c r="AC143" s="52"/>
      <c r="AD143" s="52"/>
      <c r="AE143" s="59"/>
      <c r="AF143" s="4"/>
    </row>
    <row r="144" spans="1:32" ht="21" customHeight="1">
      <c r="A144" s="46"/>
      <c r="B144" s="47"/>
      <c r="C144" s="37" t="s">
        <v>15</v>
      </c>
      <c r="D144" s="212">
        <v>7470</v>
      </c>
      <c r="E144" s="126">
        <f>ROUND(AD144/1000,0)</f>
        <v>7470</v>
      </c>
      <c r="F144" s="126">
        <v>7350</v>
      </c>
      <c r="G144" s="126">
        <v>0</v>
      </c>
      <c r="H144" s="126">
        <v>0</v>
      </c>
      <c r="I144" s="126">
        <v>0</v>
      </c>
      <c r="J144" s="126">
        <v>0</v>
      </c>
      <c r="K144" s="126">
        <v>0</v>
      </c>
      <c r="L144" s="126">
        <v>120</v>
      </c>
      <c r="M144" s="261">
        <f>E144-D144</f>
        <v>0</v>
      </c>
      <c r="N144" s="134">
        <f>IF(D144=0,0,M144/D144)</f>
        <v>0</v>
      </c>
      <c r="O144" s="107" t="s">
        <v>44</v>
      </c>
      <c r="P144" s="103"/>
      <c r="Q144" s="103"/>
      <c r="R144" s="103"/>
      <c r="S144" s="103"/>
      <c r="T144" s="97"/>
      <c r="U144" s="97"/>
      <c r="V144" s="97"/>
      <c r="W144" s="97"/>
      <c r="X144" s="97"/>
      <c r="Y144" s="233" t="s">
        <v>256</v>
      </c>
      <c r="Z144" s="233"/>
      <c r="AA144" s="233"/>
      <c r="AB144" s="233"/>
      <c r="AC144" s="235"/>
      <c r="AD144" s="235">
        <f>SUM(AD146:AD156)</f>
        <v>7470000</v>
      </c>
      <c r="AE144" s="234" t="s">
        <v>25</v>
      </c>
    </row>
    <row r="145" spans="1:32" s="11" customFormat="1" ht="21" customHeight="1">
      <c r="A145" s="46"/>
      <c r="B145" s="47"/>
      <c r="C145" s="47"/>
      <c r="D145" s="210"/>
      <c r="E145" s="121"/>
      <c r="F145" s="121"/>
      <c r="G145" s="121"/>
      <c r="H145" s="121"/>
      <c r="I145" s="121"/>
      <c r="J145" s="121"/>
      <c r="K145" s="121"/>
      <c r="L145" s="121"/>
      <c r="M145" s="121"/>
      <c r="N145" s="72"/>
      <c r="O145" s="51" t="s">
        <v>121</v>
      </c>
      <c r="P145" s="51"/>
      <c r="Q145" s="51"/>
      <c r="R145" s="51"/>
      <c r="S145" s="51"/>
      <c r="T145" s="52"/>
      <c r="U145" s="52"/>
      <c r="V145" s="52"/>
      <c r="W145" s="52"/>
      <c r="X145" s="52"/>
      <c r="Y145" s="52"/>
      <c r="Z145" s="52"/>
      <c r="AA145" s="52"/>
      <c r="AB145" s="52"/>
      <c r="AC145" s="70"/>
      <c r="AD145" s="70"/>
      <c r="AE145" s="59"/>
      <c r="AF145" s="1"/>
    </row>
    <row r="146" spans="1:32" s="11" customFormat="1" ht="21" customHeight="1">
      <c r="A146" s="46"/>
      <c r="B146" s="47"/>
      <c r="C146" s="47"/>
      <c r="D146" s="210"/>
      <c r="E146" s="121"/>
      <c r="F146" s="121"/>
      <c r="G146" s="121"/>
      <c r="H146" s="121"/>
      <c r="I146" s="121"/>
      <c r="J146" s="121"/>
      <c r="K146" s="121"/>
      <c r="L146" s="121"/>
      <c r="M146" s="121"/>
      <c r="N146" s="72"/>
      <c r="O146" s="51" t="s">
        <v>122</v>
      </c>
      <c r="P146" s="151"/>
      <c r="Q146" s="151"/>
      <c r="R146" s="151"/>
      <c r="S146" s="52">
        <v>100000</v>
      </c>
      <c r="T146" s="56" t="s">
        <v>93</v>
      </c>
      <c r="U146" s="56" t="s">
        <v>26</v>
      </c>
      <c r="V146" s="52">
        <v>12</v>
      </c>
      <c r="W146" s="51" t="s">
        <v>110</v>
      </c>
      <c r="X146" s="52" t="s">
        <v>27</v>
      </c>
      <c r="Y146" s="52"/>
      <c r="Z146" s="52"/>
      <c r="AA146" s="52"/>
      <c r="AB146" s="408" t="s">
        <v>549</v>
      </c>
      <c r="AC146" s="52"/>
      <c r="AD146" s="422">
        <f>S146*V146</f>
        <v>1200000</v>
      </c>
      <c r="AE146" s="59" t="s">
        <v>25</v>
      </c>
      <c r="AF146" s="1"/>
    </row>
    <row r="147" spans="1:32" s="11" customFormat="1" ht="21" customHeight="1">
      <c r="A147" s="46"/>
      <c r="B147" s="47"/>
      <c r="C147" s="47"/>
      <c r="D147" s="210"/>
      <c r="E147" s="121"/>
      <c r="F147" s="121"/>
      <c r="G147" s="121"/>
      <c r="H147" s="121"/>
      <c r="I147" s="121"/>
      <c r="J147" s="121"/>
      <c r="K147" s="121"/>
      <c r="L147" s="121"/>
      <c r="M147" s="121"/>
      <c r="N147" s="72"/>
      <c r="O147" s="51" t="s">
        <v>123</v>
      </c>
      <c r="P147" s="151"/>
      <c r="Q147" s="151"/>
      <c r="R147" s="151"/>
      <c r="S147" s="52">
        <v>80000</v>
      </c>
      <c r="T147" s="56" t="s">
        <v>93</v>
      </c>
      <c r="U147" s="56" t="s">
        <v>26</v>
      </c>
      <c r="V147" s="52">
        <v>12</v>
      </c>
      <c r="W147" s="51" t="s">
        <v>110</v>
      </c>
      <c r="X147" s="52" t="s">
        <v>27</v>
      </c>
      <c r="Y147" s="52"/>
      <c r="Z147" s="52"/>
      <c r="AA147" s="52"/>
      <c r="AB147" s="416" t="s">
        <v>592</v>
      </c>
      <c r="AC147" s="52"/>
      <c r="AD147" s="422">
        <f>S147*V147</f>
        <v>960000</v>
      </c>
      <c r="AE147" s="59" t="s">
        <v>25</v>
      </c>
      <c r="AF147" s="1"/>
    </row>
    <row r="148" spans="1:32" s="11" customFormat="1" ht="21" customHeight="1">
      <c r="A148" s="46"/>
      <c r="B148" s="47"/>
      <c r="C148" s="47"/>
      <c r="D148" s="210"/>
      <c r="E148" s="121"/>
      <c r="F148" s="121"/>
      <c r="G148" s="121"/>
      <c r="H148" s="121"/>
      <c r="I148" s="121"/>
      <c r="J148" s="121"/>
      <c r="K148" s="121"/>
      <c r="L148" s="121"/>
      <c r="M148" s="121"/>
      <c r="N148" s="72"/>
      <c r="O148" s="51" t="s">
        <v>124</v>
      </c>
      <c r="P148" s="151"/>
      <c r="Q148" s="151"/>
      <c r="R148" s="151"/>
      <c r="S148" s="52">
        <v>10000</v>
      </c>
      <c r="T148" s="56" t="s">
        <v>93</v>
      </c>
      <c r="U148" s="56" t="s">
        <v>26</v>
      </c>
      <c r="V148" s="52">
        <v>12</v>
      </c>
      <c r="W148" s="51" t="s">
        <v>110</v>
      </c>
      <c r="X148" s="52" t="s">
        <v>27</v>
      </c>
      <c r="Y148" s="52"/>
      <c r="Z148" s="52"/>
      <c r="AA148" s="52"/>
      <c r="AB148" s="275" t="s">
        <v>324</v>
      </c>
      <c r="AC148" s="52"/>
      <c r="AD148" s="422">
        <f>S148*V148</f>
        <v>120000</v>
      </c>
      <c r="AE148" s="59" t="s">
        <v>25</v>
      </c>
      <c r="AF148" s="1"/>
    </row>
    <row r="149" spans="1:32" s="11" customFormat="1" ht="21" customHeight="1">
      <c r="A149" s="46"/>
      <c r="B149" s="47"/>
      <c r="C149" s="47"/>
      <c r="D149" s="210"/>
      <c r="E149" s="121"/>
      <c r="F149" s="121"/>
      <c r="G149" s="121"/>
      <c r="H149" s="121"/>
      <c r="I149" s="121"/>
      <c r="J149" s="121"/>
      <c r="K149" s="121"/>
      <c r="L149" s="121"/>
      <c r="M149" s="121"/>
      <c r="N149" s="72"/>
      <c r="O149" s="51" t="s">
        <v>125</v>
      </c>
      <c r="P149" s="151"/>
      <c r="Q149" s="151"/>
      <c r="R149" s="151"/>
      <c r="S149" s="151"/>
      <c r="T149" s="70"/>
      <c r="U149" s="152"/>
      <c r="V149" s="51"/>
      <c r="W149" s="56"/>
      <c r="X149" s="52"/>
      <c r="Y149" s="52"/>
      <c r="Z149" s="52"/>
      <c r="AA149" s="51"/>
      <c r="AB149" s="409" t="s">
        <v>114</v>
      </c>
      <c r="AC149" s="52"/>
      <c r="AD149" s="422">
        <v>148000</v>
      </c>
      <c r="AE149" s="59" t="s">
        <v>25</v>
      </c>
      <c r="AF149" s="1"/>
    </row>
    <row r="150" spans="1:32" s="11" customFormat="1" ht="21" customHeight="1">
      <c r="A150" s="46"/>
      <c r="B150" s="47"/>
      <c r="C150" s="47"/>
      <c r="D150" s="210"/>
      <c r="E150" s="121"/>
      <c r="F150" s="121"/>
      <c r="G150" s="121"/>
      <c r="H150" s="121"/>
      <c r="I150" s="121"/>
      <c r="J150" s="121"/>
      <c r="K150" s="121"/>
      <c r="L150" s="121"/>
      <c r="M150" s="121"/>
      <c r="N150" s="72"/>
      <c r="O150" s="51"/>
      <c r="P150" s="151"/>
      <c r="Q150" s="151"/>
      <c r="R150" s="151"/>
      <c r="S150" s="151"/>
      <c r="T150" s="70"/>
      <c r="U150" s="152"/>
      <c r="V150" s="51"/>
      <c r="W150" s="56"/>
      <c r="X150" s="52"/>
      <c r="Y150" s="52"/>
      <c r="Z150" s="52"/>
      <c r="AA150" s="51"/>
      <c r="AB150" s="51"/>
      <c r="AC150" s="52"/>
      <c r="AD150" s="422"/>
      <c r="AE150" s="59"/>
      <c r="AF150" s="1"/>
    </row>
    <row r="151" spans="1:32" s="11" customFormat="1" ht="21" customHeight="1">
      <c r="A151" s="46"/>
      <c r="B151" s="47"/>
      <c r="C151" s="47"/>
      <c r="D151" s="210"/>
      <c r="E151" s="121"/>
      <c r="F151" s="121"/>
      <c r="G151" s="121"/>
      <c r="H151" s="121"/>
      <c r="I151" s="121"/>
      <c r="J151" s="121"/>
      <c r="K151" s="121"/>
      <c r="L151" s="121"/>
      <c r="M151" s="121"/>
      <c r="N151" s="72"/>
      <c r="O151" s="631" t="s">
        <v>126</v>
      </c>
      <c r="P151" s="631"/>
      <c r="Q151" s="631"/>
      <c r="R151" s="631"/>
      <c r="S151" s="631"/>
      <c r="T151" s="51"/>
      <c r="U151" s="52"/>
      <c r="V151" s="51"/>
      <c r="W151" s="56"/>
      <c r="X151" s="52"/>
      <c r="Y151" s="52"/>
      <c r="Z151" s="52"/>
      <c r="AA151" s="51"/>
      <c r="AB151" s="51"/>
      <c r="AC151" s="52"/>
      <c r="AD151" s="422"/>
      <c r="AE151" s="59"/>
      <c r="AF151" s="1"/>
    </row>
    <row r="152" spans="1:32" s="11" customFormat="1" ht="21" customHeight="1">
      <c r="A152" s="46"/>
      <c r="B152" s="47"/>
      <c r="C152" s="47"/>
      <c r="D152" s="210"/>
      <c r="E152" s="121"/>
      <c r="F152" s="121"/>
      <c r="G152" s="121"/>
      <c r="H152" s="121"/>
      <c r="I152" s="121"/>
      <c r="J152" s="121"/>
      <c r="K152" s="121"/>
      <c r="L152" s="121"/>
      <c r="M152" s="121"/>
      <c r="N152" s="72"/>
      <c r="O152" s="144" t="s">
        <v>159</v>
      </c>
      <c r="P152" s="31"/>
      <c r="Q152" s="31"/>
      <c r="R152" s="31"/>
      <c r="S152" s="51"/>
      <c r="T152" s="70"/>
      <c r="U152" s="152"/>
      <c r="V152" s="51"/>
      <c r="W152" s="56"/>
      <c r="X152" s="52"/>
      <c r="Y152" s="52"/>
      <c r="Z152" s="52"/>
      <c r="AA152" s="51"/>
      <c r="AB152" s="409" t="s">
        <v>555</v>
      </c>
      <c r="AC152" s="52"/>
      <c r="AD152" s="422">
        <v>2900000</v>
      </c>
      <c r="AE152" s="59" t="s">
        <v>25</v>
      </c>
      <c r="AF152" s="1"/>
    </row>
    <row r="153" spans="1:32" s="11" customFormat="1" ht="21" customHeight="1">
      <c r="A153" s="46"/>
      <c r="B153" s="47"/>
      <c r="C153" s="47"/>
      <c r="D153" s="210"/>
      <c r="E153" s="121"/>
      <c r="F153" s="121"/>
      <c r="G153" s="121"/>
      <c r="H153" s="121"/>
      <c r="I153" s="121"/>
      <c r="J153" s="121"/>
      <c r="K153" s="121"/>
      <c r="L153" s="121"/>
      <c r="M153" s="121"/>
      <c r="N153" s="72"/>
      <c r="O153" s="51" t="s">
        <v>127</v>
      </c>
      <c r="P153" s="151"/>
      <c r="Q153" s="151"/>
      <c r="R153" s="151"/>
      <c r="S153" s="151"/>
      <c r="T153" s="151"/>
      <c r="U153" s="151"/>
      <c r="V153" s="151"/>
      <c r="W153" s="151"/>
      <c r="X153" s="151"/>
      <c r="Y153" s="52"/>
      <c r="Z153" s="52"/>
      <c r="AA153" s="51"/>
      <c r="AB153" s="409" t="s">
        <v>555</v>
      </c>
      <c r="AC153" s="52"/>
      <c r="AD153" s="422">
        <v>163000</v>
      </c>
      <c r="AE153" s="59" t="s">
        <v>25</v>
      </c>
      <c r="AF153" s="1"/>
    </row>
    <row r="154" spans="1:32" s="11" customFormat="1" ht="21" customHeight="1">
      <c r="A154" s="46"/>
      <c r="B154" s="47"/>
      <c r="C154" s="47"/>
      <c r="D154" s="210"/>
      <c r="E154" s="121"/>
      <c r="F154" s="121"/>
      <c r="G154" s="121"/>
      <c r="H154" s="121"/>
      <c r="I154" s="121"/>
      <c r="J154" s="121"/>
      <c r="K154" s="121"/>
      <c r="L154" s="121"/>
      <c r="M154" s="121"/>
      <c r="N154" s="72"/>
      <c r="O154" s="51" t="s">
        <v>128</v>
      </c>
      <c r="P154" s="31"/>
      <c r="Q154" s="31"/>
      <c r="R154" s="31"/>
      <c r="S154" s="51"/>
      <c r="T154" s="70"/>
      <c r="U154" s="152"/>
      <c r="V154" s="51"/>
      <c r="W154" s="56"/>
      <c r="X154" s="52"/>
      <c r="Y154" s="52"/>
      <c r="Z154" s="52"/>
      <c r="AA154" s="51"/>
      <c r="AB154" s="409" t="s">
        <v>555</v>
      </c>
      <c r="AC154" s="52"/>
      <c r="AD154" s="422">
        <v>659000</v>
      </c>
      <c r="AE154" s="59" t="s">
        <v>25</v>
      </c>
      <c r="AF154" s="1"/>
    </row>
    <row r="155" spans="1:32" s="11" customFormat="1" ht="21" customHeight="1">
      <c r="A155" s="46"/>
      <c r="B155" s="47"/>
      <c r="C155" s="47"/>
      <c r="D155" s="210"/>
      <c r="E155" s="121"/>
      <c r="F155" s="121"/>
      <c r="G155" s="121"/>
      <c r="H155" s="121"/>
      <c r="I155" s="121"/>
      <c r="J155" s="121"/>
      <c r="K155" s="121"/>
      <c r="L155" s="121"/>
      <c r="M155" s="121"/>
      <c r="N155" s="72"/>
      <c r="O155" s="144" t="s">
        <v>160</v>
      </c>
      <c r="P155" s="31"/>
      <c r="Q155" s="31"/>
      <c r="R155" s="31"/>
      <c r="S155" s="144"/>
      <c r="T155" s="70"/>
      <c r="U155" s="152"/>
      <c r="V155" s="144"/>
      <c r="W155" s="56"/>
      <c r="X155" s="143"/>
      <c r="Y155" s="143"/>
      <c r="Z155" s="143"/>
      <c r="AA155" s="144"/>
      <c r="AB155" s="417" t="s">
        <v>593</v>
      </c>
      <c r="AC155" s="143"/>
      <c r="AD155" s="422">
        <v>1200000</v>
      </c>
      <c r="AE155" s="59" t="s">
        <v>68</v>
      </c>
      <c r="AF155" s="1"/>
    </row>
    <row r="156" spans="1:32" s="11" customFormat="1" ht="21" customHeight="1">
      <c r="A156" s="46"/>
      <c r="B156" s="47"/>
      <c r="C156" s="47"/>
      <c r="D156" s="210"/>
      <c r="E156" s="121"/>
      <c r="F156" s="121"/>
      <c r="G156" s="121"/>
      <c r="H156" s="121"/>
      <c r="I156" s="121"/>
      <c r="J156" s="121"/>
      <c r="K156" s="121"/>
      <c r="L156" s="121"/>
      <c r="M156" s="121"/>
      <c r="N156" s="72"/>
      <c r="O156" s="182" t="s">
        <v>175</v>
      </c>
      <c r="P156" s="31"/>
      <c r="Q156" s="31"/>
      <c r="R156" s="31"/>
      <c r="S156" s="144"/>
      <c r="T156" s="70"/>
      <c r="U156" s="152"/>
      <c r="V156" s="144"/>
      <c r="W156" s="56"/>
      <c r="X156" s="143"/>
      <c r="Y156" s="143"/>
      <c r="Z156" s="143"/>
      <c r="AA156" s="144"/>
      <c r="AB156" s="417" t="s">
        <v>592</v>
      </c>
      <c r="AC156" s="143"/>
      <c r="AD156" s="422">
        <v>120000</v>
      </c>
      <c r="AE156" s="59" t="s">
        <v>68</v>
      </c>
      <c r="AF156" s="1"/>
    </row>
    <row r="157" spans="1:32" s="11" customFormat="1" ht="21" customHeight="1">
      <c r="A157" s="46"/>
      <c r="B157" s="47"/>
      <c r="C157" s="47"/>
      <c r="D157" s="210"/>
      <c r="E157" s="121"/>
      <c r="F157" s="121"/>
      <c r="G157" s="121"/>
      <c r="H157" s="121"/>
      <c r="I157" s="121"/>
      <c r="J157" s="121"/>
      <c r="K157" s="121"/>
      <c r="L157" s="121"/>
      <c r="M157" s="121"/>
      <c r="N157" s="72"/>
      <c r="O157" s="144"/>
      <c r="P157" s="151"/>
      <c r="Q157" s="151"/>
      <c r="R157" s="151"/>
      <c r="S157" s="151"/>
      <c r="T157" s="151"/>
      <c r="U157" s="151"/>
      <c r="V157" s="151"/>
      <c r="W157" s="151"/>
      <c r="X157" s="151"/>
      <c r="Y157" s="77"/>
      <c r="Z157" s="77"/>
      <c r="AA157" s="77"/>
      <c r="AB157" s="77"/>
      <c r="AC157" s="77"/>
      <c r="AD157" s="52"/>
      <c r="AE157" s="59"/>
      <c r="AF157" s="1"/>
    </row>
    <row r="158" spans="1:32" s="11" customFormat="1" ht="21" customHeight="1">
      <c r="A158" s="46"/>
      <c r="B158" s="47"/>
      <c r="C158" s="37" t="s">
        <v>45</v>
      </c>
      <c r="D158" s="212">
        <v>7873</v>
      </c>
      <c r="E158" s="126">
        <f>ROUND(AD158/1000,0)</f>
        <v>7873</v>
      </c>
      <c r="F158" s="126">
        <v>3600</v>
      </c>
      <c r="G158" s="126">
        <v>3600</v>
      </c>
      <c r="H158" s="126">
        <v>0</v>
      </c>
      <c r="I158" s="126">
        <v>673</v>
      </c>
      <c r="J158" s="126">
        <v>0</v>
      </c>
      <c r="K158" s="126">
        <v>0</v>
      </c>
      <c r="L158" s="126">
        <v>0</v>
      </c>
      <c r="M158" s="126">
        <f>E158-D158</f>
        <v>0</v>
      </c>
      <c r="N158" s="134">
        <f>IF(D158=0,0,M158/D158)</f>
        <v>0</v>
      </c>
      <c r="O158" s="107" t="s">
        <v>46</v>
      </c>
      <c r="P158" s="103"/>
      <c r="Q158" s="103"/>
      <c r="R158" s="103"/>
      <c r="S158" s="103"/>
      <c r="T158" s="97"/>
      <c r="U158" s="97"/>
      <c r="V158" s="97"/>
      <c r="W158" s="97"/>
      <c r="X158" s="97"/>
      <c r="Y158" s="233" t="s">
        <v>256</v>
      </c>
      <c r="Z158" s="233"/>
      <c r="AA158" s="233"/>
      <c r="AB158" s="233"/>
      <c r="AC158" s="235"/>
      <c r="AD158" s="235">
        <f>SUM(AD159:AD162)</f>
        <v>7873000</v>
      </c>
      <c r="AE158" s="234" t="s">
        <v>25</v>
      </c>
      <c r="AF158" s="1"/>
    </row>
    <row r="159" spans="1:32" s="11" customFormat="1" ht="21" customHeight="1">
      <c r="A159" s="46"/>
      <c r="B159" s="47"/>
      <c r="C159" s="47"/>
      <c r="D159" s="122"/>
      <c r="E159" s="121"/>
      <c r="F159" s="121"/>
      <c r="G159" s="121"/>
      <c r="H159" s="121"/>
      <c r="I159" s="121"/>
      <c r="J159" s="121"/>
      <c r="K159" s="121"/>
      <c r="L159" s="121"/>
      <c r="M159" s="121"/>
      <c r="N159" s="72"/>
      <c r="O159" s="276" t="s">
        <v>322</v>
      </c>
      <c r="P159" s="51"/>
      <c r="Q159" s="51"/>
      <c r="R159" s="51"/>
      <c r="S159" s="272">
        <v>200000</v>
      </c>
      <c r="T159" s="56" t="s">
        <v>93</v>
      </c>
      <c r="U159" s="56" t="s">
        <v>26</v>
      </c>
      <c r="V159" s="272">
        <v>12</v>
      </c>
      <c r="W159" s="273" t="s">
        <v>0</v>
      </c>
      <c r="X159" s="272" t="s">
        <v>27</v>
      </c>
      <c r="Y159" s="272"/>
      <c r="Z159" s="272"/>
      <c r="AA159" s="272"/>
      <c r="AB159" s="275" t="s">
        <v>321</v>
      </c>
      <c r="AC159" s="272"/>
      <c r="AD159" s="422">
        <f>S159*V159</f>
        <v>2400000</v>
      </c>
      <c r="AE159" s="59" t="s">
        <v>25</v>
      </c>
      <c r="AF159" s="1"/>
    </row>
    <row r="160" spans="1:32" s="11" customFormat="1" ht="21" customHeight="1">
      <c r="A160" s="46"/>
      <c r="B160" s="47"/>
      <c r="C160" s="47"/>
      <c r="D160" s="122"/>
      <c r="E160" s="121"/>
      <c r="F160" s="121"/>
      <c r="G160" s="121"/>
      <c r="H160" s="121"/>
      <c r="I160" s="121"/>
      <c r="J160" s="121"/>
      <c r="K160" s="121"/>
      <c r="L160" s="121"/>
      <c r="M160" s="121"/>
      <c r="N160" s="72"/>
      <c r="O160" s="276" t="s">
        <v>323</v>
      </c>
      <c r="P160" s="276"/>
      <c r="Q160" s="276"/>
      <c r="R160" s="276"/>
      <c r="S160" s="275">
        <v>300000</v>
      </c>
      <c r="T160" s="56" t="s">
        <v>57</v>
      </c>
      <c r="U160" s="56" t="s">
        <v>26</v>
      </c>
      <c r="V160" s="275">
        <v>12</v>
      </c>
      <c r="W160" s="276" t="s">
        <v>0</v>
      </c>
      <c r="X160" s="275" t="s">
        <v>27</v>
      </c>
      <c r="Y160" s="275"/>
      <c r="Z160" s="275"/>
      <c r="AA160" s="275"/>
      <c r="AB160" s="275" t="s">
        <v>321</v>
      </c>
      <c r="AC160" s="275"/>
      <c r="AD160" s="422">
        <f>S160*V160</f>
        <v>3600000</v>
      </c>
      <c r="AE160" s="59" t="s">
        <v>25</v>
      </c>
      <c r="AF160" s="1"/>
    </row>
    <row r="161" spans="1:32" s="11" customFormat="1" ht="21" customHeight="1">
      <c r="A161" s="46"/>
      <c r="B161" s="47"/>
      <c r="C161" s="47"/>
      <c r="D161" s="122"/>
      <c r="E161" s="121"/>
      <c r="F161" s="121"/>
      <c r="G161" s="121"/>
      <c r="H161" s="121"/>
      <c r="I161" s="121"/>
      <c r="J161" s="121"/>
      <c r="K161" s="121"/>
      <c r="L161" s="121"/>
      <c r="M161" s="121"/>
      <c r="N161" s="72"/>
      <c r="O161" s="253" t="s">
        <v>277</v>
      </c>
      <c r="P161" s="253"/>
      <c r="Q161" s="253"/>
      <c r="R161" s="253"/>
      <c r="S161" s="252"/>
      <c r="T161" s="56"/>
      <c r="U161" s="252"/>
      <c r="V161" s="252"/>
      <c r="W161" s="253"/>
      <c r="X161" s="252"/>
      <c r="Y161" s="252"/>
      <c r="Z161" s="252"/>
      <c r="AA161" s="252"/>
      <c r="AB161" s="252"/>
      <c r="AC161" s="252"/>
      <c r="AD161" s="422">
        <v>673000</v>
      </c>
      <c r="AE161" s="59" t="s">
        <v>250</v>
      </c>
      <c r="AF161" s="1"/>
    </row>
    <row r="162" spans="1:32" ht="21" customHeight="1">
      <c r="A162" s="46"/>
      <c r="B162" s="47"/>
      <c r="C162" s="47"/>
      <c r="D162" s="210"/>
      <c r="E162" s="121"/>
      <c r="F162" s="121"/>
      <c r="G162" s="121"/>
      <c r="H162" s="121"/>
      <c r="I162" s="121"/>
      <c r="J162" s="121"/>
      <c r="K162" s="121"/>
      <c r="L162" s="121"/>
      <c r="M162" s="121"/>
      <c r="N162" s="72"/>
      <c r="O162" s="253" t="s">
        <v>296</v>
      </c>
      <c r="P162" s="51"/>
      <c r="Q162" s="51"/>
      <c r="R162" s="51"/>
      <c r="S162" s="272">
        <v>100000</v>
      </c>
      <c r="T162" s="56" t="s">
        <v>93</v>
      </c>
      <c r="U162" s="56" t="s">
        <v>26</v>
      </c>
      <c r="V162" s="272">
        <v>12</v>
      </c>
      <c r="W162" s="273" t="s">
        <v>0</v>
      </c>
      <c r="X162" s="272" t="s">
        <v>27</v>
      </c>
      <c r="Y162" s="272"/>
      <c r="Z162" s="272"/>
      <c r="AA162" s="272"/>
      <c r="AB162" s="426" t="s">
        <v>610</v>
      </c>
      <c r="AC162" s="272"/>
      <c r="AD162" s="422">
        <f>S162*V162</f>
        <v>1200000</v>
      </c>
      <c r="AE162" s="59" t="s">
        <v>25</v>
      </c>
    </row>
    <row r="163" spans="1:32" s="11" customFormat="1" ht="21" customHeight="1">
      <c r="A163" s="46"/>
      <c r="B163" s="47"/>
      <c r="C163" s="61"/>
      <c r="D163" s="153"/>
      <c r="E163" s="124"/>
      <c r="F163" s="124"/>
      <c r="G163" s="124"/>
      <c r="H163" s="124"/>
      <c r="I163" s="124"/>
      <c r="J163" s="124"/>
      <c r="K163" s="124"/>
      <c r="L163" s="124"/>
      <c r="M163" s="124"/>
      <c r="N163" s="92"/>
      <c r="O163" s="88"/>
      <c r="P163" s="88"/>
      <c r="Q163" s="88"/>
      <c r="R163" s="88"/>
      <c r="S163" s="87"/>
      <c r="T163" s="93"/>
      <c r="U163" s="87"/>
      <c r="V163" s="627"/>
      <c r="W163" s="628"/>
      <c r="X163" s="87"/>
      <c r="Y163" s="87"/>
      <c r="Z163" s="87"/>
      <c r="AA163" s="87"/>
      <c r="AB163" s="154"/>
      <c r="AC163" s="87"/>
      <c r="AD163" s="87"/>
      <c r="AE163" s="75"/>
      <c r="AF163" s="1"/>
    </row>
    <row r="164" spans="1:32" s="11" customFormat="1" ht="21" customHeight="1">
      <c r="A164" s="46"/>
      <c r="B164" s="47"/>
      <c r="C164" s="37" t="s">
        <v>129</v>
      </c>
      <c r="D164" s="156">
        <v>25840</v>
      </c>
      <c r="E164" s="126">
        <f>ROUND(AD164/1000,0)</f>
        <v>26788</v>
      </c>
      <c r="F164" s="126">
        <v>3000</v>
      </c>
      <c r="G164" s="126">
        <v>0</v>
      </c>
      <c r="H164" s="126">
        <v>0</v>
      </c>
      <c r="I164" s="126">
        <f>SUM(AD170,AD172:AD175,AD179)/1000</f>
        <v>5443</v>
      </c>
      <c r="J164" s="126">
        <v>0</v>
      </c>
      <c r="K164" s="126">
        <f>SUM(AD177)/1000</f>
        <v>1611</v>
      </c>
      <c r="L164" s="126">
        <f>SUM(AD167:AD169,AD178,AD180:AD183)/1000</f>
        <v>16734</v>
      </c>
      <c r="M164" s="126">
        <f>E164-D164</f>
        <v>948</v>
      </c>
      <c r="N164" s="134">
        <f>IF(D164=0,0,M164/D164)</f>
        <v>3.6687306501547987E-2</v>
      </c>
      <c r="O164" s="129" t="s">
        <v>130</v>
      </c>
      <c r="P164" s="103"/>
      <c r="Q164" s="103"/>
      <c r="R164" s="103"/>
      <c r="S164" s="103"/>
      <c r="T164" s="97"/>
      <c r="U164" s="97"/>
      <c r="V164" s="97"/>
      <c r="W164" s="97"/>
      <c r="X164" s="97"/>
      <c r="Y164" s="233" t="s">
        <v>256</v>
      </c>
      <c r="Z164" s="233"/>
      <c r="AA164" s="233"/>
      <c r="AB164" s="233"/>
      <c r="AC164" s="235"/>
      <c r="AD164" s="235">
        <f>SUM(AD166:AD183)</f>
        <v>26788000</v>
      </c>
      <c r="AE164" s="234" t="s">
        <v>25</v>
      </c>
      <c r="AF164" s="1"/>
    </row>
    <row r="165" spans="1:32" s="11" customFormat="1" ht="20.25" customHeight="1">
      <c r="A165" s="46"/>
      <c r="B165" s="47"/>
      <c r="C165" s="47"/>
      <c r="D165" s="157"/>
      <c r="E165" s="121"/>
      <c r="F165" s="121"/>
      <c r="G165" s="121"/>
      <c r="H165" s="121"/>
      <c r="I165" s="121"/>
      <c r="J165" s="121"/>
      <c r="K165" s="121"/>
      <c r="L165" s="121"/>
      <c r="M165" s="121"/>
      <c r="N165" s="72"/>
      <c r="O165" s="206" t="s">
        <v>161</v>
      </c>
      <c r="P165" s="144"/>
      <c r="Q165" s="144"/>
      <c r="R165" s="144"/>
      <c r="S165" s="130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70"/>
      <c r="AD165" s="70"/>
      <c r="AE165" s="59"/>
      <c r="AF165" s="2"/>
    </row>
    <row r="166" spans="1:32" s="11" customFormat="1" ht="20.25" customHeight="1">
      <c r="A166" s="46"/>
      <c r="B166" s="47"/>
      <c r="C166" s="47"/>
      <c r="D166" s="157"/>
      <c r="E166" s="121"/>
      <c r="F166" s="121"/>
      <c r="G166" s="121"/>
      <c r="H166" s="121"/>
      <c r="I166" s="121"/>
      <c r="J166" s="121"/>
      <c r="K166" s="121"/>
      <c r="L166" s="121"/>
      <c r="M166" s="121"/>
      <c r="N166" s="72"/>
      <c r="O166" s="253" t="s">
        <v>278</v>
      </c>
      <c r="P166" s="144"/>
      <c r="Q166" s="144"/>
      <c r="R166" s="144"/>
      <c r="S166" s="252">
        <v>200000</v>
      </c>
      <c r="T166" s="252" t="s">
        <v>57</v>
      </c>
      <c r="U166" s="76" t="s">
        <v>58</v>
      </c>
      <c r="V166" s="252">
        <v>15</v>
      </c>
      <c r="W166" s="252" t="s">
        <v>56</v>
      </c>
      <c r="X166" s="76"/>
      <c r="Y166" s="252"/>
      <c r="Z166" s="252"/>
      <c r="AA166" s="252" t="s">
        <v>53</v>
      </c>
      <c r="AB166" s="426" t="s">
        <v>610</v>
      </c>
      <c r="AC166" s="70"/>
      <c r="AD166" s="437">
        <f>S166*V166</f>
        <v>3000000</v>
      </c>
      <c r="AE166" s="59" t="s">
        <v>68</v>
      </c>
      <c r="AF166" s="2"/>
    </row>
    <row r="167" spans="1:32" s="11" customFormat="1" ht="20.25" customHeight="1">
      <c r="A167" s="46"/>
      <c r="B167" s="47"/>
      <c r="C167" s="47"/>
      <c r="D167" s="157"/>
      <c r="E167" s="121"/>
      <c r="F167" s="121"/>
      <c r="G167" s="121"/>
      <c r="H167" s="121"/>
      <c r="I167" s="121"/>
      <c r="J167" s="121"/>
      <c r="K167" s="121"/>
      <c r="L167" s="121"/>
      <c r="M167" s="121"/>
      <c r="N167" s="72"/>
      <c r="O167" s="427"/>
      <c r="P167" s="427"/>
      <c r="Q167" s="427"/>
      <c r="R167" s="427"/>
      <c r="S167" s="426">
        <v>200000</v>
      </c>
      <c r="T167" s="426" t="s">
        <v>57</v>
      </c>
      <c r="U167" s="76" t="s">
        <v>58</v>
      </c>
      <c r="V167" s="426">
        <v>18</v>
      </c>
      <c r="W167" s="426" t="s">
        <v>56</v>
      </c>
      <c r="X167" s="76"/>
      <c r="Y167" s="426"/>
      <c r="Z167" s="426"/>
      <c r="AA167" s="426" t="s">
        <v>53</v>
      </c>
      <c r="AB167" s="426" t="s">
        <v>621</v>
      </c>
      <c r="AC167" s="70"/>
      <c r="AD167" s="437">
        <f>S167*V167</f>
        <v>3600000</v>
      </c>
      <c r="AE167" s="59" t="s">
        <v>57</v>
      </c>
      <c r="AF167" s="2"/>
    </row>
    <row r="168" spans="1:32" s="11" customFormat="1" ht="20.25" customHeight="1">
      <c r="A168" s="46"/>
      <c r="B168" s="47"/>
      <c r="C168" s="47"/>
      <c r="D168" s="157"/>
      <c r="E168" s="121"/>
      <c r="F168" s="121"/>
      <c r="G168" s="121"/>
      <c r="H168" s="121"/>
      <c r="I168" s="121"/>
      <c r="J168" s="121"/>
      <c r="K168" s="121"/>
      <c r="L168" s="121"/>
      <c r="M168" s="121"/>
      <c r="N168" s="72"/>
      <c r="O168" s="446" t="s">
        <v>795</v>
      </c>
      <c r="P168" s="463"/>
      <c r="Q168" s="463"/>
      <c r="R168" s="463"/>
      <c r="S168" s="462"/>
      <c r="T168" s="462"/>
      <c r="U168" s="76"/>
      <c r="V168" s="462"/>
      <c r="W168" s="462"/>
      <c r="X168" s="76"/>
      <c r="Y168" s="462"/>
      <c r="Z168" s="462"/>
      <c r="AA168" s="457"/>
      <c r="AB168" s="457" t="s">
        <v>156</v>
      </c>
      <c r="AC168" s="458"/>
      <c r="AD168" s="458">
        <v>990000</v>
      </c>
      <c r="AE168" s="471" t="s">
        <v>796</v>
      </c>
      <c r="AF168" s="2"/>
    </row>
    <row r="169" spans="1:32" s="11" customFormat="1" ht="20.25" customHeight="1">
      <c r="A169" s="46"/>
      <c r="B169" s="47"/>
      <c r="C169" s="47"/>
      <c r="D169" s="157"/>
      <c r="E169" s="121"/>
      <c r="F169" s="121"/>
      <c r="G169" s="121"/>
      <c r="H169" s="121"/>
      <c r="I169" s="121"/>
      <c r="J169" s="121"/>
      <c r="K169" s="121"/>
      <c r="L169" s="121"/>
      <c r="M169" s="121"/>
      <c r="N169" s="72"/>
      <c r="O169" s="446" t="s">
        <v>794</v>
      </c>
      <c r="P169" s="144"/>
      <c r="Q169" s="144"/>
      <c r="R169" s="144"/>
      <c r="S169" s="130"/>
      <c r="T169" s="143"/>
      <c r="U169" s="143"/>
      <c r="V169" s="143"/>
      <c r="W169" s="143"/>
      <c r="X169" s="143"/>
      <c r="Y169" s="143"/>
      <c r="Z169" s="143"/>
      <c r="AA169" s="143"/>
      <c r="AB169" s="457" t="s">
        <v>734</v>
      </c>
      <c r="AC169" s="458"/>
      <c r="AD169" s="458">
        <v>957000</v>
      </c>
      <c r="AE169" s="59" t="s">
        <v>68</v>
      </c>
      <c r="AF169" s="2"/>
    </row>
    <row r="170" spans="1:32" s="11" customFormat="1" ht="20.25" customHeight="1">
      <c r="A170" s="46"/>
      <c r="B170" s="47"/>
      <c r="C170" s="47"/>
      <c r="D170" s="157"/>
      <c r="E170" s="121"/>
      <c r="F170" s="121"/>
      <c r="G170" s="121"/>
      <c r="H170" s="121"/>
      <c r="I170" s="121"/>
      <c r="J170" s="121"/>
      <c r="K170" s="121"/>
      <c r="L170" s="121"/>
      <c r="M170" s="121"/>
      <c r="N170" s="72"/>
      <c r="O170" s="446"/>
      <c r="P170" s="454"/>
      <c r="Q170" s="454"/>
      <c r="R170" s="454"/>
      <c r="S170" s="130"/>
      <c r="T170" s="453"/>
      <c r="U170" s="453"/>
      <c r="V170" s="453"/>
      <c r="W170" s="453"/>
      <c r="X170" s="453"/>
      <c r="Y170" s="453"/>
      <c r="Z170" s="453"/>
      <c r="AA170" s="453"/>
      <c r="AB170" s="457" t="s">
        <v>735</v>
      </c>
      <c r="AC170" s="458"/>
      <c r="AD170" s="458">
        <v>43000</v>
      </c>
      <c r="AE170" s="59" t="s">
        <v>733</v>
      </c>
      <c r="AF170" s="2"/>
    </row>
    <row r="171" spans="1:32" s="11" customFormat="1" ht="20.25" customHeight="1">
      <c r="A171" s="46"/>
      <c r="B171" s="47"/>
      <c r="C171" s="47"/>
      <c r="D171" s="157"/>
      <c r="E171" s="121"/>
      <c r="F171" s="121"/>
      <c r="G171" s="121"/>
      <c r="H171" s="121"/>
      <c r="I171" s="121"/>
      <c r="J171" s="121"/>
      <c r="K171" s="121"/>
      <c r="L171" s="121"/>
      <c r="M171" s="121"/>
      <c r="N171" s="72"/>
      <c r="O171" s="427" t="s">
        <v>622</v>
      </c>
      <c r="P171" s="144"/>
      <c r="Q171" s="144"/>
      <c r="R171" s="144"/>
      <c r="S171" s="130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70"/>
      <c r="AD171" s="437"/>
      <c r="AE171" s="59"/>
      <c r="AF171" s="2"/>
    </row>
    <row r="172" spans="1:32" s="11" customFormat="1" ht="20.25" customHeight="1">
      <c r="A172" s="46"/>
      <c r="B172" s="47"/>
      <c r="C172" s="47"/>
      <c r="D172" s="157"/>
      <c r="E172" s="121"/>
      <c r="F172" s="121"/>
      <c r="G172" s="121"/>
      <c r="H172" s="121"/>
      <c r="I172" s="121"/>
      <c r="J172" s="121"/>
      <c r="K172" s="121"/>
      <c r="L172" s="121"/>
      <c r="M172" s="121"/>
      <c r="N172" s="72"/>
      <c r="O172" s="273" t="s">
        <v>310</v>
      </c>
      <c r="P172" s="144"/>
      <c r="Q172" s="144"/>
      <c r="R172" s="144"/>
      <c r="S172" s="272">
        <v>200000</v>
      </c>
      <c r="T172" s="272" t="s">
        <v>57</v>
      </c>
      <c r="U172" s="76" t="s">
        <v>58</v>
      </c>
      <c r="V172" s="272">
        <v>1</v>
      </c>
      <c r="W172" s="272" t="s">
        <v>79</v>
      </c>
      <c r="X172" s="76"/>
      <c r="Y172" s="272"/>
      <c r="Z172" s="272"/>
      <c r="AA172" s="272" t="s">
        <v>53</v>
      </c>
      <c r="AB172" s="426" t="s">
        <v>623</v>
      </c>
      <c r="AC172" s="70"/>
      <c r="AD172" s="437">
        <f>S172*V172</f>
        <v>200000</v>
      </c>
      <c r="AE172" s="59" t="s">
        <v>57</v>
      </c>
      <c r="AF172" s="2"/>
    </row>
    <row r="173" spans="1:32" s="11" customFormat="1" ht="20.25" customHeight="1">
      <c r="A173" s="46"/>
      <c r="B173" s="47"/>
      <c r="C173" s="47"/>
      <c r="D173" s="157"/>
      <c r="E173" s="121"/>
      <c r="F173" s="121"/>
      <c r="G173" s="121"/>
      <c r="H173" s="121"/>
      <c r="I173" s="121"/>
      <c r="J173" s="121"/>
      <c r="K173" s="121"/>
      <c r="L173" s="121"/>
      <c r="M173" s="121"/>
      <c r="N173" s="72"/>
      <c r="O173" s="273" t="s">
        <v>311</v>
      </c>
      <c r="P173" s="144"/>
      <c r="Q173" s="144"/>
      <c r="R173" s="144"/>
      <c r="S173" s="272">
        <v>200000</v>
      </c>
      <c r="T173" s="272" t="s">
        <v>57</v>
      </c>
      <c r="U173" s="76" t="s">
        <v>58</v>
      </c>
      <c r="V173" s="272">
        <v>2</v>
      </c>
      <c r="W173" s="272" t="s">
        <v>79</v>
      </c>
      <c r="X173" s="76"/>
      <c r="Y173" s="272"/>
      <c r="Z173" s="272"/>
      <c r="AA173" s="272" t="s">
        <v>53</v>
      </c>
      <c r="AB173" s="426" t="s">
        <v>623</v>
      </c>
      <c r="AC173" s="70"/>
      <c r="AD173" s="437">
        <f>S173*V173</f>
        <v>400000</v>
      </c>
      <c r="AE173" s="59" t="s">
        <v>68</v>
      </c>
      <c r="AF173" s="2"/>
    </row>
    <row r="174" spans="1:32" s="11" customFormat="1" ht="20.25" customHeight="1">
      <c r="A174" s="46"/>
      <c r="B174" s="47"/>
      <c r="C174" s="47"/>
      <c r="D174" s="157"/>
      <c r="E174" s="121"/>
      <c r="F174" s="121"/>
      <c r="G174" s="121"/>
      <c r="H174" s="121"/>
      <c r="I174" s="121"/>
      <c r="J174" s="121"/>
      <c r="K174" s="121"/>
      <c r="L174" s="121"/>
      <c r="M174" s="121"/>
      <c r="N174" s="72"/>
      <c r="O174" s="273" t="s">
        <v>313</v>
      </c>
      <c r="P174" s="273"/>
      <c r="Q174" s="273"/>
      <c r="R174" s="273"/>
      <c r="S174" s="272">
        <v>200000</v>
      </c>
      <c r="T174" s="272" t="s">
        <v>57</v>
      </c>
      <c r="U174" s="76" t="s">
        <v>58</v>
      </c>
      <c r="V174" s="272">
        <v>2</v>
      </c>
      <c r="W174" s="272" t="s">
        <v>79</v>
      </c>
      <c r="X174" s="76"/>
      <c r="Y174" s="272"/>
      <c r="Z174" s="272"/>
      <c r="AA174" s="272" t="s">
        <v>53</v>
      </c>
      <c r="AB174" s="426" t="s">
        <v>623</v>
      </c>
      <c r="AC174" s="70"/>
      <c r="AD174" s="437">
        <f>S174*V174</f>
        <v>400000</v>
      </c>
      <c r="AE174" s="59" t="s">
        <v>57</v>
      </c>
      <c r="AF174" s="2"/>
    </row>
    <row r="175" spans="1:32" s="11" customFormat="1" ht="20.25" customHeight="1">
      <c r="A175" s="46"/>
      <c r="B175" s="47"/>
      <c r="C175" s="47"/>
      <c r="D175" s="157"/>
      <c r="E175" s="121"/>
      <c r="F175" s="121"/>
      <c r="G175" s="121"/>
      <c r="H175" s="121"/>
      <c r="I175" s="121"/>
      <c r="J175" s="121"/>
      <c r="K175" s="121"/>
      <c r="L175" s="121"/>
      <c r="M175" s="121"/>
      <c r="N175" s="72"/>
      <c r="O175" s="273" t="s">
        <v>314</v>
      </c>
      <c r="P175" s="144"/>
      <c r="Q175" s="144"/>
      <c r="R175" s="144"/>
      <c r="S175" s="130"/>
      <c r="T175" s="143"/>
      <c r="U175" s="143"/>
      <c r="V175" s="143"/>
      <c r="W175" s="143"/>
      <c r="X175" s="143"/>
      <c r="Y175" s="143"/>
      <c r="Z175" s="143"/>
      <c r="AA175" s="143"/>
      <c r="AB175" s="426" t="s">
        <v>624</v>
      </c>
      <c r="AC175" s="70"/>
      <c r="AD175" s="437">
        <v>4000000</v>
      </c>
      <c r="AE175" s="59" t="s">
        <v>68</v>
      </c>
      <c r="AF175" s="2"/>
    </row>
    <row r="176" spans="1:32" s="11" customFormat="1" ht="20.25" customHeight="1">
      <c r="A176" s="46"/>
      <c r="B176" s="47"/>
      <c r="C176" s="47"/>
      <c r="D176" s="157"/>
      <c r="E176" s="121"/>
      <c r="F176" s="121"/>
      <c r="G176" s="121"/>
      <c r="H176" s="121"/>
      <c r="I176" s="121"/>
      <c r="J176" s="121"/>
      <c r="K176" s="121"/>
      <c r="L176" s="121"/>
      <c r="M176" s="121"/>
      <c r="N176" s="72"/>
      <c r="O176" s="206"/>
      <c r="P176" s="179"/>
      <c r="Q176" s="179"/>
      <c r="R176" s="179"/>
      <c r="S176" s="130"/>
      <c r="T176" s="178"/>
      <c r="U176" s="178"/>
      <c r="V176" s="178"/>
      <c r="W176" s="178"/>
      <c r="X176" s="178"/>
      <c r="Y176" s="178"/>
      <c r="Z176" s="178"/>
      <c r="AA176" s="178"/>
      <c r="AB176" s="178"/>
      <c r="AC176" s="70"/>
      <c r="AD176" s="437"/>
      <c r="AE176" s="59"/>
      <c r="AF176" s="2"/>
    </row>
    <row r="177" spans="1:32" s="11" customFormat="1" ht="20.25" customHeight="1">
      <c r="A177" s="46"/>
      <c r="B177" s="47"/>
      <c r="C177" s="47"/>
      <c r="D177" s="157"/>
      <c r="E177" s="121"/>
      <c r="F177" s="121"/>
      <c r="G177" s="121"/>
      <c r="H177" s="121"/>
      <c r="I177" s="121"/>
      <c r="J177" s="121"/>
      <c r="K177" s="121"/>
      <c r="L177" s="121"/>
      <c r="M177" s="121"/>
      <c r="N177" s="72"/>
      <c r="O177" s="446" t="s">
        <v>732</v>
      </c>
      <c r="P177" s="144"/>
      <c r="Q177" s="144"/>
      <c r="R177" s="144"/>
      <c r="S177" s="143">
        <v>500000</v>
      </c>
      <c r="T177" s="56" t="s">
        <v>57</v>
      </c>
      <c r="U177" s="56" t="s">
        <v>26</v>
      </c>
      <c r="V177" s="143">
        <v>2</v>
      </c>
      <c r="W177" s="144" t="s">
        <v>86</v>
      </c>
      <c r="X177" s="143" t="s">
        <v>27</v>
      </c>
      <c r="Y177" s="143"/>
      <c r="Z177" s="143"/>
      <c r="AA177" s="143"/>
      <c r="AB177" s="457" t="s">
        <v>736</v>
      </c>
      <c r="AC177" s="458"/>
      <c r="AD177" s="458">
        <v>1611000</v>
      </c>
      <c r="AE177" s="59" t="s">
        <v>68</v>
      </c>
      <c r="AF177" s="2"/>
    </row>
    <row r="178" spans="1:32" s="11" customFormat="1" ht="20.25" customHeight="1">
      <c r="A178" s="46"/>
      <c r="B178" s="47"/>
      <c r="C178" s="47"/>
      <c r="D178" s="157"/>
      <c r="E178" s="121"/>
      <c r="F178" s="121"/>
      <c r="G178" s="121"/>
      <c r="H178" s="121"/>
      <c r="I178" s="121"/>
      <c r="J178" s="121"/>
      <c r="K178" s="121"/>
      <c r="L178" s="121"/>
      <c r="M178" s="121"/>
      <c r="N178" s="72"/>
      <c r="O178" s="417"/>
      <c r="P178" s="417"/>
      <c r="Q178" s="417"/>
      <c r="R178" s="417"/>
      <c r="S178" s="416"/>
      <c r="T178" s="56"/>
      <c r="U178" s="56"/>
      <c r="V178" s="416"/>
      <c r="W178" s="417"/>
      <c r="X178" s="416"/>
      <c r="Y178" s="416"/>
      <c r="Z178" s="416"/>
      <c r="AA178" s="416"/>
      <c r="AB178" s="457" t="s">
        <v>734</v>
      </c>
      <c r="AC178" s="458"/>
      <c r="AD178" s="458">
        <v>3187000</v>
      </c>
      <c r="AE178" s="59" t="s">
        <v>579</v>
      </c>
      <c r="AF178" s="2"/>
    </row>
    <row r="179" spans="1:32" s="11" customFormat="1" ht="20.25" customHeight="1">
      <c r="A179" s="46"/>
      <c r="B179" s="47"/>
      <c r="C179" s="47"/>
      <c r="D179" s="157"/>
      <c r="E179" s="121"/>
      <c r="F179" s="121"/>
      <c r="G179" s="121"/>
      <c r="H179" s="121"/>
      <c r="I179" s="121"/>
      <c r="J179" s="121"/>
      <c r="K179" s="121"/>
      <c r="L179" s="121"/>
      <c r="M179" s="121"/>
      <c r="N179" s="72"/>
      <c r="O179" s="206" t="s">
        <v>162</v>
      </c>
      <c r="P179" s="51"/>
      <c r="Q179" s="51"/>
      <c r="R179" s="51"/>
      <c r="S179" s="143">
        <v>200000</v>
      </c>
      <c r="T179" s="56" t="s">
        <v>57</v>
      </c>
      <c r="U179" s="56" t="s">
        <v>26</v>
      </c>
      <c r="V179" s="143">
        <v>2</v>
      </c>
      <c r="W179" s="144" t="s">
        <v>86</v>
      </c>
      <c r="X179" s="143" t="s">
        <v>27</v>
      </c>
      <c r="Y179" s="77"/>
      <c r="Z179" s="77"/>
      <c r="AA179" s="77"/>
      <c r="AB179" s="77" t="s">
        <v>295</v>
      </c>
      <c r="AC179" s="77"/>
      <c r="AD179" s="422">
        <f>S179*V179</f>
        <v>400000</v>
      </c>
      <c r="AE179" s="101" t="s">
        <v>25</v>
      </c>
      <c r="AF179" s="2"/>
    </row>
    <row r="180" spans="1:32" s="11" customFormat="1" ht="20.25" customHeight="1">
      <c r="A180" s="46"/>
      <c r="B180" s="47"/>
      <c r="C180" s="47"/>
      <c r="D180" s="157"/>
      <c r="E180" s="121"/>
      <c r="F180" s="121"/>
      <c r="G180" s="121"/>
      <c r="H180" s="121"/>
      <c r="I180" s="121"/>
      <c r="J180" s="121"/>
      <c r="K180" s="121"/>
      <c r="L180" s="121"/>
      <c r="M180" s="121"/>
      <c r="N180" s="72"/>
      <c r="O180" s="144" t="s">
        <v>163</v>
      </c>
      <c r="P180" s="51"/>
      <c r="Q180" s="51"/>
      <c r="R180" s="51"/>
      <c r="S180" s="52">
        <v>20000</v>
      </c>
      <c r="T180" s="56" t="s">
        <v>93</v>
      </c>
      <c r="U180" s="56" t="s">
        <v>26</v>
      </c>
      <c r="V180" s="52">
        <v>35</v>
      </c>
      <c r="W180" s="144" t="s">
        <v>56</v>
      </c>
      <c r="X180" s="52" t="s">
        <v>27</v>
      </c>
      <c r="Y180" s="158"/>
      <c r="Z180" s="52"/>
      <c r="AA180" s="77"/>
      <c r="AB180" s="130" t="s">
        <v>156</v>
      </c>
      <c r="AC180" s="77"/>
      <c r="AD180" s="422">
        <f>S180*V180</f>
        <v>700000</v>
      </c>
      <c r="AE180" s="101" t="s">
        <v>93</v>
      </c>
      <c r="AF180" s="2"/>
    </row>
    <row r="181" spans="1:32" s="11" customFormat="1" ht="20.25" customHeight="1">
      <c r="A181" s="46"/>
      <c r="B181" s="47"/>
      <c r="C181" s="47"/>
      <c r="D181" s="157"/>
      <c r="E181" s="121"/>
      <c r="F181" s="121"/>
      <c r="G181" s="121"/>
      <c r="H181" s="121"/>
      <c r="I181" s="121"/>
      <c r="J181" s="121"/>
      <c r="K181" s="121"/>
      <c r="L181" s="121"/>
      <c r="M181" s="121"/>
      <c r="N181" s="72"/>
      <c r="O181" s="144" t="s">
        <v>164</v>
      </c>
      <c r="P181" s="51"/>
      <c r="Q181" s="51"/>
      <c r="R181" s="51"/>
      <c r="S181" s="52"/>
      <c r="T181" s="56"/>
      <c r="U181" s="56"/>
      <c r="V181" s="52"/>
      <c r="W181" s="144"/>
      <c r="X181" s="52"/>
      <c r="Y181" s="158"/>
      <c r="Z181" s="52"/>
      <c r="AA181" s="77"/>
      <c r="AB181" s="130" t="s">
        <v>156</v>
      </c>
      <c r="AC181" s="77"/>
      <c r="AD181" s="422">
        <v>2120000</v>
      </c>
      <c r="AE181" s="101" t="s">
        <v>93</v>
      </c>
      <c r="AF181" s="2"/>
    </row>
    <row r="182" spans="1:32" s="11" customFormat="1" ht="20.25" customHeight="1">
      <c r="A182" s="46"/>
      <c r="B182" s="47"/>
      <c r="C182" s="47"/>
      <c r="D182" s="157"/>
      <c r="E182" s="121"/>
      <c r="F182" s="121"/>
      <c r="G182" s="121"/>
      <c r="H182" s="121"/>
      <c r="I182" s="121"/>
      <c r="J182" s="121"/>
      <c r="K182" s="121"/>
      <c r="L182" s="121"/>
      <c r="M182" s="121"/>
      <c r="N182" s="72"/>
      <c r="O182" s="417" t="s">
        <v>279</v>
      </c>
      <c r="P182" s="417"/>
      <c r="Q182" s="417"/>
      <c r="R182" s="417"/>
      <c r="S182" s="416">
        <v>15000</v>
      </c>
      <c r="T182" s="56" t="s">
        <v>57</v>
      </c>
      <c r="U182" s="56" t="s">
        <v>26</v>
      </c>
      <c r="V182" s="416">
        <v>12</v>
      </c>
      <c r="W182" s="417" t="s">
        <v>132</v>
      </c>
      <c r="X182" s="416" t="s">
        <v>27</v>
      </c>
      <c r="Y182" s="158"/>
      <c r="Z182" s="416"/>
      <c r="AA182" s="77"/>
      <c r="AB182" s="77" t="s">
        <v>156</v>
      </c>
      <c r="AC182" s="77"/>
      <c r="AD182" s="422">
        <f>S182*V182</f>
        <v>180000</v>
      </c>
      <c r="AE182" s="101" t="s">
        <v>57</v>
      </c>
      <c r="AF182" s="2"/>
    </row>
    <row r="183" spans="1:32" s="11" customFormat="1" ht="20.25" customHeight="1">
      <c r="A183" s="46"/>
      <c r="B183" s="47"/>
      <c r="C183" s="47"/>
      <c r="D183" s="157"/>
      <c r="E183" s="121"/>
      <c r="F183" s="121"/>
      <c r="G183" s="121"/>
      <c r="H183" s="121"/>
      <c r="I183" s="121"/>
      <c r="J183" s="121"/>
      <c r="K183" s="121"/>
      <c r="L183" s="121"/>
      <c r="M183" s="121"/>
      <c r="N183" s="72"/>
      <c r="O183" s="69" t="s">
        <v>589</v>
      </c>
      <c r="P183" s="144"/>
      <c r="Q183" s="144"/>
      <c r="R183" s="144"/>
      <c r="S183" s="143"/>
      <c r="T183" s="56"/>
      <c r="U183" s="56"/>
      <c r="V183" s="143"/>
      <c r="W183" s="144"/>
      <c r="X183" s="143"/>
      <c r="Y183" s="158"/>
      <c r="Z183" s="143"/>
      <c r="AA183" s="77"/>
      <c r="AB183" s="77" t="s">
        <v>590</v>
      </c>
      <c r="AC183" s="77"/>
      <c r="AD183" s="422">
        <v>5000000</v>
      </c>
      <c r="AE183" s="101" t="s">
        <v>96</v>
      </c>
      <c r="AF183" s="2"/>
    </row>
    <row r="184" spans="1:32" s="11" customFormat="1" ht="21" customHeight="1">
      <c r="A184" s="46"/>
      <c r="B184" s="47"/>
      <c r="C184" s="48"/>
      <c r="D184" s="210"/>
      <c r="E184" s="121"/>
      <c r="F184" s="121"/>
      <c r="G184" s="121"/>
      <c r="H184" s="121"/>
      <c r="I184" s="121"/>
      <c r="J184" s="121"/>
      <c r="K184" s="121"/>
      <c r="L184" s="121"/>
      <c r="M184" s="121"/>
      <c r="N184" s="92"/>
      <c r="O184" s="204"/>
      <c r="P184" s="88"/>
      <c r="Q184" s="88"/>
      <c r="R184" s="88"/>
      <c r="S184" s="87"/>
      <c r="T184" s="88"/>
      <c r="U184" s="87"/>
      <c r="V184" s="159"/>
      <c r="W184" s="159"/>
      <c r="X184" s="87"/>
      <c r="Y184" s="87"/>
      <c r="Z184" s="87"/>
      <c r="AA184" s="87"/>
      <c r="AB184" s="87"/>
      <c r="AC184" s="87"/>
      <c r="AD184" s="87"/>
      <c r="AE184" s="75"/>
      <c r="AF184" s="2"/>
    </row>
    <row r="185" spans="1:32" s="11" customFormat="1" ht="21" customHeight="1">
      <c r="A185" s="125" t="s">
        <v>47</v>
      </c>
      <c r="B185" s="616" t="s">
        <v>20</v>
      </c>
      <c r="C185" s="616"/>
      <c r="D185" s="264">
        <f>D186</f>
        <v>42812</v>
      </c>
      <c r="E185" s="264">
        <f>E186</f>
        <v>44717</v>
      </c>
      <c r="F185" s="264">
        <f t="shared" ref="F185:L185" si="8">F186</f>
        <v>3312</v>
      </c>
      <c r="G185" s="264">
        <f t="shared" si="8"/>
        <v>5000</v>
      </c>
      <c r="H185" s="264">
        <f t="shared" si="8"/>
        <v>0</v>
      </c>
      <c r="I185" s="264">
        <f t="shared" si="8"/>
        <v>36405</v>
      </c>
      <c r="J185" s="264">
        <f t="shared" si="8"/>
        <v>0</v>
      </c>
      <c r="K185" s="264">
        <f t="shared" si="8"/>
        <v>0</v>
      </c>
      <c r="L185" s="264">
        <f t="shared" si="8"/>
        <v>0</v>
      </c>
      <c r="M185" s="264">
        <f>E185-D185</f>
        <v>1905</v>
      </c>
      <c r="N185" s="226">
        <f>IF(D185=0,0,M185/D185)</f>
        <v>4.4496870036438381E-2</v>
      </c>
      <c r="O185" s="251" t="s">
        <v>280</v>
      </c>
      <c r="P185" s="33"/>
      <c r="Q185" s="33"/>
      <c r="R185" s="33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>
        <f>AD186</f>
        <v>44717000</v>
      </c>
      <c r="AE185" s="35" t="s">
        <v>25</v>
      </c>
      <c r="AF185" s="2"/>
    </row>
    <row r="186" spans="1:32" s="11" customFormat="1" ht="21" customHeight="1">
      <c r="A186" s="263" t="s">
        <v>288</v>
      </c>
      <c r="B186" s="47" t="s">
        <v>17</v>
      </c>
      <c r="C186" s="47" t="s">
        <v>281</v>
      </c>
      <c r="D186" s="121">
        <f t="shared" ref="D186:L186" si="9">SUM(D187,D190,D199)</f>
        <v>42812</v>
      </c>
      <c r="E186" s="121">
        <f t="shared" si="9"/>
        <v>44717</v>
      </c>
      <c r="F186" s="121">
        <f t="shared" si="9"/>
        <v>3312</v>
      </c>
      <c r="G186" s="121">
        <f t="shared" si="9"/>
        <v>5000</v>
      </c>
      <c r="H186" s="121">
        <f t="shared" si="9"/>
        <v>0</v>
      </c>
      <c r="I186" s="121">
        <f t="shared" si="9"/>
        <v>36405</v>
      </c>
      <c r="J186" s="121">
        <f t="shared" si="9"/>
        <v>0</v>
      </c>
      <c r="K186" s="121">
        <f t="shared" si="9"/>
        <v>0</v>
      </c>
      <c r="L186" s="121">
        <f t="shared" si="9"/>
        <v>0</v>
      </c>
      <c r="M186" s="121">
        <f>E186-D186</f>
        <v>1905</v>
      </c>
      <c r="N186" s="72">
        <f>IF(D186=0,0,M186/D186)</f>
        <v>4.4496870036438381E-2</v>
      </c>
      <c r="O186" s="257" t="s">
        <v>282</v>
      </c>
      <c r="P186" s="103"/>
      <c r="Q186" s="103"/>
      <c r="R186" s="103"/>
      <c r="S186" s="103"/>
      <c r="T186" s="97"/>
      <c r="U186" s="97"/>
      <c r="V186" s="97"/>
      <c r="W186" s="97"/>
      <c r="X186" s="97"/>
      <c r="Y186" s="97"/>
      <c r="Z186" s="97"/>
      <c r="AA186" s="97"/>
      <c r="AB186" s="97"/>
      <c r="AC186" s="104"/>
      <c r="AD186" s="104">
        <f>SUM(AD187,AD190,AD199)</f>
        <v>44717000</v>
      </c>
      <c r="AE186" s="105" t="s">
        <v>25</v>
      </c>
      <c r="AF186" s="1"/>
    </row>
    <row r="187" spans="1:32" s="11" customFormat="1" ht="21" customHeight="1">
      <c r="A187" s="46"/>
      <c r="B187" s="47"/>
      <c r="C187" s="37" t="s">
        <v>282</v>
      </c>
      <c r="D187" s="261">
        <v>0</v>
      </c>
      <c r="E187" s="261">
        <f>ROUND(AD187/1000,0)</f>
        <v>0</v>
      </c>
      <c r="F187" s="261">
        <v>0</v>
      </c>
      <c r="G187" s="261">
        <v>0</v>
      </c>
      <c r="H187" s="261">
        <v>0</v>
      </c>
      <c r="I187" s="261">
        <v>0</v>
      </c>
      <c r="J187" s="261">
        <v>0</v>
      </c>
      <c r="K187" s="261">
        <v>0</v>
      </c>
      <c r="L187" s="261">
        <v>0</v>
      </c>
      <c r="M187" s="261">
        <f>E187-D187</f>
        <v>0</v>
      </c>
      <c r="N187" s="262">
        <f>IF(D187=0,0,M187/D187)</f>
        <v>0</v>
      </c>
      <c r="O187" s="107" t="s">
        <v>48</v>
      </c>
      <c r="P187" s="257"/>
      <c r="Q187" s="257"/>
      <c r="R187" s="257"/>
      <c r="S187" s="257"/>
      <c r="T187" s="256"/>
      <c r="U187" s="256"/>
      <c r="V187" s="256"/>
      <c r="W187" s="256"/>
      <c r="X187" s="256"/>
      <c r="Y187" s="233" t="s">
        <v>256</v>
      </c>
      <c r="Z187" s="233"/>
      <c r="AA187" s="233"/>
      <c r="AB187" s="233"/>
      <c r="AC187" s="235"/>
      <c r="AD187" s="235">
        <f>SUM(AD188:AD188)</f>
        <v>0</v>
      </c>
      <c r="AE187" s="234" t="s">
        <v>25</v>
      </c>
      <c r="AF187" s="1"/>
    </row>
    <row r="188" spans="1:32" s="11" customFormat="1" ht="21" customHeight="1">
      <c r="A188" s="46"/>
      <c r="B188" s="47"/>
      <c r="C188" s="47"/>
      <c r="D188" s="122"/>
      <c r="E188" s="121"/>
      <c r="F188" s="121"/>
      <c r="G188" s="121"/>
      <c r="H188" s="121"/>
      <c r="I188" s="121"/>
      <c r="J188" s="121"/>
      <c r="K188" s="121"/>
      <c r="L188" s="121"/>
      <c r="M188" s="121"/>
      <c r="N188" s="72"/>
      <c r="O188" s="249">
        <v>1</v>
      </c>
      <c r="P188" s="184"/>
      <c r="Q188" s="184"/>
      <c r="R188" s="184"/>
      <c r="S188" s="184"/>
      <c r="T188" s="183"/>
      <c r="U188" s="183"/>
      <c r="V188" s="183"/>
      <c r="W188" s="183"/>
      <c r="X188" s="183"/>
      <c r="Y188" s="183"/>
      <c r="Z188" s="183"/>
      <c r="AA188" s="183"/>
      <c r="AB188" s="185"/>
      <c r="AC188" s="53"/>
      <c r="AD188" s="437">
        <v>0</v>
      </c>
      <c r="AE188" s="59" t="s">
        <v>203</v>
      </c>
      <c r="AF188" s="2"/>
    </row>
    <row r="189" spans="1:32" s="11" customFormat="1" ht="21" customHeight="1">
      <c r="A189" s="46"/>
      <c r="B189" s="47"/>
      <c r="C189" s="47"/>
      <c r="D189" s="210"/>
      <c r="E189" s="121"/>
      <c r="F189" s="121"/>
      <c r="G189" s="121"/>
      <c r="H189" s="121"/>
      <c r="I189" s="121"/>
      <c r="J189" s="121"/>
      <c r="K189" s="121"/>
      <c r="L189" s="121"/>
      <c r="M189" s="121"/>
      <c r="N189" s="72"/>
      <c r="O189" s="130"/>
      <c r="P189" s="130"/>
      <c r="Q189" s="130"/>
      <c r="R189" s="130"/>
      <c r="S189" s="130"/>
      <c r="T189" s="130"/>
      <c r="U189" s="130"/>
      <c r="V189" s="130"/>
      <c r="W189" s="130"/>
      <c r="X189" s="130"/>
      <c r="Y189" s="130"/>
      <c r="Z189" s="130"/>
      <c r="AA189" s="130"/>
      <c r="AB189" s="130"/>
      <c r="AC189" s="130"/>
      <c r="AD189" s="160"/>
      <c r="AE189" s="140"/>
      <c r="AF189" s="2"/>
    </row>
    <row r="190" spans="1:32" s="11" customFormat="1" ht="21" customHeight="1">
      <c r="A190" s="46"/>
      <c r="B190" s="47"/>
      <c r="C190" s="37" t="s">
        <v>18</v>
      </c>
      <c r="D190" s="212">
        <v>22000</v>
      </c>
      <c r="E190" s="126">
        <f>ROUND(AD190/1000,0)</f>
        <v>24760</v>
      </c>
      <c r="F190" s="126">
        <v>0</v>
      </c>
      <c r="G190" s="126">
        <v>0</v>
      </c>
      <c r="H190" s="126">
        <v>0</v>
      </c>
      <c r="I190" s="126">
        <f>SUM(AD191:AD197)/1000</f>
        <v>24760</v>
      </c>
      <c r="J190" s="126">
        <v>0</v>
      </c>
      <c r="K190" s="126">
        <v>0</v>
      </c>
      <c r="L190" s="126">
        <v>0</v>
      </c>
      <c r="M190" s="126">
        <f>E190-D190</f>
        <v>2760</v>
      </c>
      <c r="N190" s="134">
        <f>IF(D190=0,0,M190/D190)</f>
        <v>0.12545454545454546</v>
      </c>
      <c r="O190" s="107" t="s">
        <v>49</v>
      </c>
      <c r="P190" s="103"/>
      <c r="Q190" s="103"/>
      <c r="R190" s="103"/>
      <c r="S190" s="103"/>
      <c r="T190" s="97"/>
      <c r="U190" s="97"/>
      <c r="V190" s="97"/>
      <c r="W190" s="97"/>
      <c r="X190" s="97"/>
      <c r="Y190" s="233" t="s">
        <v>256</v>
      </c>
      <c r="Z190" s="233"/>
      <c r="AA190" s="233"/>
      <c r="AB190" s="233"/>
      <c r="AC190" s="235"/>
      <c r="AD190" s="235">
        <f>SUM(AD191:AD197)</f>
        <v>24760000</v>
      </c>
      <c r="AE190" s="234" t="s">
        <v>25</v>
      </c>
      <c r="AF190" s="1"/>
    </row>
    <row r="191" spans="1:32" s="11" customFormat="1" ht="21" customHeight="1">
      <c r="A191" s="46"/>
      <c r="B191" s="47"/>
      <c r="C191" s="47"/>
      <c r="D191" s="122"/>
      <c r="E191" s="121"/>
      <c r="F191" s="121"/>
      <c r="G191" s="121"/>
      <c r="H191" s="121"/>
      <c r="I191" s="121"/>
      <c r="J191" s="121"/>
      <c r="K191" s="121"/>
      <c r="L191" s="121"/>
      <c r="M191" s="121"/>
      <c r="N191" s="72"/>
      <c r="O191" s="417" t="s">
        <v>586</v>
      </c>
      <c r="P191" s="51"/>
      <c r="Q191" s="51"/>
      <c r="R191" s="33"/>
      <c r="S191" s="33"/>
      <c r="T191" s="34"/>
      <c r="U191" s="34"/>
      <c r="V191" s="34"/>
      <c r="W191" s="34"/>
      <c r="X191" s="34"/>
      <c r="Y191" s="34"/>
      <c r="Z191" s="34"/>
      <c r="AA191" s="34"/>
      <c r="AB191" s="416" t="s">
        <v>594</v>
      </c>
      <c r="AC191" s="53"/>
      <c r="AD191" s="437">
        <v>4000000</v>
      </c>
      <c r="AE191" s="59" t="s">
        <v>25</v>
      </c>
      <c r="AF191" s="2"/>
    </row>
    <row r="192" spans="1:32" s="11" customFormat="1" ht="21" customHeight="1">
      <c r="A192" s="46"/>
      <c r="B192" s="47"/>
      <c r="C192" s="47"/>
      <c r="D192" s="122"/>
      <c r="E192" s="121"/>
      <c r="F192" s="121"/>
      <c r="G192" s="121"/>
      <c r="H192" s="121"/>
      <c r="I192" s="121"/>
      <c r="J192" s="121"/>
      <c r="K192" s="121"/>
      <c r="L192" s="121"/>
      <c r="M192" s="121"/>
      <c r="N192" s="72"/>
      <c r="O192" s="273" t="s">
        <v>317</v>
      </c>
      <c r="P192" s="51"/>
      <c r="Q192" s="51"/>
      <c r="R192" s="144"/>
      <c r="S192" s="272">
        <v>1000000</v>
      </c>
      <c r="T192" s="56" t="s">
        <v>93</v>
      </c>
      <c r="U192" s="56" t="s">
        <v>26</v>
      </c>
      <c r="V192" s="272">
        <v>3</v>
      </c>
      <c r="W192" s="273" t="s">
        <v>315</v>
      </c>
      <c r="X192" s="272" t="s">
        <v>27</v>
      </c>
      <c r="Y192" s="272"/>
      <c r="Z192" s="272"/>
      <c r="AA192" s="272"/>
      <c r="AB192" s="426" t="s">
        <v>629</v>
      </c>
      <c r="AC192" s="272"/>
      <c r="AD192" s="422">
        <f>S192*V192</f>
        <v>3000000</v>
      </c>
      <c r="AE192" s="59" t="s">
        <v>25</v>
      </c>
      <c r="AF192" s="2"/>
    </row>
    <row r="193" spans="1:32" s="11" customFormat="1" ht="21" customHeight="1">
      <c r="A193" s="46"/>
      <c r="B193" s="47"/>
      <c r="C193" s="47"/>
      <c r="D193" s="122"/>
      <c r="E193" s="121"/>
      <c r="F193" s="121"/>
      <c r="G193" s="121"/>
      <c r="H193" s="121"/>
      <c r="I193" s="121"/>
      <c r="J193" s="121"/>
      <c r="K193" s="121"/>
      <c r="L193" s="121"/>
      <c r="M193" s="121"/>
      <c r="N193" s="72"/>
      <c r="O193" s="417" t="s">
        <v>587</v>
      </c>
      <c r="P193" s="51"/>
      <c r="Q193" s="33"/>
      <c r="R193" s="33"/>
      <c r="S193" s="189"/>
      <c r="T193" s="56"/>
      <c r="U193" s="56"/>
      <c r="V193" s="189"/>
      <c r="W193" s="190"/>
      <c r="X193" s="189"/>
      <c r="Y193" s="189"/>
      <c r="Z193" s="189"/>
      <c r="AA193" s="34"/>
      <c r="AB193" s="416" t="s">
        <v>594</v>
      </c>
      <c r="AC193" s="53"/>
      <c r="AD193" s="437">
        <v>12000000</v>
      </c>
      <c r="AE193" s="59" t="s">
        <v>25</v>
      </c>
      <c r="AF193" s="2"/>
    </row>
    <row r="194" spans="1:32" s="11" customFormat="1" ht="21" customHeight="1">
      <c r="A194" s="46"/>
      <c r="B194" s="47"/>
      <c r="C194" s="47"/>
      <c r="D194" s="122"/>
      <c r="E194" s="121"/>
      <c r="F194" s="121"/>
      <c r="G194" s="121"/>
      <c r="H194" s="121"/>
      <c r="I194" s="121"/>
      <c r="J194" s="121"/>
      <c r="K194" s="121"/>
      <c r="L194" s="121"/>
      <c r="M194" s="121"/>
      <c r="N194" s="72"/>
      <c r="O194" s="417" t="s">
        <v>588</v>
      </c>
      <c r="P194" s="417"/>
      <c r="Q194" s="251"/>
      <c r="R194" s="251"/>
      <c r="S194" s="416"/>
      <c r="T194" s="56"/>
      <c r="U194" s="56"/>
      <c r="V194" s="416"/>
      <c r="W194" s="417"/>
      <c r="X194" s="416"/>
      <c r="Y194" s="416"/>
      <c r="Z194" s="416"/>
      <c r="AA194" s="250"/>
      <c r="AB194" s="416" t="s">
        <v>595</v>
      </c>
      <c r="AC194" s="53"/>
      <c r="AD194" s="437">
        <v>1700000</v>
      </c>
      <c r="AE194" s="59" t="s">
        <v>579</v>
      </c>
      <c r="AF194" s="2"/>
    </row>
    <row r="195" spans="1:32" s="11" customFormat="1" ht="21" customHeight="1">
      <c r="A195" s="46"/>
      <c r="B195" s="47"/>
      <c r="C195" s="47"/>
      <c r="D195" s="122"/>
      <c r="E195" s="121"/>
      <c r="F195" s="121"/>
      <c r="G195" s="121"/>
      <c r="H195" s="121"/>
      <c r="I195" s="121"/>
      <c r="J195" s="121"/>
      <c r="K195" s="121"/>
      <c r="L195" s="121"/>
      <c r="M195" s="121"/>
      <c r="N195" s="72"/>
      <c r="O195" s="446" t="s">
        <v>645</v>
      </c>
      <c r="P195" s="443"/>
      <c r="Q195" s="251"/>
      <c r="R195" s="251"/>
      <c r="S195" s="442"/>
      <c r="T195" s="56"/>
      <c r="U195" s="56"/>
      <c r="V195" s="442"/>
      <c r="W195" s="443"/>
      <c r="X195" s="442"/>
      <c r="Y195" s="442"/>
      <c r="Z195" s="442"/>
      <c r="AA195" s="250"/>
      <c r="AB195" s="442"/>
      <c r="AC195" s="53"/>
      <c r="AD195" s="437"/>
      <c r="AE195" s="59"/>
      <c r="AF195" s="2"/>
    </row>
    <row r="196" spans="1:32" s="11" customFormat="1" ht="21" customHeight="1">
      <c r="A196" s="46"/>
      <c r="B196" s="47"/>
      <c r="C196" s="47"/>
      <c r="D196" s="122"/>
      <c r="E196" s="121"/>
      <c r="F196" s="121"/>
      <c r="G196" s="121"/>
      <c r="H196" s="121"/>
      <c r="I196" s="121"/>
      <c r="J196" s="121"/>
      <c r="K196" s="121"/>
      <c r="L196" s="121"/>
      <c r="M196" s="121"/>
      <c r="N196" s="72"/>
      <c r="O196" s="446" t="s">
        <v>646</v>
      </c>
      <c r="P196" s="443"/>
      <c r="Q196" s="251"/>
      <c r="R196" s="251"/>
      <c r="S196" s="442">
        <v>230000</v>
      </c>
      <c r="T196" s="56" t="s">
        <v>57</v>
      </c>
      <c r="U196" s="56" t="s">
        <v>26</v>
      </c>
      <c r="V196" s="442">
        <v>12</v>
      </c>
      <c r="W196" s="443" t="s">
        <v>647</v>
      </c>
      <c r="X196" s="442" t="s">
        <v>27</v>
      </c>
      <c r="Y196" s="442"/>
      <c r="Z196" s="442"/>
      <c r="AA196" s="442"/>
      <c r="AB196" s="453" t="s">
        <v>295</v>
      </c>
      <c r="AC196" s="442"/>
      <c r="AD196" s="457">
        <f t="shared" ref="AD196" si="10">S196*V196</f>
        <v>2760000</v>
      </c>
      <c r="AE196" s="59" t="s">
        <v>25</v>
      </c>
      <c r="AF196" s="2"/>
    </row>
    <row r="197" spans="1:32" s="11" customFormat="1" ht="21" customHeight="1">
      <c r="A197" s="46"/>
      <c r="B197" s="47"/>
      <c r="C197" s="47"/>
      <c r="D197" s="122"/>
      <c r="E197" s="121"/>
      <c r="F197" s="121"/>
      <c r="G197" s="121"/>
      <c r="H197" s="121"/>
      <c r="I197" s="121"/>
      <c r="J197" s="121"/>
      <c r="K197" s="121"/>
      <c r="L197" s="121"/>
      <c r="M197" s="121"/>
      <c r="N197" s="72"/>
      <c r="O197" s="443" t="s">
        <v>644</v>
      </c>
      <c r="P197" s="144"/>
      <c r="Q197" s="142"/>
      <c r="R197" s="142"/>
      <c r="S197" s="142"/>
      <c r="T197" s="141"/>
      <c r="U197" s="141"/>
      <c r="V197" s="141"/>
      <c r="W197" s="141"/>
      <c r="X197" s="141"/>
      <c r="Y197" s="141"/>
      <c r="Z197" s="141"/>
      <c r="AA197" s="141"/>
      <c r="AB197" s="408" t="s">
        <v>547</v>
      </c>
      <c r="AC197" s="53"/>
      <c r="AD197" s="437">
        <v>1300000</v>
      </c>
      <c r="AE197" s="59" t="s">
        <v>68</v>
      </c>
      <c r="AF197" s="2"/>
    </row>
    <row r="198" spans="1:32" s="11" customFormat="1" ht="21" customHeight="1">
      <c r="A198" s="46"/>
      <c r="B198" s="47"/>
      <c r="C198" s="47"/>
      <c r="D198" s="122"/>
      <c r="E198" s="121"/>
      <c r="F198" s="121"/>
      <c r="G198" s="121"/>
      <c r="H198" s="121"/>
      <c r="I198" s="121"/>
      <c r="J198" s="121"/>
      <c r="K198" s="121"/>
      <c r="L198" s="121"/>
      <c r="M198" s="121"/>
      <c r="N198" s="72"/>
      <c r="O198" s="206"/>
      <c r="P198" s="51"/>
      <c r="Q198" s="51"/>
      <c r="R198" s="51"/>
      <c r="S198" s="52"/>
      <c r="T198" s="130"/>
      <c r="U198" s="56"/>
      <c r="V198" s="70"/>
      <c r="W198" s="70"/>
      <c r="X198" s="52"/>
      <c r="Y198" s="52"/>
      <c r="Z198" s="52"/>
      <c r="AA198" s="52"/>
      <c r="AB198" s="52"/>
      <c r="AC198" s="52"/>
      <c r="AD198" s="52"/>
      <c r="AE198" s="59"/>
      <c r="AF198" s="2"/>
    </row>
    <row r="199" spans="1:32" s="11" customFormat="1" ht="21" customHeight="1">
      <c r="A199" s="46"/>
      <c r="B199" s="47"/>
      <c r="C199" s="37" t="s">
        <v>50</v>
      </c>
      <c r="D199" s="212">
        <v>20812</v>
      </c>
      <c r="E199" s="126">
        <f>ROUND(AD199/1000,0)</f>
        <v>19957</v>
      </c>
      <c r="F199" s="126">
        <v>3312</v>
      </c>
      <c r="G199" s="126">
        <v>5000</v>
      </c>
      <c r="H199" s="126">
        <v>0</v>
      </c>
      <c r="I199" s="126">
        <v>11645</v>
      </c>
      <c r="J199" s="126">
        <v>0</v>
      </c>
      <c r="K199" s="126">
        <v>0</v>
      </c>
      <c r="L199" s="126">
        <v>0</v>
      </c>
      <c r="M199" s="126">
        <f>E199-D199</f>
        <v>-855</v>
      </c>
      <c r="N199" s="134">
        <f>IF(D199=0,0,M199/D199)</f>
        <v>-4.1082068037670574E-2</v>
      </c>
      <c r="O199" s="107" t="s">
        <v>51</v>
      </c>
      <c r="P199" s="103"/>
      <c r="Q199" s="103"/>
      <c r="R199" s="103"/>
      <c r="S199" s="103"/>
      <c r="T199" s="97"/>
      <c r="U199" s="97"/>
      <c r="V199" s="97"/>
      <c r="W199" s="97"/>
      <c r="X199" s="97"/>
      <c r="Y199" s="233" t="s">
        <v>256</v>
      </c>
      <c r="Z199" s="233"/>
      <c r="AA199" s="233"/>
      <c r="AB199" s="233"/>
      <c r="AC199" s="235"/>
      <c r="AD199" s="235">
        <f>SUM(AD200:AD206)</f>
        <v>19957000</v>
      </c>
      <c r="AE199" s="234" t="s">
        <v>25</v>
      </c>
      <c r="AF199" s="1"/>
    </row>
    <row r="200" spans="1:32" s="1" customFormat="1" ht="21" customHeight="1">
      <c r="A200" s="46"/>
      <c r="B200" s="47"/>
      <c r="C200" s="47" t="s">
        <v>300</v>
      </c>
      <c r="D200" s="210"/>
      <c r="E200" s="121"/>
      <c r="F200" s="121"/>
      <c r="G200" s="121"/>
      <c r="H200" s="121"/>
      <c r="I200" s="121"/>
      <c r="J200" s="121"/>
      <c r="K200" s="121"/>
      <c r="L200" s="121"/>
      <c r="M200" s="121"/>
      <c r="N200" s="72"/>
      <c r="O200" s="206" t="s">
        <v>133</v>
      </c>
      <c r="P200" s="51"/>
      <c r="Q200" s="51"/>
      <c r="R200" s="51"/>
      <c r="S200" s="52">
        <v>176000</v>
      </c>
      <c r="T200" s="56" t="s">
        <v>93</v>
      </c>
      <c r="U200" s="56" t="s">
        <v>26</v>
      </c>
      <c r="V200" s="52">
        <v>12</v>
      </c>
      <c r="W200" s="51" t="s">
        <v>110</v>
      </c>
      <c r="X200" s="52" t="s">
        <v>27</v>
      </c>
      <c r="Y200" s="52"/>
      <c r="Z200" s="52"/>
      <c r="AA200" s="52"/>
      <c r="AB200" s="277" t="s">
        <v>329</v>
      </c>
      <c r="AC200" s="52"/>
      <c r="AD200" s="422">
        <f>S200*V200</f>
        <v>2112000</v>
      </c>
      <c r="AE200" s="59" t="s">
        <v>25</v>
      </c>
      <c r="AF200" s="2"/>
    </row>
    <row r="201" spans="1:32" s="1" customFormat="1" ht="21" customHeight="1">
      <c r="A201" s="46"/>
      <c r="B201" s="47"/>
      <c r="C201" s="47"/>
      <c r="D201" s="210"/>
      <c r="E201" s="121"/>
      <c r="F201" s="121"/>
      <c r="G201" s="121"/>
      <c r="H201" s="121"/>
      <c r="I201" s="121"/>
      <c r="J201" s="121"/>
      <c r="K201" s="121"/>
      <c r="L201" s="121"/>
      <c r="M201" s="121"/>
      <c r="N201" s="72"/>
      <c r="O201" s="206" t="s">
        <v>134</v>
      </c>
      <c r="P201" s="51"/>
      <c r="Q201" s="51"/>
      <c r="R201" s="51"/>
      <c r="S201" s="52">
        <v>100000</v>
      </c>
      <c r="T201" s="56" t="s">
        <v>93</v>
      </c>
      <c r="U201" s="56" t="s">
        <v>26</v>
      </c>
      <c r="V201" s="52">
        <v>12</v>
      </c>
      <c r="W201" s="51" t="s">
        <v>110</v>
      </c>
      <c r="X201" s="52" t="s">
        <v>27</v>
      </c>
      <c r="Y201" s="52"/>
      <c r="Z201" s="52"/>
      <c r="AA201" s="52"/>
      <c r="AB201" s="277" t="s">
        <v>329</v>
      </c>
      <c r="AC201" s="52"/>
      <c r="AD201" s="422">
        <f>S201*V201</f>
        <v>1200000</v>
      </c>
      <c r="AE201" s="59" t="s">
        <v>25</v>
      </c>
      <c r="AF201" s="2"/>
    </row>
    <row r="202" spans="1:32" s="1" customFormat="1" ht="21" customHeight="1">
      <c r="A202" s="46"/>
      <c r="B202" s="47"/>
      <c r="C202" s="47"/>
      <c r="D202" s="210"/>
      <c r="E202" s="121"/>
      <c r="F202" s="121"/>
      <c r="G202" s="121"/>
      <c r="H202" s="121"/>
      <c r="I202" s="121"/>
      <c r="J202" s="121"/>
      <c r="K202" s="121"/>
      <c r="L202" s="121"/>
      <c r="M202" s="121"/>
      <c r="N202" s="72"/>
      <c r="O202" s="447" t="s">
        <v>808</v>
      </c>
      <c r="P202" s="251"/>
      <c r="Q202" s="251"/>
      <c r="R202" s="251"/>
      <c r="S202" s="251"/>
      <c r="T202" s="250"/>
      <c r="U202" s="250"/>
      <c r="V202" s="250"/>
      <c r="W202" s="250"/>
      <c r="X202" s="250"/>
      <c r="Y202" s="250"/>
      <c r="Z202" s="250"/>
      <c r="AA202" s="250"/>
      <c r="AB202" s="457" t="s">
        <v>797</v>
      </c>
      <c r="AC202" s="382"/>
      <c r="AD202" s="458">
        <v>5000000</v>
      </c>
      <c r="AE202" s="471" t="s">
        <v>751</v>
      </c>
      <c r="AF202" s="2"/>
    </row>
    <row r="203" spans="1:32" s="1" customFormat="1" ht="21" customHeight="1">
      <c r="A203" s="46"/>
      <c r="B203" s="47"/>
      <c r="C203" s="47"/>
      <c r="D203" s="210"/>
      <c r="E203" s="121"/>
      <c r="F203" s="121"/>
      <c r="G203" s="121"/>
      <c r="H203" s="121"/>
      <c r="I203" s="121"/>
      <c r="J203" s="121"/>
      <c r="K203" s="121"/>
      <c r="L203" s="121"/>
      <c r="M203" s="121"/>
      <c r="N203" s="72"/>
      <c r="O203" s="447"/>
      <c r="P203" s="251"/>
      <c r="Q203" s="251"/>
      <c r="R203" s="251"/>
      <c r="S203" s="251"/>
      <c r="T203" s="250"/>
      <c r="U203" s="250"/>
      <c r="V203" s="250"/>
      <c r="W203" s="250"/>
      <c r="X203" s="250"/>
      <c r="Y203" s="250"/>
      <c r="Z203" s="250"/>
      <c r="AA203" s="250"/>
      <c r="AB203" s="457" t="s">
        <v>798</v>
      </c>
      <c r="AC203" s="382"/>
      <c r="AD203" s="458">
        <v>1145000</v>
      </c>
      <c r="AE203" s="471" t="s">
        <v>796</v>
      </c>
      <c r="AF203" s="2"/>
    </row>
    <row r="204" spans="1:32" s="1" customFormat="1" ht="21" customHeight="1">
      <c r="A204" s="46"/>
      <c r="B204" s="47"/>
      <c r="C204" s="47"/>
      <c r="D204" s="210"/>
      <c r="E204" s="121"/>
      <c r="F204" s="121"/>
      <c r="G204" s="121"/>
      <c r="H204" s="121"/>
      <c r="I204" s="121"/>
      <c r="J204" s="121"/>
      <c r="K204" s="121"/>
      <c r="L204" s="121"/>
      <c r="M204" s="121"/>
      <c r="N204" s="72"/>
      <c r="O204" s="447" t="s">
        <v>807</v>
      </c>
      <c r="P204" s="251"/>
      <c r="Q204" s="251"/>
      <c r="R204" s="251"/>
      <c r="S204" s="251"/>
      <c r="T204" s="250"/>
      <c r="U204" s="250"/>
      <c r="V204" s="250"/>
      <c r="W204" s="250"/>
      <c r="X204" s="250"/>
      <c r="Y204" s="250"/>
      <c r="Z204" s="250"/>
      <c r="AA204" s="250"/>
      <c r="AB204" s="462" t="s">
        <v>585</v>
      </c>
      <c r="AC204" s="53"/>
      <c r="AD204" s="437">
        <v>8000000</v>
      </c>
      <c r="AE204" s="59" t="s">
        <v>57</v>
      </c>
      <c r="AF204" s="2"/>
    </row>
    <row r="205" spans="1:32" s="1" customFormat="1" ht="21" customHeight="1">
      <c r="A205" s="46"/>
      <c r="B205" s="47"/>
      <c r="C205" s="47"/>
      <c r="D205" s="210"/>
      <c r="E205" s="121"/>
      <c r="F205" s="121"/>
      <c r="G205" s="121"/>
      <c r="H205" s="121"/>
      <c r="I205" s="121"/>
      <c r="J205" s="121"/>
      <c r="K205" s="121"/>
      <c r="L205" s="121"/>
      <c r="M205" s="121"/>
      <c r="N205" s="72"/>
      <c r="O205" s="413" t="s">
        <v>566</v>
      </c>
      <c r="P205" s="51"/>
      <c r="Q205" s="51"/>
      <c r="R205" s="51"/>
      <c r="S205" s="52"/>
      <c r="T205" s="56"/>
      <c r="U205" s="56"/>
      <c r="V205" s="52"/>
      <c r="W205" s="51"/>
      <c r="X205" s="52"/>
      <c r="Y205" s="52"/>
      <c r="Z205" s="52"/>
      <c r="AA205" s="52"/>
      <c r="AB205" s="412" t="s">
        <v>572</v>
      </c>
      <c r="AC205" s="52"/>
      <c r="AD205" s="422">
        <v>1000000</v>
      </c>
      <c r="AE205" s="59" t="s">
        <v>96</v>
      </c>
      <c r="AF205" s="2"/>
    </row>
    <row r="206" spans="1:32" s="1" customFormat="1" ht="21" customHeight="1">
      <c r="A206" s="46"/>
      <c r="B206" s="47"/>
      <c r="C206" s="47"/>
      <c r="D206" s="210"/>
      <c r="E206" s="121"/>
      <c r="F206" s="121"/>
      <c r="G206" s="121"/>
      <c r="H206" s="121"/>
      <c r="I206" s="121"/>
      <c r="J206" s="121"/>
      <c r="K206" s="121"/>
      <c r="L206" s="121"/>
      <c r="M206" s="121"/>
      <c r="N206" s="72"/>
      <c r="O206" s="413" t="s">
        <v>567</v>
      </c>
      <c r="P206" s="253"/>
      <c r="Q206" s="253"/>
      <c r="R206" s="253"/>
      <c r="S206" s="252"/>
      <c r="T206" s="56"/>
      <c r="U206" s="56"/>
      <c r="V206" s="252"/>
      <c r="W206" s="253"/>
      <c r="X206" s="252"/>
      <c r="Y206" s="252"/>
      <c r="Z206" s="252"/>
      <c r="AA206" s="252"/>
      <c r="AB206" s="412" t="s">
        <v>573</v>
      </c>
      <c r="AC206" s="252"/>
      <c r="AD206" s="422">
        <v>1500000</v>
      </c>
      <c r="AE206" s="59" t="s">
        <v>250</v>
      </c>
      <c r="AF206" s="2"/>
    </row>
    <row r="207" spans="1:32" s="1" customFormat="1" ht="21" customHeight="1">
      <c r="A207" s="46"/>
      <c r="B207" s="47"/>
      <c r="C207" s="47"/>
      <c r="D207" s="210"/>
      <c r="E207" s="121"/>
      <c r="F207" s="121"/>
      <c r="G207" s="121"/>
      <c r="H207" s="121"/>
      <c r="I207" s="121"/>
      <c r="J207" s="121"/>
      <c r="K207" s="121"/>
      <c r="L207" s="121"/>
      <c r="M207" s="121"/>
      <c r="N207" s="72"/>
      <c r="O207" s="206"/>
      <c r="P207" s="51"/>
      <c r="Q207" s="51"/>
      <c r="R207" s="51"/>
      <c r="S207" s="52"/>
      <c r="T207" s="56"/>
      <c r="U207" s="56"/>
      <c r="V207" s="52"/>
      <c r="W207" s="51"/>
      <c r="X207" s="52"/>
      <c r="Y207" s="52"/>
      <c r="Z207" s="52"/>
      <c r="AA207" s="52"/>
      <c r="AB207" s="143"/>
      <c r="AC207" s="52"/>
      <c r="AD207" s="52"/>
      <c r="AE207" s="59"/>
      <c r="AF207" s="2"/>
    </row>
    <row r="208" spans="1:32" s="11" customFormat="1" ht="21" customHeight="1">
      <c r="A208" s="265" t="s">
        <v>19</v>
      </c>
      <c r="B208" s="614" t="s">
        <v>20</v>
      </c>
      <c r="C208" s="615"/>
      <c r="D208" s="266">
        <f t="shared" ref="D208:L208" si="11">SUM(D209,D248)</f>
        <v>273800</v>
      </c>
      <c r="E208" s="266">
        <f t="shared" si="11"/>
        <v>277503</v>
      </c>
      <c r="F208" s="266">
        <f t="shared" si="11"/>
        <v>87522</v>
      </c>
      <c r="G208" s="266">
        <f t="shared" si="11"/>
        <v>17916</v>
      </c>
      <c r="H208" s="266">
        <f t="shared" si="11"/>
        <v>22167</v>
      </c>
      <c r="I208" s="266">
        <f t="shared" si="11"/>
        <v>61095</v>
      </c>
      <c r="J208" s="266">
        <f t="shared" si="11"/>
        <v>78291</v>
      </c>
      <c r="K208" s="266">
        <f t="shared" si="11"/>
        <v>0</v>
      </c>
      <c r="L208" s="266">
        <f t="shared" si="11"/>
        <v>10512</v>
      </c>
      <c r="M208" s="266">
        <f>SUM(M209,M224,M231,M235,M243)</f>
        <v>2608</v>
      </c>
      <c r="N208" s="267">
        <f>IF(D208=0,0,M208/D208)</f>
        <v>9.5252008765522277E-3</v>
      </c>
      <c r="O208" s="257" t="s">
        <v>284</v>
      </c>
      <c r="P208" s="103"/>
      <c r="Q208" s="103"/>
      <c r="R208" s="103"/>
      <c r="S208" s="103"/>
      <c r="T208" s="97"/>
      <c r="U208" s="97"/>
      <c r="V208" s="97"/>
      <c r="W208" s="97"/>
      <c r="X208" s="97"/>
      <c r="Y208" s="97"/>
      <c r="Z208" s="97"/>
      <c r="AA208" s="97"/>
      <c r="AB208" s="97"/>
      <c r="AC208" s="97"/>
      <c r="AD208" s="97">
        <f>SUM(AD209,AD248)</f>
        <v>277503000</v>
      </c>
      <c r="AE208" s="105" t="s">
        <v>25</v>
      </c>
      <c r="AF208" s="13"/>
    </row>
    <row r="209" spans="1:32" s="11" customFormat="1" ht="21" customHeight="1">
      <c r="A209" s="47"/>
      <c r="B209" s="37" t="s">
        <v>138</v>
      </c>
      <c r="C209" s="37" t="s">
        <v>285</v>
      </c>
      <c r="D209" s="126">
        <f t="shared" ref="D209:L209" si="12">SUM(D210,D224,D231,D235,D243)</f>
        <v>184685</v>
      </c>
      <c r="E209" s="126">
        <f t="shared" si="12"/>
        <v>185888</v>
      </c>
      <c r="F209" s="126">
        <f t="shared" si="12"/>
        <v>87522</v>
      </c>
      <c r="G209" s="126">
        <f t="shared" si="12"/>
        <v>6300</v>
      </c>
      <c r="H209" s="126">
        <f t="shared" si="12"/>
        <v>22167</v>
      </c>
      <c r="I209" s="126">
        <f t="shared" si="12"/>
        <v>23586</v>
      </c>
      <c r="J209" s="126">
        <f t="shared" si="12"/>
        <v>35801</v>
      </c>
      <c r="K209" s="126">
        <f t="shared" si="12"/>
        <v>0</v>
      </c>
      <c r="L209" s="126">
        <f t="shared" si="12"/>
        <v>10512</v>
      </c>
      <c r="M209" s="126">
        <f>E209-D209</f>
        <v>1203</v>
      </c>
      <c r="N209" s="134">
        <f>IF(D209=0,0,M209/D209)</f>
        <v>6.5137937569374879E-3</v>
      </c>
      <c r="O209" s="103"/>
      <c r="P209" s="103"/>
      <c r="Q209" s="103"/>
      <c r="R209" s="103"/>
      <c r="S209" s="103"/>
      <c r="T209" s="97"/>
      <c r="U209" s="97"/>
      <c r="V209" s="97"/>
      <c r="W209" s="97"/>
      <c r="X209" s="97"/>
      <c r="Y209" s="97" t="s">
        <v>28</v>
      </c>
      <c r="Z209" s="97"/>
      <c r="AA209" s="97"/>
      <c r="AB209" s="97"/>
      <c r="AC209" s="104"/>
      <c r="AD209" s="104">
        <f>SUM(AD210,AD224,AD231,AD235,AD243)</f>
        <v>185888000</v>
      </c>
      <c r="AE209" s="105" t="s">
        <v>25</v>
      </c>
      <c r="AF209" s="1"/>
    </row>
    <row r="210" spans="1:32" s="11" customFormat="1" ht="21" customHeight="1">
      <c r="A210" s="47"/>
      <c r="B210" s="47"/>
      <c r="C210" s="37" t="s">
        <v>59</v>
      </c>
      <c r="D210" s="212">
        <v>129927</v>
      </c>
      <c r="E210" s="126">
        <f>ROUND(AD210/1000,0)</f>
        <v>129725</v>
      </c>
      <c r="F210" s="126">
        <f>SUM(AD211,AD217,AD218)/1000</f>
        <v>67221</v>
      </c>
      <c r="G210" s="126">
        <v>0</v>
      </c>
      <c r="H210" s="126">
        <f>SUM(AD214:AD216)/1000</f>
        <v>15687</v>
      </c>
      <c r="I210" s="126">
        <f>SUM(AD213,AD219)/1000</f>
        <v>6569</v>
      </c>
      <c r="J210" s="126">
        <f>SUM(AD212)/1000</f>
        <v>29736</v>
      </c>
      <c r="K210" s="126">
        <v>0</v>
      </c>
      <c r="L210" s="126">
        <f>SUM(AD220:AD222)/1000</f>
        <v>10512</v>
      </c>
      <c r="M210" s="126">
        <f>E210-D210</f>
        <v>-202</v>
      </c>
      <c r="N210" s="134">
        <f>IF(D210=0,0,M210/D210)</f>
        <v>-1.5547191884673702E-3</v>
      </c>
      <c r="O210" s="107" t="s">
        <v>139</v>
      </c>
      <c r="P210" s="257"/>
      <c r="Q210" s="257"/>
      <c r="R210" s="257"/>
      <c r="S210" s="257"/>
      <c r="T210" s="256"/>
      <c r="U210" s="256"/>
      <c r="V210" s="256"/>
      <c r="W210" s="256"/>
      <c r="X210" s="256"/>
      <c r="Y210" s="233" t="s">
        <v>256</v>
      </c>
      <c r="Z210" s="233"/>
      <c r="AA210" s="233"/>
      <c r="AB210" s="233"/>
      <c r="AC210" s="235"/>
      <c r="AD210" s="235">
        <f>SUM(AD211:AD222)</f>
        <v>129725000</v>
      </c>
      <c r="AE210" s="234" t="s">
        <v>25</v>
      </c>
      <c r="AF210" s="1"/>
    </row>
    <row r="211" spans="1:32" s="11" customFormat="1" ht="21" customHeight="1">
      <c r="A211" s="47"/>
      <c r="B211" s="47"/>
      <c r="C211" s="47"/>
      <c r="D211" s="122"/>
      <c r="E211" s="121"/>
      <c r="F211" s="121"/>
      <c r="G211" s="121"/>
      <c r="H211" s="121"/>
      <c r="I211" s="121"/>
      <c r="J211" s="121"/>
      <c r="K211" s="121"/>
      <c r="L211" s="121"/>
      <c r="M211" s="121"/>
      <c r="N211" s="72"/>
      <c r="O211" s="446" t="s">
        <v>713</v>
      </c>
      <c r="P211" s="51"/>
      <c r="Q211" s="52"/>
      <c r="R211" s="52"/>
      <c r="S211" s="52">
        <v>200296</v>
      </c>
      <c r="T211" s="52" t="s">
        <v>93</v>
      </c>
      <c r="U211" s="56" t="s">
        <v>97</v>
      </c>
      <c r="V211" s="52">
        <v>12</v>
      </c>
      <c r="W211" s="52" t="s">
        <v>110</v>
      </c>
      <c r="X211" s="56" t="s">
        <v>97</v>
      </c>
      <c r="Y211" s="457">
        <v>27</v>
      </c>
      <c r="Z211" s="52" t="s">
        <v>99</v>
      </c>
      <c r="AA211" s="58" t="s">
        <v>100</v>
      </c>
      <c r="AB211" s="52" t="s">
        <v>114</v>
      </c>
      <c r="AC211" s="70"/>
      <c r="AD211" s="458">
        <f>ROUNDDOWN(S211*V211*Y211,-3)</f>
        <v>64895000</v>
      </c>
      <c r="AE211" s="59" t="s">
        <v>25</v>
      </c>
      <c r="AF211" s="2"/>
    </row>
    <row r="212" spans="1:32" s="11" customFormat="1" ht="21" customHeight="1">
      <c r="A212" s="47"/>
      <c r="B212" s="47"/>
      <c r="C212" s="47"/>
      <c r="D212" s="122"/>
      <c r="E212" s="121"/>
      <c r="F212" s="121"/>
      <c r="G212" s="121"/>
      <c r="H212" s="121"/>
      <c r="I212" s="121"/>
      <c r="J212" s="121"/>
      <c r="K212" s="121"/>
      <c r="L212" s="121"/>
      <c r="M212" s="121"/>
      <c r="N212" s="72"/>
      <c r="O212" s="446" t="s">
        <v>806</v>
      </c>
      <c r="P212" s="179"/>
      <c r="Q212" s="179"/>
      <c r="R212" s="179"/>
      <c r="S212" s="426"/>
      <c r="T212" s="426"/>
      <c r="U212" s="56"/>
      <c r="V212" s="426"/>
      <c r="W212" s="426"/>
      <c r="X212" s="56"/>
      <c r="Y212" s="457"/>
      <c r="Z212" s="426"/>
      <c r="AA212" s="423"/>
      <c r="AB212" s="426" t="s">
        <v>630</v>
      </c>
      <c r="AC212" s="70"/>
      <c r="AD212" s="458">
        <v>29736000</v>
      </c>
      <c r="AE212" s="59" t="s">
        <v>25</v>
      </c>
      <c r="AF212" s="2"/>
    </row>
    <row r="213" spans="1:32" s="11" customFormat="1" ht="21" customHeight="1">
      <c r="A213" s="47"/>
      <c r="B213" s="47"/>
      <c r="C213" s="47"/>
      <c r="D213" s="122"/>
      <c r="E213" s="121"/>
      <c r="F213" s="121"/>
      <c r="G213" s="121"/>
      <c r="H213" s="121"/>
      <c r="I213" s="121"/>
      <c r="J213" s="121"/>
      <c r="K213" s="121"/>
      <c r="L213" s="121"/>
      <c r="M213" s="121"/>
      <c r="N213" s="72"/>
      <c r="O213" s="446"/>
      <c r="P213" s="476"/>
      <c r="Q213" s="476"/>
      <c r="R213" s="476"/>
      <c r="S213" s="475"/>
      <c r="T213" s="475"/>
      <c r="U213" s="56"/>
      <c r="V213" s="475"/>
      <c r="W213" s="475"/>
      <c r="X213" s="56"/>
      <c r="Y213" s="457"/>
      <c r="Z213" s="475"/>
      <c r="AA213" s="474"/>
      <c r="AB213" s="475" t="s">
        <v>814</v>
      </c>
      <c r="AC213" s="70"/>
      <c r="AD213" s="458">
        <v>2948000</v>
      </c>
      <c r="AE213" s="59" t="s">
        <v>815</v>
      </c>
      <c r="AF213" s="2"/>
    </row>
    <row r="214" spans="1:32" s="11" customFormat="1" ht="21" customHeight="1">
      <c r="A214" s="47"/>
      <c r="B214" s="47"/>
      <c r="C214" s="47"/>
      <c r="D214" s="122"/>
      <c r="E214" s="121"/>
      <c r="F214" s="121"/>
      <c r="G214" s="121"/>
      <c r="H214" s="121"/>
      <c r="I214" s="121"/>
      <c r="J214" s="121"/>
      <c r="K214" s="121"/>
      <c r="L214" s="121"/>
      <c r="M214" s="121"/>
      <c r="N214" s="72"/>
      <c r="O214" s="276" t="s">
        <v>325</v>
      </c>
      <c r="P214" s="51"/>
      <c r="Q214" s="52"/>
      <c r="R214" s="52"/>
      <c r="S214" s="52">
        <v>500</v>
      </c>
      <c r="T214" s="52" t="s">
        <v>93</v>
      </c>
      <c r="U214" s="56" t="s">
        <v>97</v>
      </c>
      <c r="V214" s="52">
        <v>365</v>
      </c>
      <c r="W214" s="52" t="s">
        <v>98</v>
      </c>
      <c r="X214" s="56" t="s">
        <v>97</v>
      </c>
      <c r="Y214" s="52">
        <v>54</v>
      </c>
      <c r="Z214" s="52" t="s">
        <v>99</v>
      </c>
      <c r="AA214" s="58" t="s">
        <v>100</v>
      </c>
      <c r="AB214" s="52" t="s">
        <v>114</v>
      </c>
      <c r="AC214" s="70"/>
      <c r="AD214" s="70">
        <f>ROUND(S214*V214*Y214,-3)</f>
        <v>9855000</v>
      </c>
      <c r="AE214" s="59" t="s">
        <v>25</v>
      </c>
      <c r="AF214" s="2"/>
    </row>
    <row r="215" spans="1:32" s="11" customFormat="1" ht="21" customHeight="1">
      <c r="A215" s="47"/>
      <c r="B215" s="47"/>
      <c r="C215" s="47"/>
      <c r="D215" s="122"/>
      <c r="E215" s="121"/>
      <c r="F215" s="121"/>
      <c r="G215" s="121"/>
      <c r="H215" s="121"/>
      <c r="I215" s="121"/>
      <c r="J215" s="121"/>
      <c r="K215" s="121"/>
      <c r="L215" s="121"/>
      <c r="M215" s="121"/>
      <c r="N215" s="72"/>
      <c r="O215" s="276" t="s">
        <v>326</v>
      </c>
      <c r="P215" s="51"/>
      <c r="Q215" s="52"/>
      <c r="R215" s="52"/>
      <c r="S215" s="52">
        <v>5000</v>
      </c>
      <c r="T215" s="52" t="s">
        <v>93</v>
      </c>
      <c r="U215" s="56" t="s">
        <v>97</v>
      </c>
      <c r="V215" s="52">
        <v>12</v>
      </c>
      <c r="W215" s="52" t="s">
        <v>29</v>
      </c>
      <c r="X215" s="56" t="s">
        <v>97</v>
      </c>
      <c r="Y215" s="52">
        <v>54</v>
      </c>
      <c r="Z215" s="52" t="s">
        <v>99</v>
      </c>
      <c r="AA215" s="58" t="s">
        <v>100</v>
      </c>
      <c r="AB215" s="52" t="s">
        <v>114</v>
      </c>
      <c r="AC215" s="70"/>
      <c r="AD215" s="70">
        <f>S215*V215*Y215</f>
        <v>3240000</v>
      </c>
      <c r="AE215" s="59" t="s">
        <v>25</v>
      </c>
      <c r="AF215" s="2"/>
    </row>
    <row r="216" spans="1:32" s="11" customFormat="1" ht="21" customHeight="1">
      <c r="A216" s="47"/>
      <c r="B216" s="47"/>
      <c r="C216" s="47"/>
      <c r="D216" s="122"/>
      <c r="E216" s="121"/>
      <c r="F216" s="121"/>
      <c r="G216" s="121"/>
      <c r="H216" s="121"/>
      <c r="I216" s="121"/>
      <c r="J216" s="121"/>
      <c r="K216" s="121"/>
      <c r="L216" s="121"/>
      <c r="M216" s="121"/>
      <c r="N216" s="72"/>
      <c r="O216" s="276" t="s">
        <v>327</v>
      </c>
      <c r="P216" s="51"/>
      <c r="Q216" s="52"/>
      <c r="R216" s="52"/>
      <c r="S216" s="52">
        <v>12000</v>
      </c>
      <c r="T216" s="52" t="s">
        <v>93</v>
      </c>
      <c r="U216" s="56" t="s">
        <v>97</v>
      </c>
      <c r="V216" s="52">
        <v>4</v>
      </c>
      <c r="W216" s="52" t="s">
        <v>131</v>
      </c>
      <c r="X216" s="56" t="s">
        <v>97</v>
      </c>
      <c r="Y216" s="52">
        <v>54</v>
      </c>
      <c r="Z216" s="52" t="s">
        <v>99</v>
      </c>
      <c r="AA216" s="58" t="s">
        <v>100</v>
      </c>
      <c r="AB216" s="52" t="s">
        <v>114</v>
      </c>
      <c r="AC216" s="70"/>
      <c r="AD216" s="70">
        <f>S216*V216*Y216</f>
        <v>2592000</v>
      </c>
      <c r="AE216" s="59" t="s">
        <v>25</v>
      </c>
      <c r="AF216" s="2"/>
    </row>
    <row r="217" spans="1:32" s="11" customFormat="1" ht="21" customHeight="1">
      <c r="A217" s="47"/>
      <c r="B217" s="47"/>
      <c r="C217" s="47"/>
      <c r="D217" s="122"/>
      <c r="E217" s="121"/>
      <c r="F217" s="121"/>
      <c r="G217" s="121"/>
      <c r="H217" s="121"/>
      <c r="I217" s="121"/>
      <c r="J217" s="121"/>
      <c r="K217" s="121"/>
      <c r="L217" s="121"/>
      <c r="M217" s="121"/>
      <c r="N217" s="72"/>
      <c r="O217" s="446" t="s">
        <v>715</v>
      </c>
      <c r="P217" s="51"/>
      <c r="Q217" s="52"/>
      <c r="R217" s="52"/>
      <c r="S217" s="52">
        <v>29000</v>
      </c>
      <c r="T217" s="52" t="s">
        <v>93</v>
      </c>
      <c r="U217" s="56" t="s">
        <v>97</v>
      </c>
      <c r="V217" s="52">
        <v>2</v>
      </c>
      <c r="W217" s="52" t="s">
        <v>131</v>
      </c>
      <c r="X217" s="56" t="s">
        <v>97</v>
      </c>
      <c r="Y217" s="457">
        <v>27</v>
      </c>
      <c r="Z217" s="52" t="s">
        <v>99</v>
      </c>
      <c r="AA217" s="58" t="s">
        <v>100</v>
      </c>
      <c r="AB217" s="52" t="s">
        <v>114</v>
      </c>
      <c r="AC217" s="70"/>
      <c r="AD217" s="458">
        <f>ROUND(S217*V217*Y217,-3)</f>
        <v>1566000</v>
      </c>
      <c r="AE217" s="59" t="s">
        <v>25</v>
      </c>
      <c r="AF217" s="2"/>
    </row>
    <row r="218" spans="1:32" s="11" customFormat="1" ht="21" customHeight="1">
      <c r="A218" s="47"/>
      <c r="B218" s="47"/>
      <c r="C218" s="47"/>
      <c r="D218" s="210"/>
      <c r="E218" s="121"/>
      <c r="F218" s="121"/>
      <c r="G218" s="121"/>
      <c r="H218" s="121"/>
      <c r="I218" s="121"/>
      <c r="J218" s="121"/>
      <c r="K218" s="121"/>
      <c r="L218" s="121"/>
      <c r="M218" s="121"/>
      <c r="N218" s="72"/>
      <c r="O218" s="446" t="s">
        <v>714</v>
      </c>
      <c r="P218" s="51"/>
      <c r="Q218" s="52"/>
      <c r="R218" s="52"/>
      <c r="S218" s="252">
        <v>28114</v>
      </c>
      <c r="T218" s="252" t="s">
        <v>57</v>
      </c>
      <c r="U218" s="56" t="s">
        <v>58</v>
      </c>
      <c r="V218" s="252">
        <v>1</v>
      </c>
      <c r="W218" s="252" t="s">
        <v>79</v>
      </c>
      <c r="X218" s="56" t="s">
        <v>58</v>
      </c>
      <c r="Y218" s="457">
        <v>27</v>
      </c>
      <c r="Z218" s="252" t="s">
        <v>56</v>
      </c>
      <c r="AA218" s="247" t="s">
        <v>53</v>
      </c>
      <c r="AB218" s="252" t="s">
        <v>114</v>
      </c>
      <c r="AC218" s="70"/>
      <c r="AD218" s="458">
        <f>ROUNDUP(S218*V218*Y218,-3)</f>
        <v>760000</v>
      </c>
      <c r="AE218" s="59" t="s">
        <v>25</v>
      </c>
      <c r="AF218" s="2"/>
    </row>
    <row r="219" spans="1:32" s="11" customFormat="1" ht="21" customHeight="1">
      <c r="A219" s="47"/>
      <c r="B219" s="47"/>
      <c r="C219" s="47"/>
      <c r="D219" s="210"/>
      <c r="E219" s="121"/>
      <c r="F219" s="121"/>
      <c r="G219" s="121"/>
      <c r="H219" s="121"/>
      <c r="I219" s="121"/>
      <c r="J219" s="121"/>
      <c r="K219" s="121"/>
      <c r="L219" s="121"/>
      <c r="M219" s="121"/>
      <c r="N219" s="72"/>
      <c r="O219" s="179"/>
      <c r="P219" s="179"/>
      <c r="Q219" s="178"/>
      <c r="R219" s="178"/>
      <c r="S219" s="178"/>
      <c r="T219" s="178"/>
      <c r="U219" s="56"/>
      <c r="V219" s="178"/>
      <c r="W219" s="178"/>
      <c r="X219" s="56"/>
      <c r="Y219" s="178"/>
      <c r="Z219" s="178"/>
      <c r="AA219" s="177"/>
      <c r="AB219" s="130" t="s">
        <v>295</v>
      </c>
      <c r="AC219" s="130"/>
      <c r="AD219" s="440">
        <v>3621000</v>
      </c>
      <c r="AE219" s="59" t="s">
        <v>25</v>
      </c>
      <c r="AF219" s="2"/>
    </row>
    <row r="220" spans="1:32" s="11" customFormat="1" ht="21" customHeight="1">
      <c r="A220" s="47"/>
      <c r="B220" s="47"/>
      <c r="C220" s="47"/>
      <c r="D220" s="210"/>
      <c r="E220" s="121"/>
      <c r="F220" s="121"/>
      <c r="G220" s="121"/>
      <c r="H220" s="121"/>
      <c r="I220" s="121"/>
      <c r="J220" s="121"/>
      <c r="K220" s="121"/>
      <c r="L220" s="121"/>
      <c r="M220" s="121"/>
      <c r="N220" s="72"/>
      <c r="O220" s="427"/>
      <c r="P220" s="427"/>
      <c r="Q220" s="426"/>
      <c r="R220" s="426"/>
      <c r="S220" s="426"/>
      <c r="T220" s="426"/>
      <c r="U220" s="56"/>
      <c r="V220" s="426"/>
      <c r="W220" s="426"/>
      <c r="X220" s="56"/>
      <c r="Y220" s="426"/>
      <c r="Z220" s="426"/>
      <c r="AA220" s="423"/>
      <c r="AB220" s="477" t="s">
        <v>813</v>
      </c>
      <c r="AC220" s="477"/>
      <c r="AD220" s="478">
        <v>1512000</v>
      </c>
      <c r="AE220" s="59" t="s">
        <v>634</v>
      </c>
      <c r="AF220" s="2"/>
    </row>
    <row r="221" spans="1:32" s="11" customFormat="1" ht="21" customHeight="1">
      <c r="A221" s="47"/>
      <c r="B221" s="47"/>
      <c r="C221" s="47"/>
      <c r="D221" s="210"/>
      <c r="E221" s="121"/>
      <c r="F221" s="121"/>
      <c r="G221" s="121"/>
      <c r="H221" s="121"/>
      <c r="I221" s="121"/>
      <c r="J221" s="121"/>
      <c r="K221" s="121"/>
      <c r="L221" s="121"/>
      <c r="M221" s="121"/>
      <c r="N221" s="72"/>
      <c r="O221" s="427" t="s">
        <v>631</v>
      </c>
      <c r="P221" s="179"/>
      <c r="Q221" s="179"/>
      <c r="R221" s="179"/>
      <c r="S221" s="252">
        <v>50000</v>
      </c>
      <c r="T221" s="56" t="s">
        <v>57</v>
      </c>
      <c r="U221" s="56" t="s">
        <v>26</v>
      </c>
      <c r="V221" s="252">
        <v>12</v>
      </c>
      <c r="W221" s="252" t="s">
        <v>56</v>
      </c>
      <c r="X221" s="56" t="s">
        <v>26</v>
      </c>
      <c r="Y221" s="252">
        <v>12</v>
      </c>
      <c r="Z221" s="252" t="s">
        <v>0</v>
      </c>
      <c r="AA221" s="247" t="s">
        <v>27</v>
      </c>
      <c r="AB221" s="252" t="s">
        <v>156</v>
      </c>
      <c r="AC221" s="252"/>
      <c r="AD221" s="252">
        <f>S221*V221*Y221</f>
        <v>7200000</v>
      </c>
      <c r="AE221" s="148" t="s">
        <v>57</v>
      </c>
      <c r="AF221" s="2"/>
    </row>
    <row r="222" spans="1:32" s="11" customFormat="1" ht="21" customHeight="1">
      <c r="A222" s="47"/>
      <c r="B222" s="47"/>
      <c r="C222" s="47"/>
      <c r="D222" s="210"/>
      <c r="E222" s="121"/>
      <c r="F222" s="121"/>
      <c r="G222" s="121"/>
      <c r="H222" s="121"/>
      <c r="I222" s="121"/>
      <c r="J222" s="121"/>
      <c r="K222" s="121"/>
      <c r="L222" s="121"/>
      <c r="M222" s="121"/>
      <c r="N222" s="72"/>
      <c r="O222" s="427" t="s">
        <v>632</v>
      </c>
      <c r="P222" s="179"/>
      <c r="Q222" s="179"/>
      <c r="R222" s="179"/>
      <c r="S222" s="178">
        <v>150000</v>
      </c>
      <c r="T222" s="56" t="s">
        <v>170</v>
      </c>
      <c r="U222" s="56" t="s">
        <v>26</v>
      </c>
      <c r="V222" s="178">
        <v>12</v>
      </c>
      <c r="W222" s="178" t="s">
        <v>171</v>
      </c>
      <c r="X222" s="177" t="s">
        <v>27</v>
      </c>
      <c r="Y222" s="178"/>
      <c r="Z222" s="178"/>
      <c r="AA222" s="177"/>
      <c r="AB222" s="178" t="s">
        <v>172</v>
      </c>
      <c r="AC222" s="178"/>
      <c r="AD222" s="422">
        <f>S222*V222</f>
        <v>1800000</v>
      </c>
      <c r="AE222" s="148" t="s">
        <v>57</v>
      </c>
      <c r="AF222" s="2"/>
    </row>
    <row r="223" spans="1:32" s="11" customFormat="1" ht="21" customHeight="1">
      <c r="A223" s="47"/>
      <c r="B223" s="47"/>
      <c r="C223" s="61"/>
      <c r="D223" s="211"/>
      <c r="E223" s="124"/>
      <c r="F223" s="124"/>
      <c r="G223" s="124"/>
      <c r="H223" s="124"/>
      <c r="I223" s="124"/>
      <c r="J223" s="124"/>
      <c r="K223" s="124"/>
      <c r="L223" s="124"/>
      <c r="M223" s="124"/>
      <c r="N223" s="92"/>
      <c r="O223" s="130"/>
      <c r="P223" s="130"/>
      <c r="Q223" s="130"/>
      <c r="R223" s="130"/>
      <c r="S223" s="130"/>
      <c r="T223" s="130"/>
      <c r="U223" s="130"/>
      <c r="V223" s="130"/>
      <c r="W223" s="130"/>
      <c r="X223" s="130"/>
      <c r="Y223" s="130"/>
      <c r="Z223" s="130"/>
      <c r="AA223" s="130"/>
      <c r="AB223" s="130"/>
      <c r="AC223" s="130"/>
      <c r="AD223" s="160"/>
      <c r="AE223" s="140"/>
      <c r="AF223" s="2"/>
    </row>
    <row r="224" spans="1:32" s="11" customFormat="1" ht="21" customHeight="1">
      <c r="A224" s="47"/>
      <c r="B224" s="47"/>
      <c r="C224" s="47" t="s">
        <v>140</v>
      </c>
      <c r="D224" s="210">
        <v>6300</v>
      </c>
      <c r="E224" s="121">
        <f>ROUND(AD224/1000,0)</f>
        <v>6805</v>
      </c>
      <c r="F224" s="121">
        <v>3911</v>
      </c>
      <c r="G224" s="121">
        <v>0</v>
      </c>
      <c r="H224" s="121">
        <v>0</v>
      </c>
      <c r="I224" s="121">
        <v>2789</v>
      </c>
      <c r="J224" s="121">
        <v>105</v>
      </c>
      <c r="K224" s="121">
        <v>0</v>
      </c>
      <c r="L224" s="121">
        <v>0</v>
      </c>
      <c r="M224" s="121">
        <f>E224-D224</f>
        <v>505</v>
      </c>
      <c r="N224" s="72">
        <f>IF(D224=0,0,M224/D224)</f>
        <v>8.0158730158730165E-2</v>
      </c>
      <c r="O224" s="107" t="s">
        <v>141</v>
      </c>
      <c r="P224" s="103"/>
      <c r="Q224" s="103"/>
      <c r="R224" s="103"/>
      <c r="S224" s="103"/>
      <c r="T224" s="97"/>
      <c r="U224" s="97"/>
      <c r="V224" s="97"/>
      <c r="W224" s="97"/>
      <c r="X224" s="97"/>
      <c r="Y224" s="233" t="s">
        <v>256</v>
      </c>
      <c r="Z224" s="233"/>
      <c r="AA224" s="233"/>
      <c r="AB224" s="233"/>
      <c r="AC224" s="235"/>
      <c r="AD224" s="235">
        <f>SUM(AD225:AD230)</f>
        <v>6805000</v>
      </c>
      <c r="AE224" s="234" t="s">
        <v>25</v>
      </c>
      <c r="AF224" s="1"/>
    </row>
    <row r="225" spans="1:32" s="11" customFormat="1" ht="21" customHeight="1">
      <c r="A225" s="47"/>
      <c r="B225" s="47"/>
      <c r="C225" s="47" t="s">
        <v>286</v>
      </c>
      <c r="D225" s="210"/>
      <c r="E225" s="121"/>
      <c r="F225" s="121"/>
      <c r="G225" s="121"/>
      <c r="H225" s="121"/>
      <c r="I225" s="121"/>
      <c r="J225" s="121"/>
      <c r="K225" s="121"/>
      <c r="L225" s="121"/>
      <c r="M225" s="121"/>
      <c r="N225" s="72"/>
      <c r="O225" s="206" t="s">
        <v>142</v>
      </c>
      <c r="P225" s="51"/>
      <c r="Q225" s="51"/>
      <c r="R225" s="51"/>
      <c r="S225" s="52"/>
      <c r="T225" s="56"/>
      <c r="U225" s="56"/>
      <c r="V225" s="52"/>
      <c r="W225" s="52"/>
      <c r="X225" s="52"/>
      <c r="Y225" s="52"/>
      <c r="Z225" s="52"/>
      <c r="AA225" s="52"/>
      <c r="AB225" s="416" t="s">
        <v>584</v>
      </c>
      <c r="AC225" s="52"/>
      <c r="AD225" s="422">
        <v>3600000</v>
      </c>
      <c r="AE225" s="59" t="s">
        <v>93</v>
      </c>
      <c r="AF225" s="2"/>
    </row>
    <row r="226" spans="1:32" s="11" customFormat="1" ht="21" customHeight="1">
      <c r="A226" s="47"/>
      <c r="B226" s="47"/>
      <c r="C226" s="47"/>
      <c r="D226" s="210"/>
      <c r="E226" s="121"/>
      <c r="F226" s="121"/>
      <c r="G226" s="121"/>
      <c r="H226" s="121"/>
      <c r="I226" s="121"/>
      <c r="J226" s="121"/>
      <c r="K226" s="121"/>
      <c r="L226" s="121"/>
      <c r="M226" s="121"/>
      <c r="N226" s="72"/>
      <c r="O226" s="206" t="s">
        <v>165</v>
      </c>
      <c r="P226" s="144"/>
      <c r="Q226" s="144"/>
      <c r="R226" s="144"/>
      <c r="S226" s="143"/>
      <c r="T226" s="56"/>
      <c r="U226" s="56"/>
      <c r="V226" s="143"/>
      <c r="W226" s="143"/>
      <c r="X226" s="143"/>
      <c r="Y226" s="143"/>
      <c r="Z226" s="143"/>
      <c r="AA226" s="143"/>
      <c r="AB226" s="181"/>
      <c r="AC226" s="143"/>
      <c r="AD226" s="422">
        <v>500000</v>
      </c>
      <c r="AE226" s="59" t="s">
        <v>68</v>
      </c>
      <c r="AF226" s="2"/>
    </row>
    <row r="227" spans="1:32" s="11" customFormat="1" ht="21" customHeight="1">
      <c r="A227" s="47"/>
      <c r="B227" s="47"/>
      <c r="C227" s="47"/>
      <c r="D227" s="210"/>
      <c r="E227" s="121"/>
      <c r="F227" s="121"/>
      <c r="G227" s="121"/>
      <c r="H227" s="121"/>
      <c r="I227" s="121"/>
      <c r="J227" s="121"/>
      <c r="K227" s="121"/>
      <c r="L227" s="121"/>
      <c r="M227" s="121"/>
      <c r="N227" s="72"/>
      <c r="O227" s="206" t="s">
        <v>166</v>
      </c>
      <c r="P227" s="144"/>
      <c r="Q227" s="144"/>
      <c r="R227" s="144"/>
      <c r="S227" s="143"/>
      <c r="T227" s="56"/>
      <c r="U227" s="56"/>
      <c r="V227" s="143"/>
      <c r="W227" s="143"/>
      <c r="X227" s="143"/>
      <c r="Y227" s="143"/>
      <c r="Z227" s="143"/>
      <c r="AA227" s="143"/>
      <c r="AB227" s="275"/>
      <c r="AC227" s="143"/>
      <c r="AD227" s="422">
        <v>1000000</v>
      </c>
      <c r="AE227" s="59" t="s">
        <v>68</v>
      </c>
      <c r="AF227" s="2"/>
    </row>
    <row r="228" spans="1:32" s="11" customFormat="1" ht="21" customHeight="1">
      <c r="A228" s="47"/>
      <c r="B228" s="47"/>
      <c r="C228" s="47"/>
      <c r="D228" s="210"/>
      <c r="E228" s="121"/>
      <c r="F228" s="121"/>
      <c r="G228" s="121"/>
      <c r="H228" s="121"/>
      <c r="I228" s="121"/>
      <c r="J228" s="121"/>
      <c r="K228" s="121"/>
      <c r="L228" s="121"/>
      <c r="M228" s="121"/>
      <c r="N228" s="72"/>
      <c r="O228" s="413" t="s">
        <v>574</v>
      </c>
      <c r="P228" s="144"/>
      <c r="Q228" s="144"/>
      <c r="R228" s="144"/>
      <c r="S228" s="143"/>
      <c r="T228" s="56"/>
      <c r="U228" s="56"/>
      <c r="V228" s="143"/>
      <c r="W228" s="143"/>
      <c r="X228" s="143"/>
      <c r="Y228" s="143"/>
      <c r="Z228" s="143"/>
      <c r="AA228" s="143"/>
      <c r="AB228" s="188"/>
      <c r="AC228" s="143"/>
      <c r="AD228" s="422">
        <v>700000</v>
      </c>
      <c r="AE228" s="59" t="s">
        <v>68</v>
      </c>
      <c r="AF228" s="2"/>
    </row>
    <row r="229" spans="1:32" s="11" customFormat="1" ht="21" customHeight="1">
      <c r="A229" s="47"/>
      <c r="B229" s="47"/>
      <c r="C229" s="47"/>
      <c r="D229" s="210"/>
      <c r="E229" s="121"/>
      <c r="F229" s="121"/>
      <c r="G229" s="121"/>
      <c r="H229" s="121"/>
      <c r="I229" s="121"/>
      <c r="J229" s="121"/>
      <c r="K229" s="121"/>
      <c r="L229" s="121"/>
      <c r="M229" s="121"/>
      <c r="N229" s="72"/>
      <c r="O229" s="446" t="s">
        <v>881</v>
      </c>
      <c r="P229" s="446"/>
      <c r="Q229" s="446"/>
      <c r="R229" s="446"/>
      <c r="S229" s="457"/>
      <c r="T229" s="560"/>
      <c r="U229" s="560"/>
      <c r="V229" s="457"/>
      <c r="W229" s="457"/>
      <c r="X229" s="457"/>
      <c r="Y229" s="457"/>
      <c r="Z229" s="457"/>
      <c r="AA229" s="457"/>
      <c r="AB229" s="457"/>
      <c r="AC229" s="457"/>
      <c r="AD229" s="457">
        <v>1005000</v>
      </c>
      <c r="AE229" s="59" t="s">
        <v>250</v>
      </c>
      <c r="AF229" s="2"/>
    </row>
    <row r="230" spans="1:32" s="11" customFormat="1" ht="21" customHeight="1">
      <c r="A230" s="47"/>
      <c r="B230" s="47"/>
      <c r="C230" s="47"/>
      <c r="D230" s="210"/>
      <c r="E230" s="121"/>
      <c r="F230" s="121"/>
      <c r="G230" s="121"/>
      <c r="H230" s="121"/>
      <c r="I230" s="121"/>
      <c r="J230" s="121"/>
      <c r="K230" s="121"/>
      <c r="L230" s="121"/>
      <c r="M230" s="121"/>
      <c r="N230" s="72"/>
      <c r="O230" s="204"/>
      <c r="P230" s="88"/>
      <c r="Q230" s="88"/>
      <c r="R230" s="88"/>
      <c r="S230" s="87"/>
      <c r="T230" s="93"/>
      <c r="U230" s="56"/>
      <c r="V230" s="74"/>
      <c r="W230" s="87"/>
      <c r="X230" s="87"/>
      <c r="Y230" s="87"/>
      <c r="Z230" s="87"/>
      <c r="AA230" s="87"/>
      <c r="AB230" s="186"/>
      <c r="AC230" s="87"/>
      <c r="AD230" s="87"/>
      <c r="AE230" s="75"/>
      <c r="AF230" s="1"/>
    </row>
    <row r="231" spans="1:32" s="11" customFormat="1" ht="21" customHeight="1">
      <c r="A231" s="47"/>
      <c r="B231" s="47"/>
      <c r="C231" s="37" t="s">
        <v>135</v>
      </c>
      <c r="D231" s="212">
        <v>14040</v>
      </c>
      <c r="E231" s="126">
        <f>ROUND(AD231/1000,0)</f>
        <v>14040</v>
      </c>
      <c r="F231" s="126">
        <v>0</v>
      </c>
      <c r="G231" s="126">
        <v>0</v>
      </c>
      <c r="H231" s="126">
        <f>ROUND(SUM(AD233),-3)/1000</f>
        <v>4320</v>
      </c>
      <c r="I231" s="126">
        <f>AD232/1000</f>
        <v>9720</v>
      </c>
      <c r="J231" s="126">
        <v>0</v>
      </c>
      <c r="K231" s="126">
        <v>0</v>
      </c>
      <c r="L231" s="126">
        <v>0</v>
      </c>
      <c r="M231" s="126">
        <f>E231-D231</f>
        <v>0</v>
      </c>
      <c r="N231" s="134">
        <f>IF(D231=0,0,M231/D231)</f>
        <v>0</v>
      </c>
      <c r="O231" s="107" t="s">
        <v>246</v>
      </c>
      <c r="P231" s="232"/>
      <c r="Q231" s="103"/>
      <c r="R231" s="103"/>
      <c r="S231" s="103"/>
      <c r="T231" s="97"/>
      <c r="U231" s="97"/>
      <c r="V231" s="97"/>
      <c r="W231" s="256"/>
      <c r="X231" s="256"/>
      <c r="Y231" s="233" t="s">
        <v>256</v>
      </c>
      <c r="Z231" s="233"/>
      <c r="AA231" s="233"/>
      <c r="AB231" s="233"/>
      <c r="AC231" s="235"/>
      <c r="AD231" s="235">
        <f>SUM(AD232:AD234)</f>
        <v>14040000</v>
      </c>
      <c r="AE231" s="234" t="s">
        <v>25</v>
      </c>
      <c r="AF231" s="1"/>
    </row>
    <row r="232" spans="1:32" s="11" customFormat="1" ht="21" customHeight="1">
      <c r="A232" s="47"/>
      <c r="B232" s="47"/>
      <c r="C232" s="47"/>
      <c r="D232" s="122"/>
      <c r="E232" s="121"/>
      <c r="F232" s="121"/>
      <c r="G232" s="121"/>
      <c r="H232" s="121"/>
      <c r="I232" s="121"/>
      <c r="J232" s="121"/>
      <c r="K232" s="121"/>
      <c r="L232" s="121"/>
      <c r="M232" s="121"/>
      <c r="N232" s="72"/>
      <c r="O232" s="242" t="s">
        <v>249</v>
      </c>
      <c r="P232" s="51"/>
      <c r="Q232" s="52"/>
      <c r="R232" s="52"/>
      <c r="S232" s="52">
        <v>15000</v>
      </c>
      <c r="T232" s="52" t="s">
        <v>93</v>
      </c>
      <c r="U232" s="51" t="s">
        <v>97</v>
      </c>
      <c r="V232" s="52">
        <v>12</v>
      </c>
      <c r="W232" s="52" t="s">
        <v>110</v>
      </c>
      <c r="X232" s="51" t="s">
        <v>97</v>
      </c>
      <c r="Y232" s="52">
        <v>54</v>
      </c>
      <c r="Z232" s="52" t="s">
        <v>99</v>
      </c>
      <c r="AA232" s="52" t="s">
        <v>100</v>
      </c>
      <c r="AB232" s="426" t="s">
        <v>620</v>
      </c>
      <c r="AC232" s="70"/>
      <c r="AD232" s="437">
        <f>ROUNDUP(S232*V232*Y232,-3)</f>
        <v>9720000</v>
      </c>
      <c r="AE232" s="59" t="s">
        <v>25</v>
      </c>
      <c r="AF232" s="1"/>
    </row>
    <row r="233" spans="1:32" s="11" customFormat="1" ht="21" customHeight="1">
      <c r="A233" s="47"/>
      <c r="B233" s="47"/>
      <c r="C233" s="47"/>
      <c r="D233" s="122"/>
      <c r="E233" s="121"/>
      <c r="F233" s="121"/>
      <c r="G233" s="121"/>
      <c r="H233" s="121"/>
      <c r="I233" s="121"/>
      <c r="J233" s="121"/>
      <c r="K233" s="121"/>
      <c r="L233" s="121"/>
      <c r="M233" s="121"/>
      <c r="N233" s="72"/>
      <c r="O233" s="413" t="s">
        <v>571</v>
      </c>
      <c r="P233" s="242"/>
      <c r="Q233" s="241"/>
      <c r="R233" s="241"/>
      <c r="S233" s="241">
        <v>20000</v>
      </c>
      <c r="T233" s="241" t="s">
        <v>227</v>
      </c>
      <c r="U233" s="242" t="s">
        <v>97</v>
      </c>
      <c r="V233" s="241">
        <v>4</v>
      </c>
      <c r="W233" s="241" t="s">
        <v>245</v>
      </c>
      <c r="X233" s="242" t="s">
        <v>97</v>
      </c>
      <c r="Y233" s="241">
        <v>54</v>
      </c>
      <c r="Z233" s="241" t="s">
        <v>99</v>
      </c>
      <c r="AA233" s="241" t="s">
        <v>100</v>
      </c>
      <c r="AB233" s="241" t="s">
        <v>114</v>
      </c>
      <c r="AC233" s="70"/>
      <c r="AD233" s="70">
        <f>ROUNDUP(S233*V233*Y233,-1)</f>
        <v>4320000</v>
      </c>
      <c r="AE233" s="59" t="s">
        <v>25</v>
      </c>
      <c r="AF233" s="1"/>
    </row>
    <row r="234" spans="1:32" s="11" customFormat="1" ht="21" customHeight="1">
      <c r="A234" s="47"/>
      <c r="B234" s="47"/>
      <c r="C234" s="47"/>
      <c r="D234" s="210"/>
      <c r="E234" s="121"/>
      <c r="F234" s="121"/>
      <c r="G234" s="121"/>
      <c r="H234" s="121"/>
      <c r="I234" s="121"/>
      <c r="J234" s="121"/>
      <c r="K234" s="121"/>
      <c r="L234" s="121"/>
      <c r="M234" s="121"/>
      <c r="N234" s="72"/>
      <c r="O234" s="242"/>
      <c r="P234" s="51"/>
      <c r="Q234" s="52"/>
      <c r="R234" s="52"/>
      <c r="S234" s="52"/>
      <c r="T234" s="52"/>
      <c r="U234" s="51"/>
      <c r="V234" s="52"/>
      <c r="W234" s="52"/>
      <c r="X234" s="51"/>
      <c r="Y234" s="52"/>
      <c r="Z234" s="52"/>
      <c r="AA234" s="52"/>
      <c r="AB234" s="241"/>
      <c r="AC234" s="70"/>
      <c r="AD234" s="70"/>
      <c r="AE234" s="59"/>
      <c r="AF234" s="1"/>
    </row>
    <row r="235" spans="1:32" s="11" customFormat="1" ht="21" customHeight="1">
      <c r="A235" s="47"/>
      <c r="B235" s="47"/>
      <c r="C235" s="37" t="s">
        <v>136</v>
      </c>
      <c r="D235" s="212">
        <v>11366</v>
      </c>
      <c r="E235" s="126">
        <f>ROUND(AD235/1000,0)</f>
        <v>12266</v>
      </c>
      <c r="F235" s="126">
        <v>0</v>
      </c>
      <c r="G235" s="126">
        <v>6300</v>
      </c>
      <c r="H235" s="126">
        <v>2160</v>
      </c>
      <c r="I235" s="126">
        <f>SUM(AD238:AD241)/1000</f>
        <v>3806</v>
      </c>
      <c r="J235" s="126">
        <v>0</v>
      </c>
      <c r="K235" s="126">
        <v>0</v>
      </c>
      <c r="L235" s="126">
        <v>0</v>
      </c>
      <c r="M235" s="126">
        <f>E235-D235</f>
        <v>900</v>
      </c>
      <c r="N235" s="134">
        <f>IF(D235=0,0,M235/D235)</f>
        <v>7.9183529825796239E-2</v>
      </c>
      <c r="O235" s="107" t="s">
        <v>247</v>
      </c>
      <c r="P235" s="232"/>
      <c r="Q235" s="240"/>
      <c r="R235" s="240"/>
      <c r="S235" s="240"/>
      <c r="T235" s="239"/>
      <c r="U235" s="239"/>
      <c r="V235" s="239"/>
      <c r="W235" s="256"/>
      <c r="X235" s="256"/>
      <c r="Y235" s="233" t="s">
        <v>256</v>
      </c>
      <c r="Z235" s="233"/>
      <c r="AA235" s="233"/>
      <c r="AB235" s="233"/>
      <c r="AC235" s="235"/>
      <c r="AD235" s="235">
        <f>SUM(AD236:AD241)</f>
        <v>12266000</v>
      </c>
      <c r="AE235" s="234" t="s">
        <v>25</v>
      </c>
      <c r="AF235" s="1"/>
    </row>
    <row r="236" spans="1:32" s="14" customFormat="1" ht="21" customHeight="1">
      <c r="A236" s="47"/>
      <c r="B236" s="47"/>
      <c r="C236" s="47"/>
      <c r="D236" s="210"/>
      <c r="E236" s="121"/>
      <c r="F236" s="121"/>
      <c r="G236" s="121"/>
      <c r="H236" s="121"/>
      <c r="I236" s="121"/>
      <c r="J236" s="121"/>
      <c r="K236" s="121"/>
      <c r="L236" s="121"/>
      <c r="M236" s="121"/>
      <c r="N236" s="72"/>
      <c r="O236" s="427" t="s">
        <v>633</v>
      </c>
      <c r="P236" s="51"/>
      <c r="Q236" s="52"/>
      <c r="R236" s="52"/>
      <c r="S236" s="52">
        <v>40000</v>
      </c>
      <c r="T236" s="52" t="s">
        <v>93</v>
      </c>
      <c r="U236" s="51" t="s">
        <v>97</v>
      </c>
      <c r="V236" s="52">
        <v>1</v>
      </c>
      <c r="W236" s="52" t="s">
        <v>131</v>
      </c>
      <c r="X236" s="51" t="s">
        <v>97</v>
      </c>
      <c r="Y236" s="52">
        <v>54</v>
      </c>
      <c r="Z236" s="52" t="s">
        <v>99</v>
      </c>
      <c r="AA236" s="52" t="s">
        <v>100</v>
      </c>
      <c r="AB236" s="52" t="s">
        <v>114</v>
      </c>
      <c r="AC236" s="70"/>
      <c r="AD236" s="70">
        <f>S236*V236*Y236</f>
        <v>2160000</v>
      </c>
      <c r="AE236" s="59" t="s">
        <v>25</v>
      </c>
      <c r="AF236" s="5"/>
    </row>
    <row r="237" spans="1:32" s="14" customFormat="1" ht="21" customHeight="1">
      <c r="A237" s="47"/>
      <c r="B237" s="47"/>
      <c r="C237" s="47"/>
      <c r="D237" s="210"/>
      <c r="E237" s="121"/>
      <c r="F237" s="121"/>
      <c r="G237" s="121"/>
      <c r="H237" s="121"/>
      <c r="I237" s="121"/>
      <c r="J237" s="121"/>
      <c r="K237" s="121"/>
      <c r="L237" s="121"/>
      <c r="M237" s="121"/>
      <c r="N237" s="432"/>
      <c r="O237" s="445" t="s">
        <v>801</v>
      </c>
      <c r="P237" s="446"/>
      <c r="Q237" s="446"/>
      <c r="R237" s="446"/>
      <c r="S237" s="457">
        <v>70000</v>
      </c>
      <c r="T237" s="457" t="s">
        <v>751</v>
      </c>
      <c r="U237" s="446" t="s">
        <v>752</v>
      </c>
      <c r="V237" s="457">
        <v>1</v>
      </c>
      <c r="W237" s="457" t="s">
        <v>753</v>
      </c>
      <c r="X237" s="446" t="s">
        <v>752</v>
      </c>
      <c r="Y237" s="472">
        <v>90</v>
      </c>
      <c r="Z237" s="473" t="s">
        <v>802</v>
      </c>
      <c r="AA237" s="473" t="s">
        <v>803</v>
      </c>
      <c r="AB237" s="457" t="s">
        <v>804</v>
      </c>
      <c r="AC237" s="458"/>
      <c r="AD237" s="457">
        <f>S237*V237*Y237</f>
        <v>6300000</v>
      </c>
      <c r="AE237" s="471" t="s">
        <v>805</v>
      </c>
      <c r="AF237" s="5"/>
    </row>
    <row r="238" spans="1:32" s="14" customFormat="1" ht="21" customHeight="1">
      <c r="A238" s="47"/>
      <c r="B238" s="47"/>
      <c r="C238" s="47"/>
      <c r="D238" s="210"/>
      <c r="E238" s="121"/>
      <c r="F238" s="121"/>
      <c r="G238" s="121"/>
      <c r="H238" s="121"/>
      <c r="I238" s="121"/>
      <c r="J238" s="121"/>
      <c r="K238" s="121"/>
      <c r="L238" s="121"/>
      <c r="M238" s="121"/>
      <c r="N238" s="72"/>
      <c r="O238" s="427" t="s">
        <v>611</v>
      </c>
      <c r="P238" s="51"/>
      <c r="Q238" s="51"/>
      <c r="R238" s="51"/>
      <c r="S238" s="241">
        <v>200000</v>
      </c>
      <c r="T238" s="56" t="s">
        <v>170</v>
      </c>
      <c r="U238" s="56" t="s">
        <v>26</v>
      </c>
      <c r="V238" s="241">
        <v>12</v>
      </c>
      <c r="W238" s="241" t="s">
        <v>171</v>
      </c>
      <c r="X238" s="236"/>
      <c r="Y238" s="161"/>
      <c r="Z238" s="77"/>
      <c r="AA238" s="246" t="s">
        <v>244</v>
      </c>
      <c r="AB238" s="426" t="s">
        <v>620</v>
      </c>
      <c r="AC238" s="52"/>
      <c r="AD238" s="422">
        <f>S238*V238</f>
        <v>2400000</v>
      </c>
      <c r="AE238" s="59" t="s">
        <v>25</v>
      </c>
      <c r="AF238" s="5"/>
    </row>
    <row r="239" spans="1:32" s="14" customFormat="1" ht="21" customHeight="1">
      <c r="A239" s="47"/>
      <c r="B239" s="47"/>
      <c r="C239" s="47"/>
      <c r="D239" s="210"/>
      <c r="E239" s="121"/>
      <c r="F239" s="121"/>
      <c r="G239" s="121"/>
      <c r="H239" s="121"/>
      <c r="I239" s="121"/>
      <c r="J239" s="121"/>
      <c r="K239" s="121"/>
      <c r="L239" s="121"/>
      <c r="M239" s="121"/>
      <c r="N239" s="72"/>
      <c r="O239" s="427" t="s">
        <v>612</v>
      </c>
      <c r="P239" s="273"/>
      <c r="Q239" s="273"/>
      <c r="R239" s="273"/>
      <c r="S239" s="272">
        <v>50000</v>
      </c>
      <c r="T239" s="56" t="s">
        <v>170</v>
      </c>
      <c r="U239" s="56" t="s">
        <v>26</v>
      </c>
      <c r="V239" s="272">
        <v>12</v>
      </c>
      <c r="W239" s="272" t="s">
        <v>171</v>
      </c>
      <c r="X239" s="271"/>
      <c r="Y239" s="161"/>
      <c r="Z239" s="77"/>
      <c r="AA239" s="246" t="s">
        <v>53</v>
      </c>
      <c r="AB239" s="426" t="s">
        <v>295</v>
      </c>
      <c r="AC239" s="272"/>
      <c r="AD239" s="422">
        <f>S239*V239</f>
        <v>600000</v>
      </c>
      <c r="AE239" s="59" t="s">
        <v>25</v>
      </c>
      <c r="AF239" s="5"/>
    </row>
    <row r="240" spans="1:32" s="14" customFormat="1" ht="21" customHeight="1">
      <c r="A240" s="47"/>
      <c r="B240" s="47"/>
      <c r="C240" s="47"/>
      <c r="D240" s="210"/>
      <c r="E240" s="121"/>
      <c r="F240" s="121"/>
      <c r="G240" s="121"/>
      <c r="H240" s="121"/>
      <c r="I240" s="121"/>
      <c r="J240" s="121"/>
      <c r="K240" s="121"/>
      <c r="L240" s="121"/>
      <c r="M240" s="121"/>
      <c r="N240" s="72"/>
      <c r="O240" s="427" t="s">
        <v>613</v>
      </c>
      <c r="P240" s="242"/>
      <c r="Q240" s="242"/>
      <c r="R240" s="242"/>
      <c r="S240" s="241"/>
      <c r="T240" s="56"/>
      <c r="U240" s="56"/>
      <c r="V240" s="241"/>
      <c r="W240" s="241"/>
      <c r="X240" s="236"/>
      <c r="Y240" s="161"/>
      <c r="Z240" s="77"/>
      <c r="AA240" s="246"/>
      <c r="AB240" s="426" t="s">
        <v>295</v>
      </c>
      <c r="AC240" s="241"/>
      <c r="AD240" s="422">
        <v>300000</v>
      </c>
      <c r="AE240" s="59" t="s">
        <v>227</v>
      </c>
      <c r="AF240" s="5"/>
    </row>
    <row r="241" spans="1:32" s="14" customFormat="1" ht="21" customHeight="1">
      <c r="A241" s="47"/>
      <c r="B241" s="47"/>
      <c r="C241" s="47"/>
      <c r="D241" s="210"/>
      <c r="E241" s="121"/>
      <c r="F241" s="121"/>
      <c r="G241" s="121"/>
      <c r="H241" s="121"/>
      <c r="I241" s="121"/>
      <c r="J241" s="121"/>
      <c r="K241" s="121"/>
      <c r="L241" s="121"/>
      <c r="M241" s="121"/>
      <c r="N241" s="72"/>
      <c r="O241" s="427" t="s">
        <v>614</v>
      </c>
      <c r="P241" s="51"/>
      <c r="Q241" s="51"/>
      <c r="R241" s="51"/>
      <c r="S241" s="52"/>
      <c r="T241" s="52"/>
      <c r="U241" s="51"/>
      <c r="V241" s="52"/>
      <c r="W241" s="52"/>
      <c r="X241" s="51"/>
      <c r="Y241" s="161"/>
      <c r="Z241" s="77"/>
      <c r="AA241" s="162"/>
      <c r="AB241" s="426" t="s">
        <v>620</v>
      </c>
      <c r="AC241" s="52"/>
      <c r="AD241" s="422">
        <v>506000</v>
      </c>
      <c r="AE241" s="59" t="s">
        <v>96</v>
      </c>
      <c r="AF241" s="5"/>
    </row>
    <row r="242" spans="1:32" s="11" customFormat="1" ht="21" customHeight="1">
      <c r="A242" s="47"/>
      <c r="B242" s="47"/>
      <c r="C242" s="61"/>
      <c r="D242" s="211"/>
      <c r="E242" s="218"/>
      <c r="F242" s="218"/>
      <c r="G242" s="218"/>
      <c r="H242" s="218"/>
      <c r="I242" s="218"/>
      <c r="J242" s="218"/>
      <c r="K242" s="218"/>
      <c r="L242" s="218"/>
      <c r="M242" s="164"/>
      <c r="N242" s="92"/>
      <c r="O242" s="163"/>
      <c r="P242" s="163"/>
      <c r="Q242" s="163"/>
      <c r="R242" s="163"/>
      <c r="S242" s="163"/>
      <c r="T242" s="165"/>
      <c r="U242" s="52"/>
      <c r="V242" s="58"/>
      <c r="W242" s="52"/>
      <c r="X242" s="52"/>
      <c r="Y242" s="52"/>
      <c r="Z242" s="52"/>
      <c r="AA242" s="52"/>
      <c r="AB242" s="52"/>
      <c r="AC242" s="52"/>
      <c r="AD242" s="52"/>
      <c r="AE242" s="59"/>
      <c r="AF242" s="1"/>
    </row>
    <row r="243" spans="1:32" s="11" customFormat="1" ht="21" customHeight="1">
      <c r="A243" s="47"/>
      <c r="B243" s="47"/>
      <c r="C243" s="47" t="s">
        <v>137</v>
      </c>
      <c r="D243" s="157">
        <v>23052</v>
      </c>
      <c r="E243" s="121">
        <f>ROUND(AD243/1000,0)</f>
        <v>23052</v>
      </c>
      <c r="F243" s="121">
        <v>16390</v>
      </c>
      <c r="G243" s="121">
        <v>0</v>
      </c>
      <c r="H243" s="121">
        <v>0</v>
      </c>
      <c r="I243" s="121">
        <v>702</v>
      </c>
      <c r="J243" s="121">
        <v>5960</v>
      </c>
      <c r="K243" s="121">
        <v>0</v>
      </c>
      <c r="L243" s="121">
        <v>0</v>
      </c>
      <c r="M243" s="121">
        <f>E243-D243</f>
        <v>0</v>
      </c>
      <c r="N243" s="72">
        <f>IF(D243=0,0,M243/D243)</f>
        <v>0</v>
      </c>
      <c r="O243" s="107" t="s">
        <v>143</v>
      </c>
      <c r="P243" s="103"/>
      <c r="Q243" s="103"/>
      <c r="R243" s="103"/>
      <c r="S243" s="103"/>
      <c r="T243" s="97"/>
      <c r="U243" s="97"/>
      <c r="V243" s="97"/>
      <c r="W243" s="97"/>
      <c r="X243" s="97"/>
      <c r="Y243" s="233" t="s">
        <v>256</v>
      </c>
      <c r="Z243" s="233"/>
      <c r="AA243" s="233"/>
      <c r="AB243" s="233"/>
      <c r="AC243" s="235"/>
      <c r="AD243" s="235">
        <f>SUM(AD244:AD246)</f>
        <v>23052000</v>
      </c>
      <c r="AE243" s="234" t="s">
        <v>25</v>
      </c>
      <c r="AF243" s="1"/>
    </row>
    <row r="244" spans="1:32" s="11" customFormat="1" ht="21" customHeight="1">
      <c r="A244" s="47"/>
      <c r="B244" s="47"/>
      <c r="C244" s="47"/>
      <c r="D244" s="210"/>
      <c r="E244" s="121"/>
      <c r="F244" s="121"/>
      <c r="G244" s="121"/>
      <c r="H244" s="121"/>
      <c r="I244" s="121"/>
      <c r="J244" s="121"/>
      <c r="K244" s="121"/>
      <c r="L244" s="121"/>
      <c r="M244" s="121"/>
      <c r="N244" s="72"/>
      <c r="O244" s="206" t="s">
        <v>167</v>
      </c>
      <c r="P244" s="51"/>
      <c r="Q244" s="51"/>
      <c r="R244" s="51"/>
      <c r="S244" s="252">
        <v>1335000</v>
      </c>
      <c r="T244" s="56" t="s">
        <v>57</v>
      </c>
      <c r="U244" s="56" t="s">
        <v>26</v>
      </c>
      <c r="V244" s="252">
        <v>12</v>
      </c>
      <c r="W244" s="252" t="s">
        <v>0</v>
      </c>
      <c r="X244" s="247"/>
      <c r="Y244" s="161"/>
      <c r="Z244" s="77"/>
      <c r="AA244" s="246" t="s">
        <v>53</v>
      </c>
      <c r="AB244" s="252"/>
      <c r="AC244" s="252"/>
      <c r="AD244" s="422">
        <f>S244*V244</f>
        <v>16020000</v>
      </c>
      <c r="AE244" s="59" t="s">
        <v>25</v>
      </c>
      <c r="AF244" s="1"/>
    </row>
    <row r="245" spans="1:32" s="11" customFormat="1" ht="21" customHeight="1">
      <c r="A245" s="47"/>
      <c r="B245" s="47"/>
      <c r="C245" s="47"/>
      <c r="D245" s="210"/>
      <c r="E245" s="121"/>
      <c r="F245" s="121"/>
      <c r="G245" s="121"/>
      <c r="H245" s="121"/>
      <c r="I245" s="121"/>
      <c r="J245" s="121"/>
      <c r="K245" s="121"/>
      <c r="L245" s="121"/>
      <c r="M245" s="121"/>
      <c r="N245" s="72"/>
      <c r="O245" s="144" t="s">
        <v>168</v>
      </c>
      <c r="P245" s="144"/>
      <c r="Q245" s="144"/>
      <c r="R245" s="144"/>
      <c r="S245" s="143">
        <v>575000</v>
      </c>
      <c r="T245" s="56" t="s">
        <v>25</v>
      </c>
      <c r="U245" s="144" t="s">
        <v>26</v>
      </c>
      <c r="V245" s="143">
        <v>12</v>
      </c>
      <c r="W245" s="144" t="s">
        <v>29</v>
      </c>
      <c r="X245" s="143"/>
      <c r="Y245" s="143"/>
      <c r="Z245" s="143"/>
      <c r="AA245" s="143" t="s">
        <v>27</v>
      </c>
      <c r="AB245" s="143"/>
      <c r="AC245" s="143"/>
      <c r="AD245" s="422">
        <f>S245*V245</f>
        <v>6900000</v>
      </c>
      <c r="AE245" s="59" t="s">
        <v>68</v>
      </c>
      <c r="AF245" s="1"/>
    </row>
    <row r="246" spans="1:32" s="11" customFormat="1" ht="21" customHeight="1">
      <c r="A246" s="47"/>
      <c r="B246" s="47"/>
      <c r="C246" s="47"/>
      <c r="D246" s="210"/>
      <c r="E246" s="121"/>
      <c r="F246" s="121"/>
      <c r="G246" s="121"/>
      <c r="H246" s="121"/>
      <c r="I246" s="121"/>
      <c r="J246" s="121"/>
      <c r="K246" s="121"/>
      <c r="L246" s="121"/>
      <c r="M246" s="121"/>
      <c r="N246" s="72"/>
      <c r="O246" s="253" t="s">
        <v>287</v>
      </c>
      <c r="P246" s="253"/>
      <c r="Q246" s="253"/>
      <c r="R246" s="253"/>
      <c r="S246" s="252">
        <v>11000</v>
      </c>
      <c r="T246" s="56" t="s">
        <v>25</v>
      </c>
      <c r="U246" s="253" t="s">
        <v>26</v>
      </c>
      <c r="V246" s="252">
        <v>12</v>
      </c>
      <c r="W246" s="253" t="s">
        <v>29</v>
      </c>
      <c r="X246" s="252"/>
      <c r="Y246" s="252"/>
      <c r="Z246" s="252"/>
      <c r="AA246" s="252" t="s">
        <v>27</v>
      </c>
      <c r="AB246" s="252"/>
      <c r="AC246" s="252"/>
      <c r="AD246" s="422">
        <f>S246*V246</f>
        <v>132000</v>
      </c>
      <c r="AE246" s="59" t="s">
        <v>57</v>
      </c>
      <c r="AF246" s="1"/>
    </row>
    <row r="247" spans="1:32" s="11" customFormat="1" ht="21" customHeight="1">
      <c r="A247" s="47"/>
      <c r="B247" s="47"/>
      <c r="C247" s="47"/>
      <c r="D247" s="210"/>
      <c r="E247" s="121"/>
      <c r="F247" s="121"/>
      <c r="G247" s="121"/>
      <c r="H247" s="121"/>
      <c r="I247" s="121"/>
      <c r="J247" s="121"/>
      <c r="K247" s="121"/>
      <c r="L247" s="121"/>
      <c r="M247" s="121"/>
      <c r="N247" s="72"/>
      <c r="O247" s="51"/>
      <c r="P247" s="51"/>
      <c r="Q247" s="51"/>
      <c r="R247" s="51"/>
      <c r="S247" s="52"/>
      <c r="T247" s="56"/>
      <c r="U247" s="51"/>
      <c r="V247" s="52"/>
      <c r="W247" s="51"/>
      <c r="X247" s="52"/>
      <c r="Y247" s="52"/>
      <c r="Z247" s="52"/>
      <c r="AA247" s="52"/>
      <c r="AB247" s="52"/>
      <c r="AC247" s="52"/>
      <c r="AD247" s="52"/>
      <c r="AE247" s="59"/>
      <c r="AF247" s="1"/>
    </row>
    <row r="248" spans="1:32" s="11" customFormat="1" ht="21" customHeight="1">
      <c r="A248" s="47"/>
      <c r="B248" s="37" t="s">
        <v>144</v>
      </c>
      <c r="C248" s="229" t="s">
        <v>281</v>
      </c>
      <c r="D248" s="230">
        <f>D249</f>
        <v>89115</v>
      </c>
      <c r="E248" s="230">
        <f>E249</f>
        <v>91615</v>
      </c>
      <c r="F248" s="230">
        <f t="shared" ref="F248:L248" si="13">F249</f>
        <v>0</v>
      </c>
      <c r="G248" s="230">
        <f t="shared" si="13"/>
        <v>11616</v>
      </c>
      <c r="H248" s="230">
        <f t="shared" si="13"/>
        <v>0</v>
      </c>
      <c r="I248" s="230">
        <f t="shared" si="13"/>
        <v>37509</v>
      </c>
      <c r="J248" s="230">
        <f t="shared" si="13"/>
        <v>42490</v>
      </c>
      <c r="K248" s="230">
        <f t="shared" si="13"/>
        <v>0</v>
      </c>
      <c r="L248" s="230">
        <f t="shared" si="13"/>
        <v>0</v>
      </c>
      <c r="M248" s="230">
        <f>E248-D248</f>
        <v>2500</v>
      </c>
      <c r="N248" s="231">
        <f>IF(D248=0,0,M248/D248)</f>
        <v>2.8053638556920831E-2</v>
      </c>
      <c r="O248" s="232"/>
      <c r="P248" s="232"/>
      <c r="Q248" s="232"/>
      <c r="R248" s="232"/>
      <c r="S248" s="232"/>
      <c r="T248" s="233"/>
      <c r="U248" s="233"/>
      <c r="V248" s="233"/>
      <c r="W248" s="233"/>
      <c r="X248" s="233"/>
      <c r="Y248" s="233" t="s">
        <v>28</v>
      </c>
      <c r="Z248" s="233"/>
      <c r="AA248" s="233"/>
      <c r="AB248" s="233"/>
      <c r="AC248" s="235"/>
      <c r="AD248" s="235">
        <f>AD249</f>
        <v>91615000</v>
      </c>
      <c r="AE248" s="234" t="s">
        <v>25</v>
      </c>
      <c r="AF248" s="1"/>
    </row>
    <row r="249" spans="1:32" s="11" customFormat="1" ht="26.25" customHeight="1">
      <c r="A249" s="47"/>
      <c r="B249" s="47" t="s">
        <v>225</v>
      </c>
      <c r="C249" s="47" t="s">
        <v>224</v>
      </c>
      <c r="D249" s="210">
        <v>89115</v>
      </c>
      <c r="E249" s="126">
        <f>AD249/1000</f>
        <v>91615</v>
      </c>
      <c r="F249" s="126">
        <f>ROUND(SUM(AD250),-3)/1000</f>
        <v>0</v>
      </c>
      <c r="G249" s="126">
        <v>11616</v>
      </c>
      <c r="H249" s="126">
        <v>0</v>
      </c>
      <c r="I249" s="126">
        <v>37509</v>
      </c>
      <c r="J249" s="126">
        <v>42490</v>
      </c>
      <c r="K249" s="126">
        <v>0</v>
      </c>
      <c r="L249" s="126">
        <v>0</v>
      </c>
      <c r="M249" s="126">
        <f>E249-D249</f>
        <v>2500</v>
      </c>
      <c r="N249" s="134">
        <f>IF(D249=0,0,M249/D249)</f>
        <v>2.8053638556920831E-2</v>
      </c>
      <c r="O249" s="109" t="s">
        <v>226</v>
      </c>
      <c r="P249" s="129"/>
      <c r="Q249" s="33"/>
      <c r="R249" s="31"/>
      <c r="S249" s="31"/>
      <c r="T249" s="31"/>
      <c r="U249" s="31"/>
      <c r="V249" s="31"/>
      <c r="W249" s="256"/>
      <c r="X249" s="256"/>
      <c r="Y249" s="233" t="s">
        <v>256</v>
      </c>
      <c r="Z249" s="110"/>
      <c r="AA249" s="110"/>
      <c r="AB249" s="110"/>
      <c r="AC249" s="131"/>
      <c r="AD249" s="131">
        <f>SUM(AD251,AD255,AD261,AD272,AD275,AD286,AD293,AD297,AD306,AD316,AD319,AD324,AD330)</f>
        <v>91615000</v>
      </c>
      <c r="AE249" s="132" t="s">
        <v>25</v>
      </c>
      <c r="AF249" s="1"/>
    </row>
    <row r="250" spans="1:32" s="15" customFormat="1" ht="24" customHeight="1">
      <c r="A250" s="47"/>
      <c r="B250" s="47"/>
      <c r="C250" s="47" t="s">
        <v>225</v>
      </c>
      <c r="D250" s="213"/>
      <c r="E250" s="121"/>
      <c r="F250" s="121"/>
      <c r="G250" s="121"/>
      <c r="H250" s="121"/>
      <c r="I250" s="121"/>
      <c r="J250" s="121"/>
      <c r="K250" s="121"/>
      <c r="L250" s="121"/>
      <c r="M250" s="121"/>
      <c r="N250" s="72"/>
      <c r="O250" s="242"/>
      <c r="P250" s="51"/>
      <c r="Q250" s="51"/>
      <c r="R250" s="51"/>
      <c r="S250" s="51"/>
      <c r="T250" s="52"/>
      <c r="U250" s="52"/>
      <c r="V250" s="52"/>
      <c r="W250" s="52"/>
      <c r="X250" s="52"/>
      <c r="Y250" s="166"/>
      <c r="Z250" s="166"/>
      <c r="AA250" s="166"/>
      <c r="AB250" s="166"/>
      <c r="AC250" s="167"/>
      <c r="AD250" s="167"/>
      <c r="AE250" s="59"/>
      <c r="AF250" s="16"/>
    </row>
    <row r="251" spans="1:32" s="15" customFormat="1" ht="24" customHeight="1">
      <c r="A251" s="47"/>
      <c r="B251" s="47"/>
      <c r="C251" s="47"/>
      <c r="D251" s="213"/>
      <c r="E251" s="121"/>
      <c r="F251" s="121"/>
      <c r="G251" s="121"/>
      <c r="H251" s="121"/>
      <c r="I251" s="121"/>
      <c r="J251" s="121"/>
      <c r="K251" s="121"/>
      <c r="L251" s="121"/>
      <c r="M251" s="121"/>
      <c r="N251" s="72"/>
      <c r="O251" s="73" t="s">
        <v>228</v>
      </c>
      <c r="P251" s="238"/>
      <c r="Q251" s="242"/>
      <c r="R251" s="242"/>
      <c r="S251" s="242"/>
      <c r="T251" s="241"/>
      <c r="U251" s="241"/>
      <c r="V251" s="241"/>
      <c r="W251" s="237" t="s">
        <v>241</v>
      </c>
      <c r="X251" s="237"/>
      <c r="Y251" s="237"/>
      <c r="Z251" s="237"/>
      <c r="AA251" s="237"/>
      <c r="AB251" s="237"/>
      <c r="AC251" s="74"/>
      <c r="AD251" s="74">
        <f>SUM(AD252:AD253)</f>
        <v>850000</v>
      </c>
      <c r="AE251" s="75" t="s">
        <v>25</v>
      </c>
      <c r="AF251" s="16"/>
    </row>
    <row r="252" spans="1:32" s="15" customFormat="1" ht="24" customHeight="1">
      <c r="A252" s="47"/>
      <c r="B252" s="47"/>
      <c r="C252" s="47"/>
      <c r="D252" s="213"/>
      <c r="E252" s="121"/>
      <c r="F252" s="121"/>
      <c r="G252" s="121"/>
      <c r="H252" s="121"/>
      <c r="I252" s="121"/>
      <c r="J252" s="121"/>
      <c r="K252" s="121"/>
      <c r="L252" s="121"/>
      <c r="M252" s="121"/>
      <c r="N252" s="72"/>
      <c r="O252" s="253" t="s">
        <v>293</v>
      </c>
      <c r="P252" s="242"/>
      <c r="Q252" s="242"/>
      <c r="R252" s="242"/>
      <c r="S252" s="242"/>
      <c r="T252" s="241"/>
      <c r="U252" s="241"/>
      <c r="V252" s="241"/>
      <c r="W252" s="241"/>
      <c r="X252" s="241"/>
      <c r="Y252" s="166"/>
      <c r="Z252" s="166"/>
      <c r="AA252" s="166"/>
      <c r="AB252" s="166" t="s">
        <v>755</v>
      </c>
      <c r="AC252" s="167"/>
      <c r="AD252" s="167">
        <v>500000</v>
      </c>
      <c r="AE252" s="59" t="s">
        <v>227</v>
      </c>
      <c r="AF252" s="16"/>
    </row>
    <row r="253" spans="1:32" s="15" customFormat="1" ht="24" customHeight="1">
      <c r="A253" s="47"/>
      <c r="B253" s="47"/>
      <c r="C253" s="47"/>
      <c r="D253" s="210"/>
      <c r="E253" s="121"/>
      <c r="F253" s="121"/>
      <c r="G253" s="121"/>
      <c r="H253" s="121"/>
      <c r="I253" s="121"/>
      <c r="J253" s="121"/>
      <c r="K253" s="121"/>
      <c r="L253" s="121"/>
      <c r="M253" s="121"/>
      <c r="N253" s="72"/>
      <c r="O253" s="433" t="s">
        <v>769</v>
      </c>
      <c r="P253" s="51"/>
      <c r="Q253" s="51"/>
      <c r="R253" s="51"/>
      <c r="S253" s="52"/>
      <c r="T253" s="52"/>
      <c r="U253" s="51"/>
      <c r="V253" s="52"/>
      <c r="W253" s="52"/>
      <c r="X253" s="52"/>
      <c r="Y253" s="52"/>
      <c r="Z253" s="52"/>
      <c r="AA253" s="52"/>
      <c r="AB253" s="408" t="s">
        <v>547</v>
      </c>
      <c r="AC253" s="52"/>
      <c r="AD253" s="52">
        <v>350000</v>
      </c>
      <c r="AE253" s="59" t="s">
        <v>25</v>
      </c>
      <c r="AF253" s="16"/>
    </row>
    <row r="254" spans="1:32" s="15" customFormat="1" ht="24" customHeight="1">
      <c r="A254" s="47"/>
      <c r="B254" s="47"/>
      <c r="C254" s="47"/>
      <c r="D254" s="210"/>
      <c r="E254" s="121"/>
      <c r="F254" s="121"/>
      <c r="G254" s="121"/>
      <c r="H254" s="121"/>
      <c r="I254" s="121"/>
      <c r="J254" s="121"/>
      <c r="K254" s="121"/>
      <c r="L254" s="121"/>
      <c r="M254" s="121"/>
      <c r="N254" s="72"/>
      <c r="O254" s="144"/>
      <c r="P254" s="144"/>
      <c r="Q254" s="144"/>
      <c r="R254" s="144"/>
      <c r="S254" s="143"/>
      <c r="T254" s="143"/>
      <c r="U254" s="144"/>
      <c r="V254" s="143"/>
      <c r="W254" s="143"/>
      <c r="X254" s="143"/>
      <c r="Y254" s="143"/>
      <c r="Z254" s="143"/>
      <c r="AA254" s="143"/>
      <c r="AB254" s="143"/>
      <c r="AC254" s="143"/>
      <c r="AD254" s="143"/>
      <c r="AE254" s="59"/>
      <c r="AF254" s="16"/>
    </row>
    <row r="255" spans="1:32" s="15" customFormat="1" ht="24" customHeight="1">
      <c r="A255" s="47"/>
      <c r="B255" s="47"/>
      <c r="C255" s="47"/>
      <c r="D255" s="210"/>
      <c r="E255" s="121"/>
      <c r="F255" s="121"/>
      <c r="G255" s="121"/>
      <c r="H255" s="121"/>
      <c r="I255" s="121"/>
      <c r="J255" s="121"/>
      <c r="K255" s="121"/>
      <c r="L255" s="121"/>
      <c r="M255" s="121"/>
      <c r="N255" s="72"/>
      <c r="O255" s="73" t="s">
        <v>230</v>
      </c>
      <c r="P255" s="129"/>
      <c r="Q255" s="244"/>
      <c r="R255" s="31"/>
      <c r="S255" s="31"/>
      <c r="T255" s="31"/>
      <c r="U255" s="31"/>
      <c r="V255" s="31"/>
      <c r="W255" s="237" t="s">
        <v>241</v>
      </c>
      <c r="X255" s="237"/>
      <c r="Y255" s="237"/>
      <c r="Z255" s="237"/>
      <c r="AA255" s="237"/>
      <c r="AB255" s="237"/>
      <c r="AC255" s="74"/>
      <c r="AD255" s="74">
        <f>SUM(AD256:AD259)</f>
        <v>9314000</v>
      </c>
      <c r="AE255" s="75" t="s">
        <v>25</v>
      </c>
      <c r="AF255" s="16"/>
    </row>
    <row r="256" spans="1:32" s="15" customFormat="1" ht="24" customHeight="1">
      <c r="A256" s="47"/>
      <c r="B256" s="47"/>
      <c r="C256" s="47"/>
      <c r="D256" s="213"/>
      <c r="E256" s="121"/>
      <c r="F256" s="121"/>
      <c r="G256" s="121"/>
      <c r="H256" s="121"/>
      <c r="I256" s="121"/>
      <c r="J256" s="121"/>
      <c r="K256" s="121"/>
      <c r="L256" s="121"/>
      <c r="M256" s="121"/>
      <c r="N256" s="72"/>
      <c r="O256" s="433" t="s">
        <v>770</v>
      </c>
      <c r="P256" s="242"/>
      <c r="Q256" s="242"/>
      <c r="R256" s="242"/>
      <c r="S256" s="242"/>
      <c r="T256" s="241"/>
      <c r="U256" s="241"/>
      <c r="V256" s="241"/>
      <c r="W256" s="241"/>
      <c r="X256" s="241"/>
      <c r="Y256" s="166"/>
      <c r="Z256" s="166"/>
      <c r="AA256" s="166"/>
      <c r="AB256" s="166" t="s">
        <v>755</v>
      </c>
      <c r="AC256" s="167"/>
      <c r="AD256" s="167">
        <v>4004000</v>
      </c>
      <c r="AE256" s="59" t="s">
        <v>25</v>
      </c>
      <c r="AF256" s="16"/>
    </row>
    <row r="257" spans="1:33" s="15" customFormat="1" ht="24" customHeight="1">
      <c r="A257" s="47"/>
      <c r="B257" s="47"/>
      <c r="C257" s="47"/>
      <c r="D257" s="213"/>
      <c r="E257" s="121"/>
      <c r="F257" s="121"/>
      <c r="G257" s="121"/>
      <c r="H257" s="121"/>
      <c r="I257" s="121"/>
      <c r="J257" s="121"/>
      <c r="K257" s="121"/>
      <c r="L257" s="121"/>
      <c r="M257" s="121"/>
      <c r="N257" s="72"/>
      <c r="O257" s="433" t="s">
        <v>771</v>
      </c>
      <c r="P257" s="242"/>
      <c r="Q257" s="242"/>
      <c r="R257" s="242"/>
      <c r="S257" s="242"/>
      <c r="T257" s="241"/>
      <c r="U257" s="241"/>
      <c r="V257" s="241"/>
      <c r="W257" s="241"/>
      <c r="X257" s="241"/>
      <c r="Y257" s="166"/>
      <c r="Z257" s="166"/>
      <c r="AA257" s="166"/>
      <c r="AB257" s="166" t="s">
        <v>755</v>
      </c>
      <c r="AC257" s="167"/>
      <c r="AD257" s="167">
        <v>1885000</v>
      </c>
      <c r="AE257" s="59" t="s">
        <v>96</v>
      </c>
      <c r="AF257" s="16"/>
      <c r="AG257" s="16"/>
    </row>
    <row r="258" spans="1:33" s="15" customFormat="1" ht="24" customHeight="1">
      <c r="A258" s="47"/>
      <c r="B258" s="47"/>
      <c r="C258" s="47"/>
      <c r="D258" s="213"/>
      <c r="E258" s="121"/>
      <c r="F258" s="121"/>
      <c r="G258" s="121"/>
      <c r="H258" s="121"/>
      <c r="I258" s="121"/>
      <c r="J258" s="121"/>
      <c r="K258" s="121"/>
      <c r="L258" s="121"/>
      <c r="M258" s="121"/>
      <c r="N258" s="72"/>
      <c r="O258" s="433" t="s">
        <v>772</v>
      </c>
      <c r="P258" s="461"/>
      <c r="Q258" s="461"/>
      <c r="R258" s="461"/>
      <c r="S258" s="461"/>
      <c r="T258" s="460"/>
      <c r="U258" s="460"/>
      <c r="V258" s="460"/>
      <c r="W258" s="460"/>
      <c r="X258" s="460"/>
      <c r="Y258" s="166"/>
      <c r="Z258" s="166"/>
      <c r="AA258" s="166"/>
      <c r="AB258" s="166" t="s">
        <v>755</v>
      </c>
      <c r="AC258" s="167"/>
      <c r="AD258" s="167">
        <v>1330000</v>
      </c>
      <c r="AE258" s="59" t="s">
        <v>739</v>
      </c>
      <c r="AF258" s="16"/>
      <c r="AG258" s="16"/>
    </row>
    <row r="259" spans="1:33" s="15" customFormat="1" ht="24" customHeight="1">
      <c r="A259" s="47"/>
      <c r="B259" s="47"/>
      <c r="C259" s="47"/>
      <c r="D259" s="213"/>
      <c r="E259" s="121"/>
      <c r="F259" s="121"/>
      <c r="G259" s="121"/>
      <c r="H259" s="121"/>
      <c r="I259" s="121"/>
      <c r="J259" s="121"/>
      <c r="K259" s="121"/>
      <c r="L259" s="121"/>
      <c r="M259" s="121"/>
      <c r="N259" s="72"/>
      <c r="O259" s="433" t="s">
        <v>773</v>
      </c>
      <c r="P259" s="461"/>
      <c r="Q259" s="461"/>
      <c r="R259" s="461"/>
      <c r="S259" s="461"/>
      <c r="T259" s="460"/>
      <c r="U259" s="460"/>
      <c r="V259" s="460"/>
      <c r="W259" s="460"/>
      <c r="X259" s="460"/>
      <c r="Y259" s="166"/>
      <c r="Z259" s="166"/>
      <c r="AA259" s="166"/>
      <c r="AB259" s="166" t="s">
        <v>756</v>
      </c>
      <c r="AC259" s="167"/>
      <c r="AD259" s="167">
        <v>2095000</v>
      </c>
      <c r="AE259" s="59" t="s">
        <v>739</v>
      </c>
      <c r="AF259" s="16"/>
      <c r="AG259" s="16"/>
    </row>
    <row r="260" spans="1:33" s="15" customFormat="1" ht="24" customHeight="1">
      <c r="A260" s="47"/>
      <c r="B260" s="47"/>
      <c r="C260" s="47"/>
      <c r="D260" s="213"/>
      <c r="E260" s="121"/>
      <c r="F260" s="121"/>
      <c r="G260" s="121"/>
      <c r="H260" s="121"/>
      <c r="I260" s="121"/>
      <c r="J260" s="121"/>
      <c r="K260" s="121"/>
      <c r="L260" s="121"/>
      <c r="M260" s="121"/>
      <c r="N260" s="72"/>
      <c r="O260" s="242"/>
      <c r="P260" s="242"/>
      <c r="Q260" s="242"/>
      <c r="R260" s="242"/>
      <c r="S260" s="242"/>
      <c r="T260" s="241"/>
      <c r="U260" s="241"/>
      <c r="V260" s="241"/>
      <c r="W260" s="241"/>
      <c r="X260" s="241"/>
      <c r="Y260" s="166"/>
      <c r="Z260" s="166"/>
      <c r="AA260" s="166"/>
      <c r="AB260" s="166"/>
      <c r="AC260" s="167"/>
      <c r="AD260" s="167"/>
      <c r="AE260" s="59"/>
      <c r="AF260" s="16"/>
      <c r="AG260" s="16"/>
    </row>
    <row r="261" spans="1:33" s="15" customFormat="1" ht="24" customHeight="1">
      <c r="A261" s="47"/>
      <c r="B261" s="47"/>
      <c r="C261" s="47"/>
      <c r="D261" s="213"/>
      <c r="E261" s="121"/>
      <c r="F261" s="121"/>
      <c r="G261" s="121"/>
      <c r="H261" s="121"/>
      <c r="I261" s="121"/>
      <c r="J261" s="121"/>
      <c r="K261" s="121"/>
      <c r="L261" s="121"/>
      <c r="M261" s="121"/>
      <c r="N261" s="72"/>
      <c r="O261" s="73" t="s">
        <v>231</v>
      </c>
      <c r="P261" s="129"/>
      <c r="Q261" s="244"/>
      <c r="R261" s="31"/>
      <c r="S261" s="31"/>
      <c r="T261" s="31"/>
      <c r="U261" s="31"/>
      <c r="V261" s="31"/>
      <c r="W261" s="237" t="s">
        <v>241</v>
      </c>
      <c r="X261" s="237"/>
      <c r="Y261" s="237"/>
      <c r="Z261" s="237"/>
      <c r="AA261" s="237"/>
      <c r="AB261" s="237"/>
      <c r="AC261" s="74"/>
      <c r="AD261" s="74">
        <f>SUM(AD262:AD270)</f>
        <v>17000000</v>
      </c>
      <c r="AE261" s="75" t="s">
        <v>25</v>
      </c>
      <c r="AF261" s="16"/>
      <c r="AG261" s="16"/>
    </row>
    <row r="262" spans="1:33" s="15" customFormat="1" ht="24" customHeight="1">
      <c r="A262" s="47"/>
      <c r="B262" s="47"/>
      <c r="C262" s="47"/>
      <c r="D262" s="213"/>
      <c r="E262" s="121"/>
      <c r="F262" s="121"/>
      <c r="G262" s="121"/>
      <c r="H262" s="121"/>
      <c r="I262" s="121"/>
      <c r="J262" s="121"/>
      <c r="K262" s="121"/>
      <c r="L262" s="121"/>
      <c r="M262" s="121"/>
      <c r="N262" s="72"/>
      <c r="O262" s="461" t="s">
        <v>740</v>
      </c>
      <c r="P262" s="251"/>
      <c r="Q262" s="251"/>
      <c r="R262" s="31"/>
      <c r="S262" s="31"/>
      <c r="T262" s="31"/>
      <c r="U262" s="31"/>
      <c r="V262" s="31"/>
      <c r="W262" s="460"/>
      <c r="X262" s="460"/>
      <c r="Y262" s="460"/>
      <c r="Z262" s="460"/>
      <c r="AA262" s="460"/>
      <c r="AB262" s="166" t="s">
        <v>114</v>
      </c>
      <c r="AC262" s="167"/>
      <c r="AD262" s="167">
        <v>2000000</v>
      </c>
      <c r="AE262" s="59" t="s">
        <v>57</v>
      </c>
      <c r="AF262" s="16"/>
      <c r="AG262" s="16"/>
    </row>
    <row r="263" spans="1:33" s="15" customFormat="1" ht="24" customHeight="1">
      <c r="A263" s="47"/>
      <c r="B263" s="47"/>
      <c r="C263" s="47"/>
      <c r="D263" s="213"/>
      <c r="E263" s="121"/>
      <c r="F263" s="121"/>
      <c r="G263" s="121"/>
      <c r="H263" s="121"/>
      <c r="I263" s="121"/>
      <c r="J263" s="121"/>
      <c r="K263" s="121"/>
      <c r="L263" s="121"/>
      <c r="M263" s="121"/>
      <c r="N263" s="72"/>
      <c r="O263" s="461"/>
      <c r="P263" s="251"/>
      <c r="Q263" s="251"/>
      <c r="R263" s="31"/>
      <c r="S263" s="31"/>
      <c r="T263" s="31"/>
      <c r="U263" s="31"/>
      <c r="V263" s="31"/>
      <c r="W263" s="460"/>
      <c r="X263" s="460"/>
      <c r="Y263" s="460"/>
      <c r="Z263" s="460"/>
      <c r="AA263" s="460"/>
      <c r="AB263" s="166" t="s">
        <v>757</v>
      </c>
      <c r="AC263" s="167"/>
      <c r="AD263" s="167">
        <v>6000000</v>
      </c>
      <c r="AE263" s="59" t="s">
        <v>57</v>
      </c>
      <c r="AF263" s="16"/>
      <c r="AG263" s="16"/>
    </row>
    <row r="264" spans="1:33" s="15" customFormat="1" ht="24" customHeight="1">
      <c r="A264" s="47"/>
      <c r="B264" s="47"/>
      <c r="C264" s="47"/>
      <c r="D264" s="213"/>
      <c r="E264" s="121"/>
      <c r="F264" s="121"/>
      <c r="G264" s="121"/>
      <c r="H264" s="121"/>
      <c r="I264" s="121"/>
      <c r="J264" s="121"/>
      <c r="K264" s="121"/>
      <c r="L264" s="121"/>
      <c r="M264" s="121"/>
      <c r="N264" s="72"/>
      <c r="O264" s="461" t="s">
        <v>741</v>
      </c>
      <c r="P264" s="251"/>
      <c r="Q264" s="251"/>
      <c r="R264" s="31"/>
      <c r="S264" s="31"/>
      <c r="T264" s="31"/>
      <c r="U264" s="31"/>
      <c r="V264" s="31"/>
      <c r="W264" s="460"/>
      <c r="X264" s="460"/>
      <c r="Y264" s="460"/>
      <c r="Z264" s="460"/>
      <c r="AA264" s="460"/>
      <c r="AB264" s="462" t="s">
        <v>755</v>
      </c>
      <c r="AC264" s="70"/>
      <c r="AD264" s="70">
        <v>300000</v>
      </c>
      <c r="AE264" s="59" t="s">
        <v>739</v>
      </c>
      <c r="AF264" s="16"/>
      <c r="AG264" s="16"/>
    </row>
    <row r="265" spans="1:33" s="15" customFormat="1" ht="24" customHeight="1">
      <c r="A265" s="47"/>
      <c r="B265" s="47"/>
      <c r="C265" s="47"/>
      <c r="D265" s="210"/>
      <c r="E265" s="121"/>
      <c r="F265" s="121"/>
      <c r="G265" s="121"/>
      <c r="H265" s="121"/>
      <c r="I265" s="121"/>
      <c r="J265" s="121"/>
      <c r="K265" s="121"/>
      <c r="L265" s="121"/>
      <c r="M265" s="121"/>
      <c r="N265" s="72"/>
      <c r="O265" s="461" t="s">
        <v>742</v>
      </c>
      <c r="P265" s="242"/>
      <c r="Q265" s="242"/>
      <c r="R265" s="242"/>
      <c r="S265" s="241"/>
      <c r="T265" s="241"/>
      <c r="U265" s="242"/>
      <c r="V265" s="241"/>
      <c r="W265" s="241"/>
      <c r="X265" s="241"/>
      <c r="Y265" s="241"/>
      <c r="Z265" s="241"/>
      <c r="AA265" s="241"/>
      <c r="AB265" s="462" t="s">
        <v>756</v>
      </c>
      <c r="AC265" s="241"/>
      <c r="AD265" s="241">
        <v>1500000</v>
      </c>
      <c r="AE265" s="59" t="s">
        <v>25</v>
      </c>
      <c r="AF265" s="16"/>
      <c r="AG265" s="16"/>
    </row>
    <row r="266" spans="1:33" s="15" customFormat="1" ht="24" customHeight="1">
      <c r="A266" s="47"/>
      <c r="B266" s="47"/>
      <c r="C266" s="47"/>
      <c r="D266" s="210"/>
      <c r="E266" s="121"/>
      <c r="F266" s="121"/>
      <c r="G266" s="121"/>
      <c r="H266" s="121"/>
      <c r="I266" s="121"/>
      <c r="J266" s="121"/>
      <c r="K266" s="121"/>
      <c r="L266" s="121"/>
      <c r="M266" s="121"/>
      <c r="N266" s="72"/>
      <c r="O266" s="461" t="s">
        <v>328</v>
      </c>
      <c r="P266" s="51"/>
      <c r="Q266" s="51"/>
      <c r="R266" s="51"/>
      <c r="S266" s="52"/>
      <c r="T266" s="52"/>
      <c r="U266" s="51"/>
      <c r="V266" s="52"/>
      <c r="W266" s="52"/>
      <c r="X266" s="52"/>
      <c r="Y266" s="52"/>
      <c r="Z266" s="52"/>
      <c r="AA266" s="52"/>
      <c r="AB266" s="460" t="s">
        <v>743</v>
      </c>
      <c r="AC266" s="52"/>
      <c r="AD266" s="52">
        <v>2000000</v>
      </c>
      <c r="AE266" s="168" t="s">
        <v>93</v>
      </c>
      <c r="AF266" s="16"/>
    </row>
    <row r="267" spans="1:33" s="15" customFormat="1" ht="24" customHeight="1">
      <c r="A267" s="47"/>
      <c r="B267" s="47"/>
      <c r="C267" s="47"/>
      <c r="D267" s="210"/>
      <c r="E267" s="121"/>
      <c r="F267" s="121"/>
      <c r="G267" s="121"/>
      <c r="H267" s="121"/>
      <c r="I267" s="121"/>
      <c r="J267" s="121"/>
      <c r="K267" s="121"/>
      <c r="L267" s="121"/>
      <c r="M267" s="121"/>
      <c r="N267" s="72"/>
      <c r="O267" s="461"/>
      <c r="P267" s="461"/>
      <c r="Q267" s="461"/>
      <c r="R267" s="461"/>
      <c r="S267" s="460"/>
      <c r="T267" s="460"/>
      <c r="U267" s="461"/>
      <c r="V267" s="460"/>
      <c r="W267" s="460"/>
      <c r="X267" s="460"/>
      <c r="Y267" s="460"/>
      <c r="Z267" s="460"/>
      <c r="AA267" s="460"/>
      <c r="AB267" s="462" t="s">
        <v>295</v>
      </c>
      <c r="AC267" s="460"/>
      <c r="AD267" s="460">
        <v>4000000</v>
      </c>
      <c r="AE267" s="168" t="s">
        <v>739</v>
      </c>
      <c r="AF267" s="16"/>
    </row>
    <row r="268" spans="1:33" s="15" customFormat="1" ht="24" customHeight="1">
      <c r="A268" s="47"/>
      <c r="B268" s="47"/>
      <c r="C268" s="47"/>
      <c r="D268" s="210"/>
      <c r="E268" s="121"/>
      <c r="F268" s="121"/>
      <c r="G268" s="121"/>
      <c r="H268" s="121"/>
      <c r="I268" s="121"/>
      <c r="J268" s="121"/>
      <c r="K268" s="121"/>
      <c r="L268" s="121"/>
      <c r="M268" s="121"/>
      <c r="N268" s="72"/>
      <c r="O268" s="461" t="s">
        <v>744</v>
      </c>
      <c r="P268" s="51"/>
      <c r="Q268" s="51"/>
      <c r="R268" s="51"/>
      <c r="S268" s="51"/>
      <c r="T268" s="52"/>
      <c r="U268" s="52"/>
      <c r="V268" s="52"/>
      <c r="W268" s="52"/>
      <c r="X268" s="52"/>
      <c r="Y268" s="166"/>
      <c r="Z268" s="166"/>
      <c r="AA268" s="166"/>
      <c r="AB268" s="166" t="s">
        <v>756</v>
      </c>
      <c r="AC268" s="167"/>
      <c r="AD268" s="52">
        <v>300000</v>
      </c>
      <c r="AE268" s="59" t="s">
        <v>25</v>
      </c>
      <c r="AF268" s="16"/>
    </row>
    <row r="269" spans="1:33" s="15" customFormat="1" ht="24" customHeight="1">
      <c r="A269" s="47"/>
      <c r="B269" s="47"/>
      <c r="C269" s="47"/>
      <c r="D269" s="210"/>
      <c r="E269" s="121"/>
      <c r="F269" s="121"/>
      <c r="G269" s="121"/>
      <c r="H269" s="121"/>
      <c r="I269" s="121"/>
      <c r="J269" s="121"/>
      <c r="K269" s="121"/>
      <c r="L269" s="121"/>
      <c r="M269" s="121"/>
      <c r="N269" s="72"/>
      <c r="O269" s="461" t="s">
        <v>745</v>
      </c>
      <c r="P269" s="51"/>
      <c r="Q269" s="51"/>
      <c r="R269" s="51"/>
      <c r="S269" s="51"/>
      <c r="T269" s="52"/>
      <c r="U269" s="52"/>
      <c r="V269" s="52"/>
      <c r="W269" s="52"/>
      <c r="X269" s="52"/>
      <c r="Y269" s="166"/>
      <c r="Z269" s="166"/>
      <c r="AA269" s="166"/>
      <c r="AB269" s="166" t="s">
        <v>756</v>
      </c>
      <c r="AC269" s="167"/>
      <c r="AD269" s="52">
        <v>400000</v>
      </c>
      <c r="AE269" s="59" t="s">
        <v>25</v>
      </c>
      <c r="AF269" s="16"/>
    </row>
    <row r="270" spans="1:33" s="15" customFormat="1" ht="24" customHeight="1">
      <c r="A270" s="47"/>
      <c r="B270" s="47"/>
      <c r="C270" s="47"/>
      <c r="D270" s="210"/>
      <c r="E270" s="121"/>
      <c r="F270" s="121"/>
      <c r="G270" s="121"/>
      <c r="H270" s="121"/>
      <c r="I270" s="121"/>
      <c r="J270" s="121"/>
      <c r="K270" s="121"/>
      <c r="L270" s="121"/>
      <c r="M270" s="121"/>
      <c r="N270" s="72"/>
      <c r="O270" s="242" t="s">
        <v>232</v>
      </c>
      <c r="P270" s="51"/>
      <c r="Q270" s="51"/>
      <c r="R270" s="51"/>
      <c r="S270" s="51"/>
      <c r="T270" s="52"/>
      <c r="U270" s="52"/>
      <c r="V270" s="52"/>
      <c r="W270" s="52"/>
      <c r="X270" s="52"/>
      <c r="Y270" s="166"/>
      <c r="Z270" s="166"/>
      <c r="AA270" s="166"/>
      <c r="AB270" s="166" t="s">
        <v>756</v>
      </c>
      <c r="AC270" s="167"/>
      <c r="AD270" s="169">
        <v>500000</v>
      </c>
      <c r="AE270" s="59" t="s">
        <v>25</v>
      </c>
      <c r="AF270" s="16"/>
    </row>
    <row r="271" spans="1:33" s="15" customFormat="1" ht="24" customHeight="1">
      <c r="A271" s="47"/>
      <c r="B271" s="47"/>
      <c r="C271" s="47"/>
      <c r="D271" s="210"/>
      <c r="E271" s="121"/>
      <c r="F271" s="121"/>
      <c r="G271" s="121"/>
      <c r="H271" s="121"/>
      <c r="I271" s="121"/>
      <c r="J271" s="121"/>
      <c r="K271" s="121"/>
      <c r="L271" s="121"/>
      <c r="M271" s="121"/>
      <c r="N271" s="72"/>
      <c r="O271" s="242"/>
      <c r="P271" s="242"/>
      <c r="Q271" s="242"/>
      <c r="R271" s="242"/>
      <c r="S271" s="242"/>
      <c r="T271" s="241"/>
      <c r="U271" s="241"/>
      <c r="V271" s="241"/>
      <c r="W271" s="241"/>
      <c r="X271" s="241"/>
      <c r="Y271" s="166"/>
      <c r="Z271" s="166"/>
      <c r="AA271" s="166"/>
      <c r="AB271" s="166"/>
      <c r="AC271" s="167"/>
      <c r="AD271" s="169"/>
      <c r="AE271" s="59"/>
      <c r="AF271" s="16"/>
    </row>
    <row r="272" spans="1:33" s="15" customFormat="1" ht="24" customHeight="1">
      <c r="A272" s="47"/>
      <c r="B272" s="47"/>
      <c r="C272" s="47"/>
      <c r="D272" s="210"/>
      <c r="E272" s="121"/>
      <c r="F272" s="121"/>
      <c r="G272" s="121"/>
      <c r="H272" s="121"/>
      <c r="I272" s="121"/>
      <c r="J272" s="121"/>
      <c r="K272" s="121"/>
      <c r="L272" s="121"/>
      <c r="M272" s="121"/>
      <c r="N272" s="72"/>
      <c r="O272" s="73" t="s">
        <v>233</v>
      </c>
      <c r="P272" s="129"/>
      <c r="Q272" s="244"/>
      <c r="R272" s="31"/>
      <c r="S272" s="31"/>
      <c r="T272" s="31"/>
      <c r="U272" s="31"/>
      <c r="V272" s="31"/>
      <c r="W272" s="237" t="s">
        <v>241</v>
      </c>
      <c r="X272" s="237"/>
      <c r="Y272" s="237"/>
      <c r="Z272" s="237"/>
      <c r="AA272" s="237"/>
      <c r="AB272" s="237"/>
      <c r="AC272" s="74"/>
      <c r="AD272" s="74">
        <f>AD273</f>
        <v>2700000</v>
      </c>
      <c r="AE272" s="75" t="s">
        <v>25</v>
      </c>
      <c r="AF272" s="16"/>
    </row>
    <row r="273" spans="1:32" s="15" customFormat="1" ht="24" customHeight="1">
      <c r="A273" s="47"/>
      <c r="B273" s="47"/>
      <c r="C273" s="47"/>
      <c r="D273" s="210"/>
      <c r="E273" s="121"/>
      <c r="F273" s="121"/>
      <c r="G273" s="121"/>
      <c r="H273" s="121"/>
      <c r="I273" s="121"/>
      <c r="J273" s="121"/>
      <c r="K273" s="121"/>
      <c r="L273" s="121"/>
      <c r="M273" s="121"/>
      <c r="N273" s="72"/>
      <c r="O273" s="170" t="s">
        <v>746</v>
      </c>
      <c r="P273" s="170"/>
      <c r="Q273" s="170"/>
      <c r="R273" s="170"/>
      <c r="S273" s="460">
        <v>50000</v>
      </c>
      <c r="T273" s="56" t="s">
        <v>57</v>
      </c>
      <c r="U273" s="56" t="s">
        <v>26</v>
      </c>
      <c r="V273" s="460">
        <v>54</v>
      </c>
      <c r="W273" s="461" t="s">
        <v>56</v>
      </c>
      <c r="X273" s="460" t="s">
        <v>27</v>
      </c>
      <c r="Y273" s="170"/>
      <c r="Z273" s="170"/>
      <c r="AA273" s="170"/>
      <c r="AB273" s="170" t="s">
        <v>758</v>
      </c>
      <c r="AC273" s="170"/>
      <c r="AD273" s="171">
        <f>S273*V273</f>
        <v>2700000</v>
      </c>
      <c r="AE273" s="172" t="s">
        <v>57</v>
      </c>
      <c r="AF273" s="16"/>
    </row>
    <row r="274" spans="1:32" s="15" customFormat="1" ht="24" customHeight="1">
      <c r="A274" s="47"/>
      <c r="B274" s="47"/>
      <c r="C274" s="47"/>
      <c r="D274" s="210"/>
      <c r="E274" s="121"/>
      <c r="F274" s="121"/>
      <c r="G274" s="121"/>
      <c r="H274" s="121"/>
      <c r="I274" s="121"/>
      <c r="J274" s="121"/>
      <c r="K274" s="121"/>
      <c r="L274" s="121"/>
      <c r="M274" s="121"/>
      <c r="N274" s="72"/>
      <c r="O274" s="170"/>
      <c r="P274" s="170"/>
      <c r="Q274" s="170"/>
      <c r="R274" s="170"/>
      <c r="S274" s="462"/>
      <c r="T274" s="56"/>
      <c r="U274" s="56"/>
      <c r="V274" s="462"/>
      <c r="W274" s="463"/>
      <c r="X274" s="462"/>
      <c r="Y274" s="170"/>
      <c r="Z274" s="170"/>
      <c r="AA274" s="170"/>
      <c r="AB274" s="170"/>
      <c r="AC274" s="170"/>
      <c r="AD274" s="171"/>
      <c r="AE274" s="172"/>
      <c r="AF274" s="16"/>
    </row>
    <row r="275" spans="1:32" s="15" customFormat="1" ht="24" customHeight="1">
      <c r="A275" s="47"/>
      <c r="B275" s="47"/>
      <c r="C275" s="47"/>
      <c r="D275" s="210"/>
      <c r="E275" s="121"/>
      <c r="F275" s="121"/>
      <c r="G275" s="121"/>
      <c r="H275" s="121"/>
      <c r="I275" s="121"/>
      <c r="J275" s="121"/>
      <c r="K275" s="121"/>
      <c r="L275" s="121"/>
      <c r="M275" s="121"/>
      <c r="N275" s="72"/>
      <c r="O275" s="73" t="s">
        <v>778</v>
      </c>
      <c r="P275" s="129"/>
      <c r="Q275" s="251"/>
      <c r="R275" s="31"/>
      <c r="S275" s="31"/>
      <c r="T275" s="31"/>
      <c r="U275" s="31"/>
      <c r="V275" s="31"/>
      <c r="W275" s="464" t="s">
        <v>229</v>
      </c>
      <c r="X275" s="464"/>
      <c r="Y275" s="464"/>
      <c r="Z275" s="464"/>
      <c r="AA275" s="464"/>
      <c r="AB275" s="464"/>
      <c r="AC275" s="74"/>
      <c r="AD275" s="74">
        <f>SUM(AD276:AD284)</f>
        <v>26302000</v>
      </c>
      <c r="AE275" s="75" t="s">
        <v>25</v>
      </c>
      <c r="AF275" s="16"/>
    </row>
    <row r="276" spans="1:32" s="15" customFormat="1" ht="24" customHeight="1">
      <c r="A276" s="47"/>
      <c r="B276" s="47"/>
      <c r="C276" s="47"/>
      <c r="D276" s="210"/>
      <c r="E276" s="121"/>
      <c r="F276" s="121"/>
      <c r="G276" s="121"/>
      <c r="H276" s="121"/>
      <c r="I276" s="121"/>
      <c r="J276" s="121"/>
      <c r="K276" s="121"/>
      <c r="L276" s="121"/>
      <c r="M276" s="121"/>
      <c r="N276" s="72"/>
      <c r="O276" s="170" t="s">
        <v>779</v>
      </c>
      <c r="P276" s="251"/>
      <c r="Q276" s="251"/>
      <c r="R276" s="31"/>
      <c r="S276" s="31"/>
      <c r="T276" s="31"/>
      <c r="U276" s="31"/>
      <c r="V276" s="31"/>
      <c r="W276" s="460"/>
      <c r="X276" s="460"/>
      <c r="Y276" s="460"/>
      <c r="Z276" s="460"/>
      <c r="AA276" s="460"/>
      <c r="AB276" s="462" t="s">
        <v>758</v>
      </c>
      <c r="AC276" s="70"/>
      <c r="AD276" s="70">
        <v>4564000</v>
      </c>
      <c r="AE276" s="59" t="s">
        <v>739</v>
      </c>
      <c r="AF276" s="16"/>
    </row>
    <row r="277" spans="1:32" s="15" customFormat="1" ht="24" customHeight="1">
      <c r="A277" s="47"/>
      <c r="B277" s="47"/>
      <c r="C277" s="47"/>
      <c r="D277" s="210"/>
      <c r="E277" s="121"/>
      <c r="F277" s="121"/>
      <c r="G277" s="121"/>
      <c r="H277" s="121"/>
      <c r="I277" s="121"/>
      <c r="J277" s="121"/>
      <c r="K277" s="121"/>
      <c r="L277" s="121"/>
      <c r="M277" s="121"/>
      <c r="N277" s="72"/>
      <c r="O277" s="170" t="s">
        <v>780</v>
      </c>
      <c r="P277" s="251"/>
      <c r="Q277" s="251"/>
      <c r="R277" s="31"/>
      <c r="S277" s="31"/>
      <c r="T277" s="31"/>
      <c r="U277" s="31"/>
      <c r="V277" s="31"/>
      <c r="W277" s="460"/>
      <c r="X277" s="460"/>
      <c r="Y277" s="460"/>
      <c r="Z277" s="460"/>
      <c r="AA277" s="460"/>
      <c r="AB277" s="462" t="s">
        <v>755</v>
      </c>
      <c r="AC277" s="70"/>
      <c r="AD277" s="70">
        <v>3765000</v>
      </c>
      <c r="AE277" s="59" t="s">
        <v>739</v>
      </c>
      <c r="AF277" s="16"/>
    </row>
    <row r="278" spans="1:32" s="15" customFormat="1" ht="24" customHeight="1">
      <c r="A278" s="47"/>
      <c r="B278" s="47"/>
      <c r="C278" s="47"/>
      <c r="D278" s="210"/>
      <c r="E278" s="121"/>
      <c r="F278" s="121"/>
      <c r="G278" s="121"/>
      <c r="H278" s="121"/>
      <c r="I278" s="121"/>
      <c r="J278" s="121"/>
      <c r="K278" s="121"/>
      <c r="L278" s="121"/>
      <c r="M278" s="121"/>
      <c r="N278" s="72"/>
      <c r="O278" s="170" t="s">
        <v>781</v>
      </c>
      <c r="P278" s="251"/>
      <c r="Q278" s="251"/>
      <c r="R278" s="31"/>
      <c r="S278" s="31"/>
      <c r="T278" s="31"/>
      <c r="U278" s="31"/>
      <c r="V278" s="31"/>
      <c r="W278" s="462"/>
      <c r="X278" s="462"/>
      <c r="Y278" s="462"/>
      <c r="Z278" s="462"/>
      <c r="AA278" s="462"/>
      <c r="AB278" s="462" t="s">
        <v>758</v>
      </c>
      <c r="AC278" s="70"/>
      <c r="AD278" s="70">
        <v>4170000</v>
      </c>
      <c r="AE278" s="59" t="s">
        <v>761</v>
      </c>
      <c r="AF278" s="16"/>
    </row>
    <row r="279" spans="1:32" s="15" customFormat="1" ht="24" customHeight="1">
      <c r="A279" s="47"/>
      <c r="B279" s="47"/>
      <c r="C279" s="47"/>
      <c r="D279" s="210"/>
      <c r="E279" s="121"/>
      <c r="F279" s="121"/>
      <c r="G279" s="121"/>
      <c r="H279" s="121"/>
      <c r="I279" s="121"/>
      <c r="J279" s="121"/>
      <c r="K279" s="121"/>
      <c r="L279" s="121"/>
      <c r="M279" s="121"/>
      <c r="N279" s="72"/>
      <c r="O279" s="170" t="s">
        <v>782</v>
      </c>
      <c r="P279" s="251"/>
      <c r="Q279" s="251"/>
      <c r="R279" s="31"/>
      <c r="S279" s="31"/>
      <c r="T279" s="31"/>
      <c r="U279" s="31"/>
      <c r="V279" s="31"/>
      <c r="W279" s="462"/>
      <c r="X279" s="462"/>
      <c r="Y279" s="462"/>
      <c r="Z279" s="462"/>
      <c r="AA279" s="462"/>
      <c r="AB279" s="462" t="s">
        <v>764</v>
      </c>
      <c r="AC279" s="70"/>
      <c r="AD279" s="70">
        <v>70000</v>
      </c>
      <c r="AE279" s="59" t="s">
        <v>761</v>
      </c>
      <c r="AF279" s="16"/>
    </row>
    <row r="280" spans="1:32" s="15" customFormat="1" ht="24" customHeight="1">
      <c r="A280" s="47"/>
      <c r="B280" s="47"/>
      <c r="C280" s="47"/>
      <c r="D280" s="210"/>
      <c r="E280" s="121"/>
      <c r="F280" s="121"/>
      <c r="G280" s="121"/>
      <c r="H280" s="121"/>
      <c r="I280" s="121"/>
      <c r="J280" s="121"/>
      <c r="K280" s="121"/>
      <c r="L280" s="121"/>
      <c r="M280" s="121"/>
      <c r="N280" s="72"/>
      <c r="O280" s="170"/>
      <c r="P280" s="251"/>
      <c r="Q280" s="251"/>
      <c r="R280" s="31"/>
      <c r="S280" s="31"/>
      <c r="T280" s="31"/>
      <c r="U280" s="31"/>
      <c r="V280" s="31"/>
      <c r="W280" s="462"/>
      <c r="X280" s="462"/>
      <c r="Y280" s="462"/>
      <c r="Z280" s="462"/>
      <c r="AA280" s="462"/>
      <c r="AB280" s="462" t="s">
        <v>756</v>
      </c>
      <c r="AC280" s="70"/>
      <c r="AD280" s="70">
        <v>198000</v>
      </c>
      <c r="AE280" s="59" t="s">
        <v>761</v>
      </c>
      <c r="AF280" s="16"/>
    </row>
    <row r="281" spans="1:32" s="15" customFormat="1" ht="24" customHeight="1">
      <c r="A281" s="47"/>
      <c r="B281" s="47"/>
      <c r="C281" s="47"/>
      <c r="D281" s="210"/>
      <c r="E281" s="121"/>
      <c r="F281" s="121"/>
      <c r="G281" s="121"/>
      <c r="H281" s="121"/>
      <c r="I281" s="121"/>
      <c r="J281" s="121"/>
      <c r="K281" s="121"/>
      <c r="L281" s="121"/>
      <c r="M281" s="121"/>
      <c r="N281" s="72"/>
      <c r="O281" s="470" t="s">
        <v>783</v>
      </c>
      <c r="P281" s="170"/>
      <c r="Q281" s="170"/>
      <c r="R281" s="170"/>
      <c r="S281" s="170"/>
      <c r="T281" s="170"/>
      <c r="U281" s="170"/>
      <c r="V281" s="170"/>
      <c r="W281" s="170"/>
      <c r="X281" s="170"/>
      <c r="Y281" s="170"/>
      <c r="Z281" s="170"/>
      <c r="AA281" s="170"/>
      <c r="AB281" s="170" t="s">
        <v>756</v>
      </c>
      <c r="AC281" s="170"/>
      <c r="AD281" s="171">
        <v>4114000</v>
      </c>
      <c r="AE281" s="172" t="s">
        <v>96</v>
      </c>
      <c r="AF281" s="16"/>
    </row>
    <row r="282" spans="1:32" s="15" customFormat="1" ht="24" customHeight="1">
      <c r="A282" s="47"/>
      <c r="B282" s="47"/>
      <c r="C282" s="47"/>
      <c r="D282" s="210"/>
      <c r="E282" s="121"/>
      <c r="F282" s="121"/>
      <c r="G282" s="121"/>
      <c r="H282" s="121"/>
      <c r="I282" s="121"/>
      <c r="J282" s="121"/>
      <c r="K282" s="121"/>
      <c r="L282" s="121"/>
      <c r="M282" s="121"/>
      <c r="N282" s="72"/>
      <c r="O282" s="470" t="s">
        <v>784</v>
      </c>
      <c r="P282" s="170"/>
      <c r="Q282" s="170"/>
      <c r="R282" s="170"/>
      <c r="S282" s="170"/>
      <c r="T282" s="170"/>
      <c r="U282" s="170"/>
      <c r="V282" s="170"/>
      <c r="W282" s="170"/>
      <c r="X282" s="170"/>
      <c r="Y282" s="170"/>
      <c r="Z282" s="170"/>
      <c r="AA282" s="170"/>
      <c r="AB282" s="170" t="s">
        <v>756</v>
      </c>
      <c r="AC282" s="170"/>
      <c r="AD282" s="171">
        <v>4950000</v>
      </c>
      <c r="AE282" s="172" t="s">
        <v>68</v>
      </c>
      <c r="AF282" s="16"/>
    </row>
    <row r="283" spans="1:32" s="15" customFormat="1" ht="24" customHeight="1">
      <c r="A283" s="47"/>
      <c r="B283" s="47"/>
      <c r="C283" s="47"/>
      <c r="D283" s="210"/>
      <c r="E283" s="121"/>
      <c r="F283" s="121"/>
      <c r="G283" s="121"/>
      <c r="H283" s="121"/>
      <c r="I283" s="121"/>
      <c r="J283" s="121"/>
      <c r="K283" s="121"/>
      <c r="L283" s="121"/>
      <c r="M283" s="121"/>
      <c r="N283" s="72"/>
      <c r="O283" s="470" t="s">
        <v>785</v>
      </c>
      <c r="P283" s="170"/>
      <c r="Q283" s="170"/>
      <c r="R283" s="170"/>
      <c r="S283" s="170"/>
      <c r="T283" s="170"/>
      <c r="U283" s="170"/>
      <c r="V283" s="170"/>
      <c r="W283" s="170"/>
      <c r="X283" s="170"/>
      <c r="Y283" s="170"/>
      <c r="Z283" s="170"/>
      <c r="AA283" s="170"/>
      <c r="AB283" s="170" t="s">
        <v>764</v>
      </c>
      <c r="AC283" s="170"/>
      <c r="AD283" s="171">
        <v>3761000</v>
      </c>
      <c r="AE283" s="172" t="s">
        <v>68</v>
      </c>
      <c r="AF283" s="16"/>
    </row>
    <row r="284" spans="1:32" s="15" customFormat="1" ht="24" customHeight="1">
      <c r="A284" s="47"/>
      <c r="B284" s="47"/>
      <c r="C284" s="47"/>
      <c r="D284" s="210"/>
      <c r="E284" s="121"/>
      <c r="F284" s="121"/>
      <c r="G284" s="121"/>
      <c r="H284" s="121"/>
      <c r="I284" s="121"/>
      <c r="J284" s="121"/>
      <c r="K284" s="121"/>
      <c r="L284" s="121"/>
      <c r="M284" s="121"/>
      <c r="N284" s="72"/>
      <c r="O284" s="470" t="s">
        <v>786</v>
      </c>
      <c r="P284" s="170"/>
      <c r="Q284" s="170"/>
      <c r="R284" s="170"/>
      <c r="S284" s="170"/>
      <c r="T284" s="170"/>
      <c r="U284" s="170"/>
      <c r="V284" s="170"/>
      <c r="W284" s="170"/>
      <c r="X284" s="170"/>
      <c r="Y284" s="170"/>
      <c r="Z284" s="170"/>
      <c r="AA284" s="170"/>
      <c r="AB284" s="170" t="s">
        <v>764</v>
      </c>
      <c r="AC284" s="170"/>
      <c r="AD284" s="171">
        <v>710000</v>
      </c>
      <c r="AE284" s="172" t="s">
        <v>316</v>
      </c>
      <c r="AF284" s="16"/>
    </row>
    <row r="285" spans="1:32" s="15" customFormat="1" ht="24" customHeight="1">
      <c r="A285" s="47"/>
      <c r="B285" s="47"/>
      <c r="C285" s="47"/>
      <c r="D285" s="210"/>
      <c r="E285" s="121"/>
      <c r="F285" s="121"/>
      <c r="G285" s="121"/>
      <c r="H285" s="121"/>
      <c r="I285" s="121"/>
      <c r="J285" s="121"/>
      <c r="K285" s="121"/>
      <c r="L285" s="121"/>
      <c r="M285" s="121"/>
      <c r="N285" s="72"/>
      <c r="O285" s="170"/>
      <c r="P285" s="170"/>
      <c r="Q285" s="170"/>
      <c r="R285" s="170"/>
      <c r="S285" s="241"/>
      <c r="T285" s="56"/>
      <c r="U285" s="56"/>
      <c r="V285" s="241"/>
      <c r="W285" s="242"/>
      <c r="X285" s="241"/>
      <c r="Y285" s="170"/>
      <c r="Z285" s="170"/>
      <c r="AA285" s="170"/>
      <c r="AB285" s="170"/>
      <c r="AC285" s="170"/>
      <c r="AD285" s="171"/>
      <c r="AE285" s="172"/>
      <c r="AF285" s="16"/>
    </row>
    <row r="286" spans="1:32" s="15" customFormat="1" ht="24" customHeight="1">
      <c r="A286" s="47"/>
      <c r="B286" s="47"/>
      <c r="C286" s="47"/>
      <c r="D286" s="210"/>
      <c r="E286" s="121"/>
      <c r="F286" s="121"/>
      <c r="G286" s="121"/>
      <c r="H286" s="121"/>
      <c r="I286" s="121"/>
      <c r="J286" s="121"/>
      <c r="K286" s="121"/>
      <c r="L286" s="121"/>
      <c r="M286" s="121"/>
      <c r="N286" s="72"/>
      <c r="O286" s="73" t="s">
        <v>234</v>
      </c>
      <c r="P286" s="129"/>
      <c r="Q286" s="244"/>
      <c r="R286" s="31"/>
      <c r="S286" s="31"/>
      <c r="T286" s="31"/>
      <c r="U286" s="31"/>
      <c r="V286" s="31"/>
      <c r="W286" s="237" t="s">
        <v>241</v>
      </c>
      <c r="X286" s="237"/>
      <c r="Y286" s="237"/>
      <c r="Z286" s="237"/>
      <c r="AA286" s="237"/>
      <c r="AB286" s="237"/>
      <c r="AC286" s="74"/>
      <c r="AD286" s="74">
        <f>SUM(AD287:AD291)</f>
        <v>3600000</v>
      </c>
      <c r="AE286" s="75" t="s">
        <v>25</v>
      </c>
      <c r="AF286" s="16"/>
    </row>
    <row r="287" spans="1:32" s="15" customFormat="1" ht="24" customHeight="1">
      <c r="A287" s="47"/>
      <c r="B287" s="47"/>
      <c r="C287" s="47"/>
      <c r="D287" s="210"/>
      <c r="E287" s="121"/>
      <c r="F287" s="121"/>
      <c r="G287" s="121"/>
      <c r="H287" s="121"/>
      <c r="I287" s="121"/>
      <c r="J287" s="121"/>
      <c r="K287" s="121"/>
      <c r="L287" s="121"/>
      <c r="M287" s="121"/>
      <c r="N287" s="72"/>
      <c r="O287" s="170" t="s">
        <v>235</v>
      </c>
      <c r="P287" s="170"/>
      <c r="Q287" s="170"/>
      <c r="R287" s="170"/>
      <c r="S287" s="170"/>
      <c r="T287" s="170"/>
      <c r="U287" s="170"/>
      <c r="V287" s="170"/>
      <c r="W287" s="170"/>
      <c r="X287" s="170"/>
      <c r="Y287" s="170"/>
      <c r="Z287" s="170"/>
      <c r="AA287" s="170"/>
      <c r="AB287" s="170" t="s">
        <v>554</v>
      </c>
      <c r="AC287" s="170"/>
      <c r="AD287" s="171">
        <v>700000</v>
      </c>
      <c r="AE287" s="172" t="s">
        <v>227</v>
      </c>
      <c r="AF287" s="16"/>
    </row>
    <row r="288" spans="1:32" s="15" customFormat="1" ht="24" customHeight="1">
      <c r="A288" s="47"/>
      <c r="B288" s="47"/>
      <c r="C288" s="47"/>
      <c r="D288" s="210"/>
      <c r="E288" s="121"/>
      <c r="F288" s="121"/>
      <c r="G288" s="121"/>
      <c r="H288" s="121"/>
      <c r="I288" s="121"/>
      <c r="J288" s="121"/>
      <c r="K288" s="121"/>
      <c r="L288" s="121"/>
      <c r="M288" s="121"/>
      <c r="N288" s="72"/>
      <c r="O288" s="170" t="s">
        <v>236</v>
      </c>
      <c r="P288" s="170"/>
      <c r="Q288" s="170"/>
      <c r="R288" s="170"/>
      <c r="S288" s="170"/>
      <c r="T288" s="170"/>
      <c r="U288" s="170"/>
      <c r="V288" s="170"/>
      <c r="W288" s="170"/>
      <c r="X288" s="170"/>
      <c r="Y288" s="170"/>
      <c r="Z288" s="170"/>
      <c r="AA288" s="170"/>
      <c r="AB288" s="170" t="s">
        <v>758</v>
      </c>
      <c r="AC288" s="170"/>
      <c r="AD288" s="171">
        <v>300000</v>
      </c>
      <c r="AE288" s="172" t="s">
        <v>68</v>
      </c>
      <c r="AF288" s="16"/>
    </row>
    <row r="289" spans="1:32" s="15" customFormat="1" ht="24" customHeight="1">
      <c r="A289" s="47"/>
      <c r="B289" s="47"/>
      <c r="C289" s="47"/>
      <c r="D289" s="210"/>
      <c r="E289" s="121"/>
      <c r="F289" s="121"/>
      <c r="G289" s="121"/>
      <c r="H289" s="121"/>
      <c r="I289" s="121"/>
      <c r="J289" s="121"/>
      <c r="K289" s="121"/>
      <c r="L289" s="121"/>
      <c r="M289" s="121"/>
      <c r="N289" s="72"/>
      <c r="O289" s="170" t="s">
        <v>237</v>
      </c>
      <c r="P289" s="170"/>
      <c r="Q289" s="170"/>
      <c r="R289" s="170"/>
      <c r="S289" s="170"/>
      <c r="T289" s="170"/>
      <c r="U289" s="170"/>
      <c r="V289" s="170"/>
      <c r="W289" s="170"/>
      <c r="X289" s="170"/>
      <c r="Y289" s="170"/>
      <c r="Z289" s="170"/>
      <c r="AA289" s="170"/>
      <c r="AB289" s="170" t="s">
        <v>758</v>
      </c>
      <c r="AC289" s="170"/>
      <c r="AD289" s="171">
        <v>300000</v>
      </c>
      <c r="AE289" s="172" t="s">
        <v>68</v>
      </c>
      <c r="AF289" s="16"/>
    </row>
    <row r="290" spans="1:32" s="15" customFormat="1" ht="24" customHeight="1">
      <c r="A290" s="47"/>
      <c r="B290" s="47"/>
      <c r="C290" s="47"/>
      <c r="D290" s="210"/>
      <c r="E290" s="121"/>
      <c r="F290" s="121"/>
      <c r="G290" s="121"/>
      <c r="H290" s="121"/>
      <c r="I290" s="121"/>
      <c r="J290" s="121"/>
      <c r="K290" s="121"/>
      <c r="L290" s="121"/>
      <c r="M290" s="121"/>
      <c r="N290" s="72"/>
      <c r="O290" s="170" t="s">
        <v>238</v>
      </c>
      <c r="P290" s="170"/>
      <c r="Q290" s="170"/>
      <c r="R290" s="170"/>
      <c r="S290" s="170"/>
      <c r="T290" s="170"/>
      <c r="U290" s="170"/>
      <c r="V290" s="170"/>
      <c r="W290" s="170"/>
      <c r="X290" s="170"/>
      <c r="Y290" s="170"/>
      <c r="Z290" s="170"/>
      <c r="AA290" s="170"/>
      <c r="AB290" s="170" t="s">
        <v>553</v>
      </c>
      <c r="AC290" s="170"/>
      <c r="AD290" s="171">
        <v>2000000</v>
      </c>
      <c r="AE290" s="172" t="s">
        <v>68</v>
      </c>
      <c r="AF290" s="16"/>
    </row>
    <row r="291" spans="1:32" s="15" customFormat="1" ht="24" customHeight="1">
      <c r="A291" s="47"/>
      <c r="B291" s="47"/>
      <c r="C291" s="47"/>
      <c r="D291" s="210"/>
      <c r="E291" s="121"/>
      <c r="F291" s="121"/>
      <c r="G291" s="121"/>
      <c r="H291" s="121"/>
      <c r="I291" s="121"/>
      <c r="J291" s="121"/>
      <c r="K291" s="121"/>
      <c r="L291" s="121"/>
      <c r="M291" s="121"/>
      <c r="N291" s="72"/>
      <c r="O291" s="170" t="s">
        <v>768</v>
      </c>
      <c r="P291" s="170"/>
      <c r="Q291" s="170"/>
      <c r="R291" s="170"/>
      <c r="S291" s="170"/>
      <c r="T291" s="170"/>
      <c r="U291" s="170"/>
      <c r="V291" s="170"/>
      <c r="W291" s="170"/>
      <c r="X291" s="170"/>
      <c r="Y291" s="170"/>
      <c r="Z291" s="170"/>
      <c r="AA291" s="170"/>
      <c r="AB291" s="170" t="s">
        <v>553</v>
      </c>
      <c r="AC291" s="170"/>
      <c r="AD291" s="171">
        <v>300000</v>
      </c>
      <c r="AE291" s="172" t="s">
        <v>250</v>
      </c>
      <c r="AF291" s="16"/>
    </row>
    <row r="292" spans="1:32" s="15" customFormat="1" ht="24" customHeight="1">
      <c r="A292" s="47"/>
      <c r="B292" s="47"/>
      <c r="C292" s="47"/>
      <c r="D292" s="210"/>
      <c r="E292" s="121"/>
      <c r="F292" s="121"/>
      <c r="G292" s="121"/>
      <c r="H292" s="121"/>
      <c r="I292" s="121"/>
      <c r="J292" s="121"/>
      <c r="K292" s="121"/>
      <c r="L292" s="121"/>
      <c r="M292" s="121"/>
      <c r="N292" s="72"/>
      <c r="O292" s="170"/>
      <c r="P292" s="170"/>
      <c r="Q292" s="170"/>
      <c r="R292" s="170"/>
      <c r="S292" s="170"/>
      <c r="T292" s="170"/>
      <c r="U292" s="170"/>
      <c r="V292" s="170"/>
      <c r="W292" s="170"/>
      <c r="X292" s="170"/>
      <c r="Y292" s="170"/>
      <c r="Z292" s="170"/>
      <c r="AA292" s="170"/>
      <c r="AB292" s="170"/>
      <c r="AC292" s="170"/>
      <c r="AD292" s="171"/>
      <c r="AE292" s="172"/>
      <c r="AF292" s="16"/>
    </row>
    <row r="293" spans="1:32" s="15" customFormat="1" ht="24" customHeight="1">
      <c r="A293" s="47"/>
      <c r="B293" s="47"/>
      <c r="C293" s="47"/>
      <c r="D293" s="210"/>
      <c r="E293" s="121"/>
      <c r="F293" s="121"/>
      <c r="G293" s="121"/>
      <c r="H293" s="121"/>
      <c r="I293" s="121"/>
      <c r="J293" s="121"/>
      <c r="K293" s="121"/>
      <c r="L293" s="121"/>
      <c r="M293" s="121"/>
      <c r="N293" s="72"/>
      <c r="O293" s="73" t="s">
        <v>239</v>
      </c>
      <c r="P293" s="129"/>
      <c r="Q293" s="244"/>
      <c r="R293" s="31"/>
      <c r="S293" s="31"/>
      <c r="T293" s="31"/>
      <c r="U293" s="31"/>
      <c r="V293" s="31"/>
      <c r="W293" s="237" t="s">
        <v>241</v>
      </c>
      <c r="X293" s="237"/>
      <c r="Y293" s="237"/>
      <c r="Z293" s="237"/>
      <c r="AA293" s="237"/>
      <c r="AB293" s="237"/>
      <c r="AC293" s="74"/>
      <c r="AD293" s="74">
        <f>SUM(AD294:AD295)</f>
        <v>1430000</v>
      </c>
      <c r="AE293" s="75" t="s">
        <v>25</v>
      </c>
      <c r="AF293" s="16"/>
    </row>
    <row r="294" spans="1:32" s="15" customFormat="1" ht="24" customHeight="1">
      <c r="A294" s="47"/>
      <c r="B294" s="47"/>
      <c r="C294" s="47"/>
      <c r="D294" s="210"/>
      <c r="E294" s="121"/>
      <c r="F294" s="121"/>
      <c r="G294" s="121"/>
      <c r="H294" s="121"/>
      <c r="I294" s="121"/>
      <c r="J294" s="121"/>
      <c r="K294" s="121"/>
      <c r="L294" s="121"/>
      <c r="M294" s="121"/>
      <c r="N294" s="72"/>
      <c r="O294" s="433" t="s">
        <v>787</v>
      </c>
      <c r="P294" s="244"/>
      <c r="Q294" s="244"/>
      <c r="R294" s="31"/>
      <c r="S294" s="31"/>
      <c r="T294" s="31"/>
      <c r="U294" s="31"/>
      <c r="V294" s="31"/>
      <c r="W294" s="243"/>
      <c r="X294" s="243"/>
      <c r="Y294" s="243"/>
      <c r="Z294" s="243"/>
      <c r="AA294" s="243"/>
      <c r="AB294" s="462" t="s">
        <v>759</v>
      </c>
      <c r="AC294" s="53"/>
      <c r="AD294" s="70">
        <v>430000</v>
      </c>
      <c r="AE294" s="59" t="s">
        <v>227</v>
      </c>
      <c r="AF294" s="16"/>
    </row>
    <row r="295" spans="1:32" s="15" customFormat="1" ht="24" customHeight="1">
      <c r="A295" s="47"/>
      <c r="B295" s="47"/>
      <c r="C295" s="47"/>
      <c r="D295" s="210"/>
      <c r="E295" s="121"/>
      <c r="F295" s="121"/>
      <c r="G295" s="121"/>
      <c r="H295" s="121"/>
      <c r="I295" s="121"/>
      <c r="J295" s="121"/>
      <c r="K295" s="121"/>
      <c r="L295" s="121"/>
      <c r="M295" s="121"/>
      <c r="N295" s="72"/>
      <c r="O295" s="433" t="s">
        <v>774</v>
      </c>
      <c r="P295" s="244"/>
      <c r="Q295" s="244"/>
      <c r="R295" s="31"/>
      <c r="S295" s="31"/>
      <c r="T295" s="31"/>
      <c r="U295" s="31"/>
      <c r="V295" s="31"/>
      <c r="W295" s="243"/>
      <c r="X295" s="243"/>
      <c r="Y295" s="243"/>
      <c r="Z295" s="243"/>
      <c r="AA295" s="243"/>
      <c r="AB295" s="462" t="s">
        <v>759</v>
      </c>
      <c r="AC295" s="53"/>
      <c r="AD295" s="70">
        <v>1000000</v>
      </c>
      <c r="AE295" s="59" t="s">
        <v>240</v>
      </c>
      <c r="AF295" s="16"/>
    </row>
    <row r="296" spans="1:32" s="15" customFormat="1" ht="24" customHeight="1">
      <c r="A296" s="47"/>
      <c r="B296" s="47"/>
      <c r="C296" s="47"/>
      <c r="D296" s="210"/>
      <c r="E296" s="121"/>
      <c r="F296" s="121"/>
      <c r="G296" s="121"/>
      <c r="H296" s="121"/>
      <c r="I296" s="121"/>
      <c r="J296" s="121"/>
      <c r="K296" s="121"/>
      <c r="L296" s="121"/>
      <c r="M296" s="121"/>
      <c r="N296" s="72"/>
      <c r="O296" s="242"/>
      <c r="P296" s="244"/>
      <c r="Q296" s="244"/>
      <c r="R296" s="31"/>
      <c r="S296" s="31"/>
      <c r="T296" s="31"/>
      <c r="U296" s="31"/>
      <c r="V296" s="31"/>
      <c r="W296" s="243"/>
      <c r="X296" s="243"/>
      <c r="Y296" s="243"/>
      <c r="Z296" s="243"/>
      <c r="AA296" s="243"/>
      <c r="AB296" s="243"/>
      <c r="AC296" s="53"/>
      <c r="AD296" s="53"/>
      <c r="AE296" s="35"/>
      <c r="AF296" s="16"/>
    </row>
    <row r="297" spans="1:32" s="15" customFormat="1" ht="24" customHeight="1">
      <c r="A297" s="47"/>
      <c r="B297" s="47"/>
      <c r="C297" s="47"/>
      <c r="D297" s="210"/>
      <c r="E297" s="121"/>
      <c r="F297" s="121"/>
      <c r="G297" s="121"/>
      <c r="H297" s="121"/>
      <c r="I297" s="121"/>
      <c r="J297" s="121"/>
      <c r="K297" s="121"/>
      <c r="L297" s="121"/>
      <c r="M297" s="121"/>
      <c r="N297" s="72"/>
      <c r="O297" s="73" t="s">
        <v>242</v>
      </c>
      <c r="P297" s="129"/>
      <c r="Q297" s="244"/>
      <c r="R297" s="31"/>
      <c r="S297" s="31"/>
      <c r="T297" s="31"/>
      <c r="U297" s="31"/>
      <c r="V297" s="31"/>
      <c r="W297" s="237" t="s">
        <v>229</v>
      </c>
      <c r="X297" s="237"/>
      <c r="Y297" s="237"/>
      <c r="Z297" s="237"/>
      <c r="AA297" s="237"/>
      <c r="AB297" s="237"/>
      <c r="AC297" s="74"/>
      <c r="AD297" s="74">
        <f>SUM(AD298:AD304)</f>
        <v>13275000</v>
      </c>
      <c r="AE297" s="75" t="s">
        <v>25</v>
      </c>
      <c r="AF297" s="16"/>
    </row>
    <row r="298" spans="1:32" s="15" customFormat="1" ht="24" customHeight="1">
      <c r="A298" s="47"/>
      <c r="B298" s="47"/>
      <c r="C298" s="47"/>
      <c r="D298" s="210"/>
      <c r="E298" s="121"/>
      <c r="F298" s="121"/>
      <c r="G298" s="121"/>
      <c r="H298" s="121"/>
      <c r="I298" s="121"/>
      <c r="J298" s="121"/>
      <c r="K298" s="121"/>
      <c r="L298" s="121"/>
      <c r="M298" s="121"/>
      <c r="N298" s="72"/>
      <c r="O298" s="273" t="s">
        <v>318</v>
      </c>
      <c r="P298" s="244"/>
      <c r="Q298" s="244"/>
      <c r="R298" s="31"/>
      <c r="S298" s="31"/>
      <c r="T298" s="31"/>
      <c r="U298" s="31"/>
      <c r="V298" s="31"/>
      <c r="W298" s="243"/>
      <c r="X298" s="243"/>
      <c r="Y298" s="243"/>
      <c r="Z298" s="243"/>
      <c r="AA298" s="243"/>
      <c r="AB298" s="462" t="s">
        <v>759</v>
      </c>
      <c r="AC298" s="53"/>
      <c r="AD298" s="70">
        <v>600000</v>
      </c>
      <c r="AE298" s="59" t="s">
        <v>227</v>
      </c>
      <c r="AF298" s="16"/>
    </row>
    <row r="299" spans="1:32" s="15" customFormat="1" ht="24" customHeight="1">
      <c r="A299" s="47"/>
      <c r="B299" s="47"/>
      <c r="C299" s="47"/>
      <c r="D299" s="210"/>
      <c r="E299" s="121"/>
      <c r="F299" s="121"/>
      <c r="G299" s="121"/>
      <c r="H299" s="121"/>
      <c r="I299" s="121"/>
      <c r="J299" s="121"/>
      <c r="K299" s="121"/>
      <c r="L299" s="121"/>
      <c r="M299" s="121"/>
      <c r="N299" s="72"/>
      <c r="O299" s="463" t="s">
        <v>760</v>
      </c>
      <c r="P299" s="244"/>
      <c r="Q299" s="244"/>
      <c r="R299" s="31"/>
      <c r="S299" s="31"/>
      <c r="T299" s="31"/>
      <c r="U299" s="31"/>
      <c r="V299" s="31"/>
      <c r="W299" s="243"/>
      <c r="X299" s="243"/>
      <c r="Y299" s="243"/>
      <c r="Z299" s="243"/>
      <c r="AA299" s="243"/>
      <c r="AB299" s="462" t="s">
        <v>759</v>
      </c>
      <c r="AC299" s="53"/>
      <c r="AD299" s="70">
        <v>600000</v>
      </c>
      <c r="AE299" s="59" t="s">
        <v>227</v>
      </c>
      <c r="AF299" s="16"/>
    </row>
    <row r="300" spans="1:32" s="15" customFormat="1" ht="24" customHeight="1">
      <c r="A300" s="47"/>
      <c r="B300" s="47"/>
      <c r="C300" s="47"/>
      <c r="D300" s="210"/>
      <c r="E300" s="121"/>
      <c r="F300" s="121"/>
      <c r="G300" s="121"/>
      <c r="H300" s="121"/>
      <c r="I300" s="121"/>
      <c r="J300" s="121"/>
      <c r="K300" s="121"/>
      <c r="L300" s="121"/>
      <c r="M300" s="121"/>
      <c r="N300" s="72"/>
      <c r="O300" s="463"/>
      <c r="P300" s="251"/>
      <c r="Q300" s="251"/>
      <c r="R300" s="31"/>
      <c r="S300" s="31"/>
      <c r="T300" s="31"/>
      <c r="U300" s="31"/>
      <c r="V300" s="31"/>
      <c r="W300" s="250"/>
      <c r="X300" s="250"/>
      <c r="Y300" s="250"/>
      <c r="Z300" s="250"/>
      <c r="AA300" s="250"/>
      <c r="AB300" s="462" t="s">
        <v>762</v>
      </c>
      <c r="AC300" s="53"/>
      <c r="AD300" s="70">
        <v>1821000</v>
      </c>
      <c r="AE300" s="59" t="s">
        <v>761</v>
      </c>
      <c r="AF300" s="16"/>
    </row>
    <row r="301" spans="1:32" s="15" customFormat="1" ht="24" customHeight="1">
      <c r="A301" s="47"/>
      <c r="B301" s="47"/>
      <c r="C301" s="47"/>
      <c r="D301" s="210"/>
      <c r="E301" s="121"/>
      <c r="F301" s="121"/>
      <c r="G301" s="121"/>
      <c r="H301" s="121"/>
      <c r="I301" s="121"/>
      <c r="J301" s="121"/>
      <c r="K301" s="121"/>
      <c r="L301" s="121"/>
      <c r="M301" s="121"/>
      <c r="N301" s="72"/>
      <c r="O301" s="463" t="s">
        <v>763</v>
      </c>
      <c r="P301" s="251"/>
      <c r="Q301" s="251"/>
      <c r="R301" s="31"/>
      <c r="S301" s="31"/>
      <c r="T301" s="31"/>
      <c r="U301" s="31"/>
      <c r="V301" s="31"/>
      <c r="W301" s="250"/>
      <c r="X301" s="250"/>
      <c r="Y301" s="250"/>
      <c r="Z301" s="250"/>
      <c r="AA301" s="250"/>
      <c r="AB301" s="462" t="s">
        <v>764</v>
      </c>
      <c r="AC301" s="53"/>
      <c r="AD301" s="70">
        <v>2958000</v>
      </c>
      <c r="AE301" s="59" t="s">
        <v>545</v>
      </c>
      <c r="AF301" s="16"/>
    </row>
    <row r="302" spans="1:32" s="15" customFormat="1" ht="24" customHeight="1">
      <c r="A302" s="47"/>
      <c r="B302" s="47"/>
      <c r="C302" s="47"/>
      <c r="D302" s="210"/>
      <c r="E302" s="121"/>
      <c r="F302" s="121"/>
      <c r="G302" s="121"/>
      <c r="H302" s="121"/>
      <c r="I302" s="121"/>
      <c r="J302" s="121"/>
      <c r="K302" s="121"/>
      <c r="L302" s="121"/>
      <c r="M302" s="121"/>
      <c r="N302" s="72"/>
      <c r="O302" s="463" t="s">
        <v>765</v>
      </c>
      <c r="P302" s="463"/>
      <c r="Q302" s="463"/>
      <c r="R302" s="463"/>
      <c r="S302" s="463"/>
      <c r="T302" s="462"/>
      <c r="U302" s="462"/>
      <c r="V302" s="462"/>
      <c r="W302" s="462"/>
      <c r="X302" s="462"/>
      <c r="Y302" s="166"/>
      <c r="Z302" s="166"/>
      <c r="AA302" s="166"/>
      <c r="AB302" s="166" t="s">
        <v>114</v>
      </c>
      <c r="AC302" s="167"/>
      <c r="AD302" s="169">
        <v>5616000</v>
      </c>
      <c r="AE302" s="59" t="s">
        <v>57</v>
      </c>
      <c r="AF302" s="16"/>
    </row>
    <row r="303" spans="1:32" s="15" customFormat="1" ht="24" customHeight="1">
      <c r="A303" s="47"/>
      <c r="B303" s="47"/>
      <c r="C303" s="47"/>
      <c r="D303" s="210"/>
      <c r="E303" s="121"/>
      <c r="F303" s="121"/>
      <c r="G303" s="121"/>
      <c r="H303" s="121"/>
      <c r="I303" s="121"/>
      <c r="J303" s="121"/>
      <c r="K303" s="121"/>
      <c r="L303" s="121"/>
      <c r="M303" s="121"/>
      <c r="N303" s="72"/>
      <c r="O303" s="463"/>
      <c r="P303" s="463"/>
      <c r="Q303" s="463"/>
      <c r="R303" s="463"/>
      <c r="S303" s="463"/>
      <c r="T303" s="462"/>
      <c r="U303" s="462"/>
      <c r="V303" s="462"/>
      <c r="W303" s="462"/>
      <c r="X303" s="462"/>
      <c r="Y303" s="166"/>
      <c r="Z303" s="166"/>
      <c r="AA303" s="166"/>
      <c r="AB303" s="166" t="s">
        <v>553</v>
      </c>
      <c r="AC303" s="167"/>
      <c r="AD303" s="169">
        <v>860000</v>
      </c>
      <c r="AE303" s="59" t="s">
        <v>57</v>
      </c>
      <c r="AF303" s="16"/>
    </row>
    <row r="304" spans="1:32" s="15" customFormat="1" ht="24" customHeight="1">
      <c r="A304" s="47"/>
      <c r="B304" s="47"/>
      <c r="C304" s="47"/>
      <c r="D304" s="210"/>
      <c r="E304" s="121"/>
      <c r="F304" s="121"/>
      <c r="G304" s="121"/>
      <c r="H304" s="121"/>
      <c r="I304" s="121"/>
      <c r="J304" s="121"/>
      <c r="K304" s="121"/>
      <c r="L304" s="121"/>
      <c r="M304" s="121"/>
      <c r="N304" s="72"/>
      <c r="O304" s="409" t="s">
        <v>551</v>
      </c>
      <c r="P304" s="244"/>
      <c r="Q304" s="244"/>
      <c r="R304" s="31"/>
      <c r="S304" s="31"/>
      <c r="T304" s="31"/>
      <c r="U304" s="31"/>
      <c r="V304" s="31"/>
      <c r="W304" s="243"/>
      <c r="X304" s="243"/>
      <c r="Y304" s="243"/>
      <c r="Z304" s="243"/>
      <c r="AA304" s="243"/>
      <c r="AB304" s="462" t="s">
        <v>764</v>
      </c>
      <c r="AC304" s="53"/>
      <c r="AD304" s="70">
        <v>820000</v>
      </c>
      <c r="AE304" s="59" t="s">
        <v>227</v>
      </c>
      <c r="AF304" s="16"/>
    </row>
    <row r="305" spans="1:32" s="15" customFormat="1" ht="24" customHeight="1">
      <c r="A305" s="47"/>
      <c r="B305" s="47"/>
      <c r="C305" s="47"/>
      <c r="D305" s="210"/>
      <c r="E305" s="121"/>
      <c r="F305" s="121"/>
      <c r="G305" s="121"/>
      <c r="H305" s="121"/>
      <c r="I305" s="121"/>
      <c r="J305" s="121"/>
      <c r="K305" s="121"/>
      <c r="L305" s="121"/>
      <c r="M305" s="121"/>
      <c r="N305" s="72"/>
      <c r="O305" s="242"/>
      <c r="P305" s="244"/>
      <c r="Q305" s="244"/>
      <c r="R305" s="31"/>
      <c r="S305" s="31"/>
      <c r="T305" s="31"/>
      <c r="U305" s="31"/>
      <c r="V305" s="31"/>
      <c r="W305" s="243"/>
      <c r="X305" s="243"/>
      <c r="Y305" s="243"/>
      <c r="Z305" s="243"/>
      <c r="AA305" s="243"/>
      <c r="AB305" s="243"/>
      <c r="AC305" s="53"/>
      <c r="AD305" s="70"/>
      <c r="AE305" s="59"/>
      <c r="AF305" s="16"/>
    </row>
    <row r="306" spans="1:32" s="15" customFormat="1" ht="24" customHeight="1">
      <c r="A306" s="47"/>
      <c r="B306" s="47"/>
      <c r="C306" s="47"/>
      <c r="D306" s="210"/>
      <c r="E306" s="121"/>
      <c r="F306" s="121"/>
      <c r="G306" s="121"/>
      <c r="H306" s="121"/>
      <c r="I306" s="121"/>
      <c r="J306" s="121"/>
      <c r="K306" s="121"/>
      <c r="L306" s="121"/>
      <c r="M306" s="121"/>
      <c r="N306" s="72"/>
      <c r="O306" s="73" t="s">
        <v>243</v>
      </c>
      <c r="P306" s="129"/>
      <c r="Q306" s="244"/>
      <c r="R306" s="31"/>
      <c r="S306" s="31"/>
      <c r="T306" s="31"/>
      <c r="U306" s="31"/>
      <c r="V306" s="31"/>
      <c r="W306" s="237" t="s">
        <v>229</v>
      </c>
      <c r="X306" s="237"/>
      <c r="Y306" s="237"/>
      <c r="Z306" s="237"/>
      <c r="AA306" s="237"/>
      <c r="AB306" s="237"/>
      <c r="AC306" s="74"/>
      <c r="AD306" s="74">
        <f>SUM(AD307:AD314)</f>
        <v>6897000</v>
      </c>
      <c r="AE306" s="75" t="s">
        <v>25</v>
      </c>
      <c r="AF306" s="16"/>
    </row>
    <row r="307" spans="1:32" s="15" customFormat="1" ht="24" customHeight="1">
      <c r="A307" s="47"/>
      <c r="B307" s="47"/>
      <c r="C307" s="47"/>
      <c r="D307" s="210"/>
      <c r="E307" s="121"/>
      <c r="F307" s="121"/>
      <c r="G307" s="121"/>
      <c r="H307" s="121"/>
      <c r="I307" s="121"/>
      <c r="J307" s="121"/>
      <c r="K307" s="121"/>
      <c r="L307" s="121"/>
      <c r="M307" s="121"/>
      <c r="N307" s="72"/>
      <c r="O307" s="273" t="s">
        <v>319</v>
      </c>
      <c r="P307" s="170"/>
      <c r="Q307" s="170"/>
      <c r="R307" s="170"/>
      <c r="S307" s="170"/>
      <c r="T307" s="170"/>
      <c r="U307" s="170"/>
      <c r="V307" s="170"/>
      <c r="W307" s="170"/>
      <c r="X307" s="170"/>
      <c r="Y307" s="170"/>
      <c r="Z307" s="170"/>
      <c r="AA307" s="170"/>
      <c r="AB307" s="170" t="s">
        <v>755</v>
      </c>
      <c r="AC307" s="170"/>
      <c r="AD307" s="171">
        <v>270000</v>
      </c>
      <c r="AE307" s="172" t="s">
        <v>68</v>
      </c>
      <c r="AF307" s="16"/>
    </row>
    <row r="308" spans="1:32" s="15" customFormat="1" ht="24" customHeight="1">
      <c r="A308" s="47"/>
      <c r="B308" s="47"/>
      <c r="C308" s="47"/>
      <c r="D308" s="210"/>
      <c r="E308" s="121"/>
      <c r="F308" s="121"/>
      <c r="G308" s="121"/>
      <c r="H308" s="121"/>
      <c r="I308" s="121"/>
      <c r="J308" s="121"/>
      <c r="K308" s="121"/>
      <c r="L308" s="121"/>
      <c r="M308" s="121"/>
      <c r="N308" s="72"/>
      <c r="O308" s="409" t="s">
        <v>552</v>
      </c>
      <c r="P308" s="170"/>
      <c r="Q308" s="170"/>
      <c r="R308" s="170"/>
      <c r="S308" s="170"/>
      <c r="T308" s="170"/>
      <c r="U308" s="170"/>
      <c r="V308" s="170"/>
      <c r="W308" s="170"/>
      <c r="X308" s="170"/>
      <c r="Y308" s="170"/>
      <c r="Z308" s="170"/>
      <c r="AA308" s="170"/>
      <c r="AB308" s="170" t="s">
        <v>550</v>
      </c>
      <c r="AC308" s="170"/>
      <c r="AD308" s="171">
        <v>2000000</v>
      </c>
      <c r="AE308" s="172" t="s">
        <v>68</v>
      </c>
      <c r="AF308" s="16"/>
    </row>
    <row r="309" spans="1:32" s="15" customFormat="1" ht="24" customHeight="1">
      <c r="A309" s="47"/>
      <c r="B309" s="47"/>
      <c r="C309" s="47"/>
      <c r="D309" s="210"/>
      <c r="E309" s="121"/>
      <c r="F309" s="121"/>
      <c r="G309" s="121"/>
      <c r="H309" s="121"/>
      <c r="I309" s="121"/>
      <c r="J309" s="121"/>
      <c r="K309" s="121"/>
      <c r="L309" s="121"/>
      <c r="M309" s="121"/>
      <c r="N309" s="72"/>
      <c r="O309" s="409"/>
      <c r="P309" s="170"/>
      <c r="Q309" s="170"/>
      <c r="R309" s="170"/>
      <c r="S309" s="170"/>
      <c r="T309" s="170"/>
      <c r="U309" s="170"/>
      <c r="V309" s="170"/>
      <c r="W309" s="170"/>
      <c r="X309" s="170"/>
      <c r="Y309" s="170"/>
      <c r="Z309" s="170"/>
      <c r="AA309" s="170"/>
      <c r="AB309" s="170" t="s">
        <v>547</v>
      </c>
      <c r="AC309" s="170"/>
      <c r="AD309" s="171">
        <v>440000</v>
      </c>
      <c r="AE309" s="172" t="s">
        <v>545</v>
      </c>
      <c r="AF309" s="16"/>
    </row>
    <row r="310" spans="1:32" s="15" customFormat="1" ht="24" customHeight="1">
      <c r="A310" s="47"/>
      <c r="B310" s="47"/>
      <c r="C310" s="47"/>
      <c r="D310" s="210"/>
      <c r="E310" s="121"/>
      <c r="F310" s="121"/>
      <c r="G310" s="121"/>
      <c r="H310" s="121"/>
      <c r="I310" s="121"/>
      <c r="J310" s="121"/>
      <c r="K310" s="121"/>
      <c r="L310" s="121"/>
      <c r="M310" s="121"/>
      <c r="N310" s="72"/>
      <c r="O310" s="463" t="s">
        <v>766</v>
      </c>
      <c r="P310" s="170"/>
      <c r="Q310" s="170"/>
      <c r="R310" s="170"/>
      <c r="S310" s="170"/>
      <c r="T310" s="170"/>
      <c r="U310" s="170"/>
      <c r="V310" s="170"/>
      <c r="W310" s="170"/>
      <c r="X310" s="170"/>
      <c r="Y310" s="170"/>
      <c r="Z310" s="170"/>
      <c r="AA310" s="170"/>
      <c r="AB310" s="170" t="s">
        <v>756</v>
      </c>
      <c r="AC310" s="170"/>
      <c r="AD310" s="171">
        <v>520000</v>
      </c>
      <c r="AE310" s="172" t="s">
        <v>68</v>
      </c>
      <c r="AF310" s="16"/>
    </row>
    <row r="311" spans="1:32" s="15" customFormat="1" ht="24" customHeight="1">
      <c r="A311" s="47"/>
      <c r="B311" s="47"/>
      <c r="C311" s="47"/>
      <c r="D311" s="210"/>
      <c r="E311" s="121"/>
      <c r="F311" s="121"/>
      <c r="G311" s="121"/>
      <c r="H311" s="121"/>
      <c r="I311" s="121"/>
      <c r="J311" s="121"/>
      <c r="K311" s="121"/>
      <c r="L311" s="121"/>
      <c r="M311" s="121"/>
      <c r="N311" s="72"/>
      <c r="O311" s="242" t="s">
        <v>248</v>
      </c>
      <c r="P311" s="170"/>
      <c r="Q311" s="170"/>
      <c r="R311" s="170"/>
      <c r="S311" s="170"/>
      <c r="T311" s="170"/>
      <c r="U311" s="170"/>
      <c r="V311" s="170"/>
      <c r="W311" s="170"/>
      <c r="X311" s="170"/>
      <c r="Y311" s="170"/>
      <c r="Z311" s="170"/>
      <c r="AA311" s="170"/>
      <c r="AB311" s="170" t="s">
        <v>548</v>
      </c>
      <c r="AC311" s="170"/>
      <c r="AD311" s="171">
        <v>708000</v>
      </c>
      <c r="AE311" s="172" t="s">
        <v>68</v>
      </c>
      <c r="AF311" s="16"/>
    </row>
    <row r="312" spans="1:32" s="15" customFormat="1" ht="24" customHeight="1">
      <c r="A312" s="47"/>
      <c r="B312" s="47"/>
      <c r="C312" s="47"/>
      <c r="D312" s="210"/>
      <c r="E312" s="121"/>
      <c r="F312" s="121"/>
      <c r="G312" s="121"/>
      <c r="H312" s="121"/>
      <c r="I312" s="121"/>
      <c r="J312" s="121"/>
      <c r="K312" s="121"/>
      <c r="L312" s="121"/>
      <c r="M312" s="121"/>
      <c r="N312" s="72"/>
      <c r="O312" s="270" t="s">
        <v>305</v>
      </c>
      <c r="P312" s="170"/>
      <c r="Q312" s="170"/>
      <c r="R312" s="170"/>
      <c r="S312" s="170"/>
      <c r="T312" s="170"/>
      <c r="U312" s="170"/>
      <c r="V312" s="170"/>
      <c r="W312" s="170"/>
      <c r="X312" s="170"/>
      <c r="Y312" s="170"/>
      <c r="Z312" s="170"/>
      <c r="AA312" s="170"/>
      <c r="AB312" s="170" t="s">
        <v>312</v>
      </c>
      <c r="AC312" s="170"/>
      <c r="AD312" s="171">
        <v>2000000</v>
      </c>
      <c r="AE312" s="172" t="s">
        <v>68</v>
      </c>
      <c r="AF312" s="16"/>
    </row>
    <row r="313" spans="1:32" s="15" customFormat="1" ht="24" customHeight="1">
      <c r="A313" s="47"/>
      <c r="B313" s="47"/>
      <c r="C313" s="47"/>
      <c r="D313" s="210"/>
      <c r="E313" s="121"/>
      <c r="F313" s="121"/>
      <c r="G313" s="121"/>
      <c r="H313" s="121"/>
      <c r="I313" s="121"/>
      <c r="J313" s="121"/>
      <c r="K313" s="121"/>
      <c r="L313" s="121"/>
      <c r="M313" s="121"/>
      <c r="N313" s="72"/>
      <c r="O313" s="409"/>
      <c r="P313" s="170"/>
      <c r="Q313" s="170"/>
      <c r="R313" s="170"/>
      <c r="S313" s="170"/>
      <c r="T313" s="170"/>
      <c r="U313" s="170"/>
      <c r="V313" s="170"/>
      <c r="W313" s="170"/>
      <c r="X313" s="170"/>
      <c r="Y313" s="170"/>
      <c r="Z313" s="170"/>
      <c r="AA313" s="170"/>
      <c r="AB313" s="170" t="s">
        <v>548</v>
      </c>
      <c r="AC313" s="170"/>
      <c r="AD313" s="171">
        <v>389000</v>
      </c>
      <c r="AE313" s="172" t="s">
        <v>545</v>
      </c>
      <c r="AF313" s="16"/>
    </row>
    <row r="314" spans="1:32" s="15" customFormat="1" ht="24" customHeight="1">
      <c r="A314" s="47"/>
      <c r="B314" s="47"/>
      <c r="C314" s="47"/>
      <c r="D314" s="210"/>
      <c r="E314" s="121"/>
      <c r="F314" s="121"/>
      <c r="G314" s="121"/>
      <c r="H314" s="121"/>
      <c r="I314" s="121"/>
      <c r="J314" s="121"/>
      <c r="K314" s="121"/>
      <c r="L314" s="121"/>
      <c r="M314" s="121"/>
      <c r="N314" s="72"/>
      <c r="O314" s="253" t="s">
        <v>297</v>
      </c>
      <c r="P314" s="170"/>
      <c r="Q314" s="170"/>
      <c r="R314" s="170"/>
      <c r="S314" s="170"/>
      <c r="T314" s="170"/>
      <c r="U314" s="170"/>
      <c r="V314" s="170"/>
      <c r="W314" s="170"/>
      <c r="X314" s="170"/>
      <c r="Y314" s="170"/>
      <c r="Z314" s="170"/>
      <c r="AA314" s="170"/>
      <c r="AB314" s="170" t="s">
        <v>756</v>
      </c>
      <c r="AC314" s="170"/>
      <c r="AD314" s="171">
        <v>570000</v>
      </c>
      <c r="AE314" s="172" t="s">
        <v>227</v>
      </c>
      <c r="AF314" s="16"/>
    </row>
    <row r="315" spans="1:32" s="15" customFormat="1" ht="24" customHeight="1">
      <c r="A315" s="47"/>
      <c r="B315" s="47"/>
      <c r="C315" s="47"/>
      <c r="D315" s="210"/>
      <c r="E315" s="121"/>
      <c r="F315" s="121"/>
      <c r="G315" s="121"/>
      <c r="H315" s="121"/>
      <c r="I315" s="121"/>
      <c r="J315" s="121"/>
      <c r="K315" s="121"/>
      <c r="L315" s="121"/>
      <c r="M315" s="121"/>
      <c r="N315" s="72"/>
      <c r="O315" s="242"/>
      <c r="P315" s="170"/>
      <c r="Q315" s="170"/>
      <c r="R315" s="170"/>
      <c r="S315" s="170"/>
      <c r="T315" s="170"/>
      <c r="U315" s="170"/>
      <c r="V315" s="170"/>
      <c r="W315" s="170"/>
      <c r="X315" s="170"/>
      <c r="Y315" s="170"/>
      <c r="Z315" s="170"/>
      <c r="AA315" s="170"/>
      <c r="AB315" s="170"/>
      <c r="AC315" s="170"/>
      <c r="AD315" s="171"/>
      <c r="AE315" s="172"/>
      <c r="AF315" s="16"/>
    </row>
    <row r="316" spans="1:32" s="15" customFormat="1" ht="24" customHeight="1">
      <c r="A316" s="47"/>
      <c r="B316" s="47"/>
      <c r="C316" s="47"/>
      <c r="D316" s="210"/>
      <c r="E316" s="121"/>
      <c r="F316" s="121"/>
      <c r="G316" s="121"/>
      <c r="H316" s="121"/>
      <c r="I316" s="121"/>
      <c r="J316" s="121"/>
      <c r="K316" s="121"/>
      <c r="L316" s="121"/>
      <c r="M316" s="121"/>
      <c r="N316" s="72"/>
      <c r="O316" s="73" t="s">
        <v>790</v>
      </c>
      <c r="P316" s="129"/>
      <c r="Q316" s="244"/>
      <c r="R316" s="31"/>
      <c r="S316" s="31"/>
      <c r="T316" s="31"/>
      <c r="U316" s="31"/>
      <c r="V316" s="31"/>
      <c r="W316" s="237" t="s">
        <v>229</v>
      </c>
      <c r="X316" s="237"/>
      <c r="Y316" s="237"/>
      <c r="Z316" s="237"/>
      <c r="AA316" s="237"/>
      <c r="AB316" s="237"/>
      <c r="AC316" s="74"/>
      <c r="AD316" s="74">
        <f>SUM(AD317:AD317)</f>
        <v>130000</v>
      </c>
      <c r="AE316" s="75" t="s">
        <v>25</v>
      </c>
      <c r="AF316" s="16"/>
    </row>
    <row r="317" spans="1:32" s="15" customFormat="1" ht="24" customHeight="1">
      <c r="A317" s="47"/>
      <c r="B317" s="47"/>
      <c r="C317" s="48"/>
      <c r="D317" s="210"/>
      <c r="E317" s="121"/>
      <c r="F317" s="121"/>
      <c r="G317" s="121"/>
      <c r="H317" s="121"/>
      <c r="I317" s="121"/>
      <c r="J317" s="121"/>
      <c r="K317" s="121"/>
      <c r="L317" s="121"/>
      <c r="M317" s="121"/>
      <c r="N317" s="72"/>
      <c r="O317" s="463" t="s">
        <v>767</v>
      </c>
      <c r="P317" s="244"/>
      <c r="Q317" s="244"/>
      <c r="R317" s="31"/>
      <c r="S317" s="31"/>
      <c r="T317" s="31"/>
      <c r="U317" s="31"/>
      <c r="V317" s="31"/>
      <c r="W317" s="241"/>
      <c r="X317" s="241"/>
      <c r="Y317" s="241"/>
      <c r="Z317" s="241"/>
      <c r="AA317" s="241"/>
      <c r="AB317" s="462" t="s">
        <v>758</v>
      </c>
      <c r="AC317" s="70"/>
      <c r="AD317" s="70">
        <v>130000</v>
      </c>
      <c r="AE317" s="59" t="s">
        <v>227</v>
      </c>
      <c r="AF317" s="16"/>
    </row>
    <row r="318" spans="1:32" s="15" customFormat="1" ht="24" customHeight="1">
      <c r="A318" s="47"/>
      <c r="B318" s="47"/>
      <c r="C318" s="48"/>
      <c r="D318" s="210"/>
      <c r="E318" s="121"/>
      <c r="F318" s="121"/>
      <c r="G318" s="121"/>
      <c r="H318" s="121"/>
      <c r="I318" s="121"/>
      <c r="J318" s="121"/>
      <c r="K318" s="121"/>
      <c r="L318" s="121"/>
      <c r="M318" s="121"/>
      <c r="N318" s="72"/>
      <c r="O318" s="417"/>
      <c r="P318" s="251"/>
      <c r="Q318" s="251"/>
      <c r="R318" s="31"/>
      <c r="S318" s="31"/>
      <c r="T318" s="31"/>
      <c r="U318" s="31"/>
      <c r="V318" s="31"/>
      <c r="W318" s="416"/>
      <c r="X318" s="416"/>
      <c r="Y318" s="416"/>
      <c r="Z318" s="416"/>
      <c r="AA318" s="416"/>
      <c r="AB318" s="416"/>
      <c r="AC318" s="70"/>
      <c r="AD318" s="70"/>
      <c r="AE318" s="59"/>
      <c r="AF318" s="16"/>
    </row>
    <row r="319" spans="1:32" s="15" customFormat="1" ht="24" customHeight="1">
      <c r="A319" s="47"/>
      <c r="B319" s="47"/>
      <c r="C319" s="48"/>
      <c r="D319" s="210"/>
      <c r="E319" s="121"/>
      <c r="F319" s="121"/>
      <c r="G319" s="121"/>
      <c r="H319" s="121"/>
      <c r="I319" s="121"/>
      <c r="J319" s="121"/>
      <c r="K319" s="121"/>
      <c r="L319" s="121"/>
      <c r="M319" s="121"/>
      <c r="N319" s="72"/>
      <c r="O319" s="73" t="s">
        <v>788</v>
      </c>
      <c r="P319" s="129"/>
      <c r="Q319" s="251"/>
      <c r="R319" s="31"/>
      <c r="S319" s="31"/>
      <c r="T319" s="31"/>
      <c r="U319" s="31"/>
      <c r="V319" s="31"/>
      <c r="W319" s="418" t="s">
        <v>229</v>
      </c>
      <c r="X319" s="418"/>
      <c r="Y319" s="418"/>
      <c r="Z319" s="418"/>
      <c r="AA319" s="418"/>
      <c r="AB319" s="418"/>
      <c r="AC319" s="74"/>
      <c r="AD319" s="74">
        <f>SUM(AD320:AD322)</f>
        <v>4881000</v>
      </c>
      <c r="AE319" s="75" t="s">
        <v>25</v>
      </c>
      <c r="AF319" s="16"/>
    </row>
    <row r="320" spans="1:32" s="15" customFormat="1" ht="24" customHeight="1">
      <c r="A320" s="47"/>
      <c r="B320" s="47"/>
      <c r="C320" s="48"/>
      <c r="D320" s="210"/>
      <c r="E320" s="121"/>
      <c r="F320" s="121"/>
      <c r="G320" s="121"/>
      <c r="H320" s="121"/>
      <c r="I320" s="121"/>
      <c r="J320" s="121"/>
      <c r="K320" s="121"/>
      <c r="L320" s="121"/>
      <c r="M320" s="121"/>
      <c r="N320" s="72"/>
      <c r="O320" s="433" t="s">
        <v>775</v>
      </c>
      <c r="P320" s="251"/>
      <c r="Q320" s="251"/>
      <c r="R320" s="31"/>
      <c r="S320" s="31"/>
      <c r="T320" s="31"/>
      <c r="U320" s="31"/>
      <c r="V320" s="31"/>
      <c r="W320" s="416"/>
      <c r="X320" s="416"/>
      <c r="Y320" s="416"/>
      <c r="Z320" s="416"/>
      <c r="AA320" s="416"/>
      <c r="AB320" s="462" t="s">
        <v>758</v>
      </c>
      <c r="AC320" s="70"/>
      <c r="AD320" s="70">
        <v>1000000</v>
      </c>
      <c r="AE320" s="59" t="s">
        <v>57</v>
      </c>
      <c r="AF320" s="16"/>
    </row>
    <row r="321" spans="1:32" s="15" customFormat="1" ht="24" customHeight="1">
      <c r="A321" s="47"/>
      <c r="B321" s="47"/>
      <c r="C321" s="48"/>
      <c r="D321" s="210"/>
      <c r="E321" s="121"/>
      <c r="F321" s="121"/>
      <c r="G321" s="121"/>
      <c r="H321" s="121"/>
      <c r="I321" s="121"/>
      <c r="J321" s="121"/>
      <c r="K321" s="121"/>
      <c r="L321" s="121"/>
      <c r="M321" s="121"/>
      <c r="N321" s="72"/>
      <c r="O321" s="433" t="s">
        <v>776</v>
      </c>
      <c r="P321" s="251"/>
      <c r="Q321" s="251"/>
      <c r="R321" s="31"/>
      <c r="S321" s="31"/>
      <c r="T321" s="31"/>
      <c r="U321" s="31"/>
      <c r="V321" s="31"/>
      <c r="W321" s="416"/>
      <c r="X321" s="416"/>
      <c r="Y321" s="416"/>
      <c r="Z321" s="416"/>
      <c r="AA321" s="416"/>
      <c r="AB321" s="462" t="s">
        <v>758</v>
      </c>
      <c r="AC321" s="70"/>
      <c r="AD321" s="70">
        <v>3000000</v>
      </c>
      <c r="AE321" s="59" t="s">
        <v>57</v>
      </c>
      <c r="AF321" s="16"/>
    </row>
    <row r="322" spans="1:32" s="15" customFormat="1" ht="24" customHeight="1">
      <c r="A322" s="47"/>
      <c r="B322" s="47"/>
      <c r="C322" s="48"/>
      <c r="D322" s="210"/>
      <c r="E322" s="121"/>
      <c r="F322" s="121"/>
      <c r="G322" s="121"/>
      <c r="H322" s="121"/>
      <c r="I322" s="121"/>
      <c r="J322" s="121"/>
      <c r="K322" s="121"/>
      <c r="L322" s="121"/>
      <c r="M322" s="121"/>
      <c r="N322" s="72"/>
      <c r="O322" s="433" t="s">
        <v>777</v>
      </c>
      <c r="P322" s="251"/>
      <c r="Q322" s="251"/>
      <c r="R322" s="31"/>
      <c r="S322" s="31"/>
      <c r="T322" s="31"/>
      <c r="U322" s="31"/>
      <c r="V322" s="31"/>
      <c r="W322" s="416"/>
      <c r="X322" s="416"/>
      <c r="Y322" s="416"/>
      <c r="Z322" s="416"/>
      <c r="AA322" s="416"/>
      <c r="AB322" s="462" t="s">
        <v>758</v>
      </c>
      <c r="AC322" s="70"/>
      <c r="AD322" s="70">
        <v>881000</v>
      </c>
      <c r="AE322" s="59" t="s">
        <v>57</v>
      </c>
      <c r="AF322" s="16"/>
    </row>
    <row r="323" spans="1:32" s="15" customFormat="1" ht="24" customHeight="1">
      <c r="A323" s="47"/>
      <c r="B323" s="47"/>
      <c r="C323" s="48"/>
      <c r="D323" s="210"/>
      <c r="E323" s="121"/>
      <c r="F323" s="121"/>
      <c r="G323" s="121"/>
      <c r="H323" s="121"/>
      <c r="I323" s="121"/>
      <c r="J323" s="121"/>
      <c r="K323" s="121"/>
      <c r="L323" s="121"/>
      <c r="M323" s="121"/>
      <c r="N323" s="72"/>
      <c r="O323" s="433"/>
      <c r="P323" s="251"/>
      <c r="Q323" s="251"/>
      <c r="R323" s="31"/>
      <c r="S323" s="31"/>
      <c r="T323" s="31"/>
      <c r="U323" s="31"/>
      <c r="V323" s="31"/>
      <c r="W323" s="462"/>
      <c r="X323" s="462"/>
      <c r="Y323" s="462"/>
      <c r="Z323" s="462"/>
      <c r="AA323" s="462"/>
      <c r="AB323" s="462"/>
      <c r="AC323" s="70"/>
      <c r="AD323" s="70"/>
      <c r="AE323" s="59"/>
      <c r="AF323" s="16"/>
    </row>
    <row r="324" spans="1:32" s="15" customFormat="1" ht="24" customHeight="1">
      <c r="A324" s="47"/>
      <c r="B324" s="47"/>
      <c r="C324" s="48"/>
      <c r="D324" s="210"/>
      <c r="E324" s="121"/>
      <c r="F324" s="121"/>
      <c r="G324" s="121"/>
      <c r="H324" s="121"/>
      <c r="I324" s="121"/>
      <c r="J324" s="121"/>
      <c r="K324" s="121"/>
      <c r="L324" s="121"/>
      <c r="M324" s="121"/>
      <c r="N324" s="72"/>
      <c r="O324" s="73" t="s">
        <v>791</v>
      </c>
      <c r="P324" s="129"/>
      <c r="Q324" s="251"/>
      <c r="R324" s="31"/>
      <c r="S324" s="31"/>
      <c r="T324" s="31"/>
      <c r="U324" s="31"/>
      <c r="V324" s="31"/>
      <c r="W324" s="464" t="s">
        <v>229</v>
      </c>
      <c r="X324" s="464"/>
      <c r="Y324" s="464"/>
      <c r="Z324" s="464"/>
      <c r="AA324" s="464"/>
      <c r="AB324" s="464"/>
      <c r="AC324" s="74"/>
      <c r="AD324" s="74">
        <f>SUM(AD325:AD328)</f>
        <v>4636000</v>
      </c>
      <c r="AE324" s="75" t="s">
        <v>25</v>
      </c>
      <c r="AF324" s="16"/>
    </row>
    <row r="325" spans="1:32" s="15" customFormat="1" ht="24" customHeight="1">
      <c r="A325" s="47"/>
      <c r="B325" s="47"/>
      <c r="C325" s="48"/>
      <c r="D325" s="210"/>
      <c r="E325" s="121"/>
      <c r="F325" s="121"/>
      <c r="G325" s="121"/>
      <c r="H325" s="121"/>
      <c r="I325" s="121"/>
      <c r="J325" s="121"/>
      <c r="K325" s="121"/>
      <c r="L325" s="121"/>
      <c r="M325" s="121"/>
      <c r="N325" s="72"/>
      <c r="O325" s="433" t="s">
        <v>792</v>
      </c>
      <c r="P325" s="251"/>
      <c r="Q325" s="251"/>
      <c r="R325" s="31"/>
      <c r="S325" s="31"/>
      <c r="T325" s="31"/>
      <c r="U325" s="31"/>
      <c r="V325" s="31"/>
      <c r="W325" s="462"/>
      <c r="X325" s="462"/>
      <c r="Y325" s="462"/>
      <c r="Z325" s="462"/>
      <c r="AA325" s="462"/>
      <c r="AB325" s="462" t="s">
        <v>758</v>
      </c>
      <c r="AC325" s="70"/>
      <c r="AD325" s="70">
        <v>800000</v>
      </c>
      <c r="AE325" s="59" t="s">
        <v>57</v>
      </c>
      <c r="AF325" s="16"/>
    </row>
    <row r="326" spans="1:32" s="15" customFormat="1" ht="24" customHeight="1">
      <c r="A326" s="47"/>
      <c r="B326" s="47"/>
      <c r="C326" s="48"/>
      <c r="D326" s="210"/>
      <c r="E326" s="121"/>
      <c r="F326" s="121"/>
      <c r="G326" s="121"/>
      <c r="H326" s="121"/>
      <c r="I326" s="121"/>
      <c r="J326" s="121"/>
      <c r="K326" s="121"/>
      <c r="L326" s="121"/>
      <c r="M326" s="121"/>
      <c r="N326" s="72"/>
      <c r="O326" s="433" t="s">
        <v>793</v>
      </c>
      <c r="P326" s="251"/>
      <c r="Q326" s="251"/>
      <c r="R326" s="31"/>
      <c r="S326" s="31"/>
      <c r="T326" s="31"/>
      <c r="U326" s="31"/>
      <c r="V326" s="31"/>
      <c r="W326" s="462"/>
      <c r="X326" s="462"/>
      <c r="Y326" s="462"/>
      <c r="Z326" s="462"/>
      <c r="AA326" s="462"/>
      <c r="AB326" s="462" t="s">
        <v>758</v>
      </c>
      <c r="AC326" s="70"/>
      <c r="AD326" s="70">
        <v>70000</v>
      </c>
      <c r="AE326" s="59" t="s">
        <v>57</v>
      </c>
      <c r="AF326" s="16"/>
    </row>
    <row r="327" spans="1:32" s="15" customFormat="1" ht="24" customHeight="1">
      <c r="A327" s="47"/>
      <c r="B327" s="47"/>
      <c r="C327" s="48"/>
      <c r="D327" s="210"/>
      <c r="E327" s="121"/>
      <c r="F327" s="121"/>
      <c r="G327" s="121"/>
      <c r="H327" s="121"/>
      <c r="I327" s="121"/>
      <c r="J327" s="121"/>
      <c r="K327" s="121"/>
      <c r="L327" s="121"/>
      <c r="M327" s="121"/>
      <c r="N327" s="72"/>
      <c r="O327" s="446" t="s">
        <v>799</v>
      </c>
      <c r="P327" s="379"/>
      <c r="Q327" s="379"/>
      <c r="R327" s="375"/>
      <c r="S327" s="375"/>
      <c r="T327" s="375"/>
      <c r="U327" s="375"/>
      <c r="V327" s="375"/>
      <c r="W327" s="457"/>
      <c r="X327" s="457"/>
      <c r="Y327" s="457"/>
      <c r="Z327" s="457"/>
      <c r="AA327" s="457"/>
      <c r="AB327" s="457" t="s">
        <v>759</v>
      </c>
      <c r="AC327" s="458"/>
      <c r="AD327" s="458">
        <v>2500000</v>
      </c>
      <c r="AE327" s="471" t="s">
        <v>796</v>
      </c>
      <c r="AF327" s="16"/>
    </row>
    <row r="328" spans="1:32" s="15" customFormat="1" ht="24" customHeight="1">
      <c r="A328" s="47"/>
      <c r="B328" s="47"/>
      <c r="C328" s="48"/>
      <c r="D328" s="210"/>
      <c r="E328" s="121"/>
      <c r="F328" s="121"/>
      <c r="G328" s="121"/>
      <c r="H328" s="121"/>
      <c r="I328" s="121"/>
      <c r="J328" s="121"/>
      <c r="K328" s="121"/>
      <c r="L328" s="121"/>
      <c r="M328" s="121"/>
      <c r="N328" s="72"/>
      <c r="O328" s="446" t="s">
        <v>800</v>
      </c>
      <c r="P328" s="379"/>
      <c r="Q328" s="379"/>
      <c r="R328" s="375"/>
      <c r="S328" s="375"/>
      <c r="T328" s="375"/>
      <c r="U328" s="375"/>
      <c r="V328" s="375"/>
      <c r="W328" s="457"/>
      <c r="X328" s="457"/>
      <c r="Y328" s="457"/>
      <c r="Z328" s="457"/>
      <c r="AA328" s="457"/>
      <c r="AB328" s="457" t="s">
        <v>759</v>
      </c>
      <c r="AC328" s="458"/>
      <c r="AD328" s="458">
        <v>1266000</v>
      </c>
      <c r="AE328" s="471" t="s">
        <v>751</v>
      </c>
      <c r="AF328" s="16"/>
    </row>
    <row r="329" spans="1:32" s="15" customFormat="1" ht="24" customHeight="1">
      <c r="A329" s="47"/>
      <c r="B329" s="47"/>
      <c r="C329" s="48"/>
      <c r="D329" s="210"/>
      <c r="E329" s="121"/>
      <c r="F329" s="121"/>
      <c r="G329" s="121"/>
      <c r="H329" s="121"/>
      <c r="I329" s="121"/>
      <c r="J329" s="121"/>
      <c r="K329" s="121"/>
      <c r="L329" s="121"/>
      <c r="M329" s="121"/>
      <c r="N329" s="72"/>
      <c r="O329" s="433"/>
      <c r="P329" s="251"/>
      <c r="Q329" s="251"/>
      <c r="R329" s="31"/>
      <c r="S329" s="31"/>
      <c r="T329" s="31"/>
      <c r="U329" s="31"/>
      <c r="V329" s="31"/>
      <c r="W329" s="462"/>
      <c r="X329" s="462"/>
      <c r="Y329" s="462"/>
      <c r="Z329" s="462"/>
      <c r="AA329" s="462"/>
      <c r="AB329" s="462"/>
      <c r="AC329" s="70"/>
      <c r="AD329" s="70"/>
      <c r="AE329" s="59"/>
      <c r="AF329" s="16"/>
    </row>
    <row r="330" spans="1:32" s="15" customFormat="1" ht="24" customHeight="1">
      <c r="A330" s="47"/>
      <c r="B330" s="47"/>
      <c r="C330" s="48"/>
      <c r="D330" s="210"/>
      <c r="E330" s="121"/>
      <c r="F330" s="121"/>
      <c r="G330" s="121"/>
      <c r="H330" s="121"/>
      <c r="I330" s="121"/>
      <c r="J330" s="121"/>
      <c r="K330" s="121"/>
      <c r="L330" s="121"/>
      <c r="M330" s="121"/>
      <c r="N330" s="72"/>
      <c r="O330" s="73" t="s">
        <v>789</v>
      </c>
      <c r="P330" s="129"/>
      <c r="Q330" s="251"/>
      <c r="R330" s="31"/>
      <c r="S330" s="31"/>
      <c r="T330" s="31"/>
      <c r="U330" s="31"/>
      <c r="V330" s="31"/>
      <c r="W330" s="418" t="s">
        <v>229</v>
      </c>
      <c r="X330" s="418"/>
      <c r="Y330" s="418"/>
      <c r="Z330" s="418"/>
      <c r="AA330" s="418"/>
      <c r="AB330" s="418"/>
      <c r="AC330" s="74"/>
      <c r="AD330" s="74">
        <f>AD331</f>
        <v>600000</v>
      </c>
      <c r="AE330" s="75" t="s">
        <v>25</v>
      </c>
      <c r="AF330" s="16"/>
    </row>
    <row r="331" spans="1:32" s="15" customFormat="1" ht="24" customHeight="1">
      <c r="A331" s="47"/>
      <c r="B331" s="47"/>
      <c r="C331" s="48"/>
      <c r="D331" s="210"/>
      <c r="E331" s="121"/>
      <c r="F331" s="121"/>
      <c r="G331" s="121"/>
      <c r="H331" s="121"/>
      <c r="I331" s="121"/>
      <c r="J331" s="121"/>
      <c r="K331" s="121"/>
      <c r="L331" s="121"/>
      <c r="M331" s="121"/>
      <c r="N331" s="72"/>
      <c r="O331" s="417" t="s">
        <v>591</v>
      </c>
      <c r="P331" s="251"/>
      <c r="Q331" s="251"/>
      <c r="R331" s="31"/>
      <c r="S331" s="31"/>
      <c r="T331" s="31"/>
      <c r="U331" s="31"/>
      <c r="V331" s="31"/>
      <c r="W331" s="416"/>
      <c r="X331" s="416"/>
      <c r="Y331" s="416"/>
      <c r="Z331" s="416"/>
      <c r="AA331" s="416"/>
      <c r="AB331" s="462" t="s">
        <v>755</v>
      </c>
      <c r="AC331" s="70"/>
      <c r="AD331" s="70">
        <v>600000</v>
      </c>
      <c r="AE331" s="59" t="s">
        <v>579</v>
      </c>
      <c r="AF331" s="16"/>
    </row>
    <row r="332" spans="1:32" s="15" customFormat="1" ht="24" customHeight="1">
      <c r="A332" s="61"/>
      <c r="B332" s="61"/>
      <c r="C332" s="123"/>
      <c r="D332" s="211"/>
      <c r="E332" s="124"/>
      <c r="F332" s="124"/>
      <c r="G332" s="124"/>
      <c r="H332" s="124"/>
      <c r="I332" s="124"/>
      <c r="J332" s="124"/>
      <c r="K332" s="124"/>
      <c r="L332" s="124"/>
      <c r="M332" s="121"/>
      <c r="N332" s="72"/>
      <c r="O332" s="51"/>
      <c r="P332" s="51"/>
      <c r="Q332" s="51"/>
      <c r="R332" s="51"/>
      <c r="S332" s="51"/>
      <c r="T332" s="52"/>
      <c r="U332" s="52"/>
      <c r="V332" s="52"/>
      <c r="W332" s="52"/>
      <c r="X332" s="52"/>
      <c r="Y332" s="166"/>
      <c r="Z332" s="166"/>
      <c r="AA332" s="166"/>
      <c r="AB332" s="166"/>
      <c r="AC332" s="167"/>
      <c r="AD332" s="52"/>
      <c r="AE332" s="59"/>
      <c r="AF332" s="16"/>
    </row>
    <row r="333" spans="1:32" s="11" customFormat="1" ht="21" customHeight="1">
      <c r="A333" s="125" t="s">
        <v>289</v>
      </c>
      <c r="B333" s="612" t="s">
        <v>20</v>
      </c>
      <c r="C333" s="613"/>
      <c r="D333" s="230">
        <f>SUM(D334)</f>
        <v>8111</v>
      </c>
      <c r="E333" s="230">
        <f>SUM(E334)</f>
        <v>6033</v>
      </c>
      <c r="F333" s="230">
        <f t="shared" ref="F333:L333" si="14">SUM(F334)</f>
        <v>3039.201</v>
      </c>
      <c r="G333" s="230">
        <f t="shared" si="14"/>
        <v>2334</v>
      </c>
      <c r="H333" s="230">
        <f t="shared" si="14"/>
        <v>659.52099999999996</v>
      </c>
      <c r="I333" s="230">
        <f t="shared" si="14"/>
        <v>0</v>
      </c>
      <c r="J333" s="230">
        <f t="shared" si="14"/>
        <v>0</v>
      </c>
      <c r="K333" s="230">
        <f t="shared" si="14"/>
        <v>0</v>
      </c>
      <c r="L333" s="230">
        <f t="shared" si="14"/>
        <v>0</v>
      </c>
      <c r="M333" s="230">
        <f>E333-D333</f>
        <v>-2078</v>
      </c>
      <c r="N333" s="231">
        <f>IF(D333=0,0,M333/D333)</f>
        <v>-0.25619529034644312</v>
      </c>
      <c r="O333" s="107" t="s">
        <v>292</v>
      </c>
      <c r="P333" s="232"/>
      <c r="Q333" s="232"/>
      <c r="R333" s="232"/>
      <c r="S333" s="233"/>
      <c r="T333" s="233"/>
      <c r="U333" s="233"/>
      <c r="V333" s="233"/>
      <c r="W333" s="233"/>
      <c r="X333" s="233"/>
      <c r="Y333" s="233"/>
      <c r="Z333" s="233"/>
      <c r="AA333" s="233"/>
      <c r="AB333" s="233"/>
      <c r="AC333" s="233"/>
      <c r="AD333" s="233">
        <f>SUM(AD334)</f>
        <v>6033000</v>
      </c>
      <c r="AE333" s="234" t="s">
        <v>25</v>
      </c>
      <c r="AF333" s="1"/>
    </row>
    <row r="334" spans="1:32" s="11" customFormat="1" ht="21" customHeight="1">
      <c r="A334" s="263" t="s">
        <v>291</v>
      </c>
      <c r="B334" s="47" t="s">
        <v>289</v>
      </c>
      <c r="C334" s="47" t="s">
        <v>289</v>
      </c>
      <c r="D334" s="210">
        <v>8111</v>
      </c>
      <c r="E334" s="121">
        <f>AD334/1000</f>
        <v>6033</v>
      </c>
      <c r="F334" s="121">
        <f>SUM(AD335:AD338)/1000</f>
        <v>3039.201</v>
      </c>
      <c r="G334" s="121">
        <f>ROUND(SUM(AD341:AD344)/1000,0)</f>
        <v>2334</v>
      </c>
      <c r="H334" s="121">
        <f>SUM(AD339:AD340)/1000</f>
        <v>659.52099999999996</v>
      </c>
      <c r="I334" s="121">
        <v>0</v>
      </c>
      <c r="J334" s="121">
        <v>0</v>
      </c>
      <c r="K334" s="121">
        <v>0</v>
      </c>
      <c r="L334" s="121">
        <v>0</v>
      </c>
      <c r="M334" s="121">
        <f>E334-D334</f>
        <v>-2078</v>
      </c>
      <c r="N334" s="72">
        <f>IF(D334=0,0,M334/D334)</f>
        <v>-0.25619529034644312</v>
      </c>
      <c r="O334" s="455" t="s">
        <v>716</v>
      </c>
      <c r="P334" s="33"/>
      <c r="Q334" s="33"/>
      <c r="R334" s="33"/>
      <c r="S334" s="33"/>
      <c r="T334" s="34"/>
      <c r="U334" s="34"/>
      <c r="V334" s="34"/>
      <c r="W334" s="34"/>
      <c r="X334" s="34"/>
      <c r="Y334" s="233" t="s">
        <v>256</v>
      </c>
      <c r="Z334" s="110"/>
      <c r="AA334" s="110"/>
      <c r="AB334" s="110"/>
      <c r="AC334" s="131"/>
      <c r="AD334" s="131">
        <f>ROUND(SUM(AD335:AD345),-3)</f>
        <v>6033000</v>
      </c>
      <c r="AE334" s="132" t="s">
        <v>25</v>
      </c>
      <c r="AF334" s="1"/>
    </row>
    <row r="335" spans="1:32" ht="21" customHeight="1">
      <c r="A335" s="46"/>
      <c r="B335" s="47" t="s">
        <v>290</v>
      </c>
      <c r="C335" s="47" t="s">
        <v>290</v>
      </c>
      <c r="D335" s="210"/>
      <c r="E335" s="121"/>
      <c r="F335" s="121"/>
      <c r="G335" s="121"/>
      <c r="H335" s="121"/>
      <c r="I335" s="121"/>
      <c r="J335" s="121"/>
      <c r="K335" s="121"/>
      <c r="L335" s="121"/>
      <c r="M335" s="121"/>
      <c r="N335" s="72"/>
      <c r="O335" s="446" t="s">
        <v>717</v>
      </c>
      <c r="P335" s="51"/>
      <c r="Q335" s="51"/>
      <c r="R335" s="51"/>
      <c r="S335" s="52"/>
      <c r="T335" s="52"/>
      <c r="U335" s="52"/>
      <c r="V335" s="52"/>
      <c r="W335" s="52"/>
      <c r="X335" s="52"/>
      <c r="Y335" s="52"/>
      <c r="Z335" s="52"/>
      <c r="AA335" s="52"/>
      <c r="AB335" s="143"/>
      <c r="AC335" s="52"/>
      <c r="AD335" s="70">
        <v>2801760</v>
      </c>
      <c r="AE335" s="59" t="s">
        <v>25</v>
      </c>
    </row>
    <row r="336" spans="1:32" ht="21" customHeight="1">
      <c r="A336" s="46"/>
      <c r="B336" s="47"/>
      <c r="C336" s="47"/>
      <c r="D336" s="210"/>
      <c r="E336" s="121"/>
      <c r="F336" s="121"/>
      <c r="G336" s="121"/>
      <c r="H336" s="121"/>
      <c r="I336" s="121"/>
      <c r="J336" s="121"/>
      <c r="K336" s="121"/>
      <c r="L336" s="121"/>
      <c r="M336" s="121"/>
      <c r="N336" s="72"/>
      <c r="O336" s="446" t="s">
        <v>718</v>
      </c>
      <c r="P336" s="253"/>
      <c r="Q336" s="253"/>
      <c r="R336" s="253"/>
      <c r="S336" s="252"/>
      <c r="T336" s="252"/>
      <c r="U336" s="252"/>
      <c r="V336" s="252"/>
      <c r="W336" s="252"/>
      <c r="X336" s="252"/>
      <c r="Y336" s="252"/>
      <c r="Z336" s="252"/>
      <c r="AA336" s="252"/>
      <c r="AB336" s="252"/>
      <c r="AC336" s="252"/>
      <c r="AD336" s="70">
        <v>112567</v>
      </c>
      <c r="AE336" s="59" t="s">
        <v>250</v>
      </c>
    </row>
    <row r="337" spans="1:32" ht="21" customHeight="1">
      <c r="A337" s="46"/>
      <c r="B337" s="47"/>
      <c r="C337" s="47"/>
      <c r="D337" s="210"/>
      <c r="E337" s="121"/>
      <c r="F337" s="121"/>
      <c r="G337" s="121"/>
      <c r="H337" s="121"/>
      <c r="I337" s="121"/>
      <c r="J337" s="121"/>
      <c r="K337" s="121"/>
      <c r="L337" s="121"/>
      <c r="M337" s="121"/>
      <c r="N337" s="72"/>
      <c r="O337" s="446" t="s">
        <v>719</v>
      </c>
      <c r="P337" s="409"/>
      <c r="Q337" s="409"/>
      <c r="R337" s="409"/>
      <c r="S337" s="408"/>
      <c r="T337" s="408"/>
      <c r="U337" s="408"/>
      <c r="V337" s="408"/>
      <c r="W337" s="408"/>
      <c r="X337" s="408"/>
      <c r="Y337" s="408"/>
      <c r="Z337" s="408"/>
      <c r="AA337" s="408"/>
      <c r="AB337" s="408"/>
      <c r="AC337" s="408"/>
      <c r="AD337" s="70">
        <v>121120</v>
      </c>
      <c r="AE337" s="59" t="s">
        <v>545</v>
      </c>
    </row>
    <row r="338" spans="1:32" ht="21" customHeight="1">
      <c r="A338" s="46"/>
      <c r="B338" s="47"/>
      <c r="C338" s="47"/>
      <c r="D338" s="210"/>
      <c r="E338" s="121"/>
      <c r="F338" s="121"/>
      <c r="G338" s="121"/>
      <c r="H338" s="121"/>
      <c r="I338" s="121"/>
      <c r="J338" s="121"/>
      <c r="K338" s="121"/>
      <c r="L338" s="121"/>
      <c r="M338" s="121"/>
      <c r="N338" s="72"/>
      <c r="O338" s="446" t="s">
        <v>720</v>
      </c>
      <c r="P338" s="409"/>
      <c r="Q338" s="409"/>
      <c r="R338" s="409"/>
      <c r="S338" s="408"/>
      <c r="T338" s="408"/>
      <c r="U338" s="408"/>
      <c r="V338" s="408"/>
      <c r="W338" s="408"/>
      <c r="X338" s="408"/>
      <c r="Y338" s="408"/>
      <c r="Z338" s="408"/>
      <c r="AA338" s="408"/>
      <c r="AB338" s="408"/>
      <c r="AC338" s="408"/>
      <c r="AD338" s="70">
        <v>3754</v>
      </c>
      <c r="AE338" s="59" t="s">
        <v>545</v>
      </c>
    </row>
    <row r="339" spans="1:32" ht="21" customHeight="1">
      <c r="A339" s="46"/>
      <c r="B339" s="47"/>
      <c r="C339" s="47"/>
      <c r="D339" s="210"/>
      <c r="E339" s="121"/>
      <c r="F339" s="121"/>
      <c r="G339" s="121"/>
      <c r="H339" s="121"/>
      <c r="I339" s="121"/>
      <c r="J339" s="121"/>
      <c r="K339" s="121"/>
      <c r="L339" s="121"/>
      <c r="M339" s="121"/>
      <c r="N339" s="72"/>
      <c r="O339" s="446" t="s">
        <v>721</v>
      </c>
      <c r="P339" s="51"/>
      <c r="Q339" s="51"/>
      <c r="R339" s="51"/>
      <c r="S339" s="52"/>
      <c r="T339" s="52"/>
      <c r="U339" s="52"/>
      <c r="V339" s="52"/>
      <c r="W339" s="52"/>
      <c r="X339" s="52"/>
      <c r="Y339" s="52"/>
      <c r="Z339" s="52"/>
      <c r="AA339" s="52"/>
      <c r="AB339" s="178"/>
      <c r="AC339" s="52"/>
      <c r="AD339" s="70">
        <v>655000</v>
      </c>
      <c r="AE339" s="59" t="s">
        <v>25</v>
      </c>
    </row>
    <row r="340" spans="1:32" ht="21" customHeight="1">
      <c r="A340" s="46"/>
      <c r="B340" s="47"/>
      <c r="C340" s="47"/>
      <c r="D340" s="210"/>
      <c r="E340" s="121"/>
      <c r="F340" s="121"/>
      <c r="G340" s="121"/>
      <c r="H340" s="121"/>
      <c r="I340" s="121"/>
      <c r="J340" s="121"/>
      <c r="K340" s="121"/>
      <c r="L340" s="121"/>
      <c r="M340" s="121"/>
      <c r="N340" s="72"/>
      <c r="O340" s="446" t="s">
        <v>722</v>
      </c>
      <c r="P340" s="253"/>
      <c r="Q340" s="253"/>
      <c r="R340" s="253"/>
      <c r="S340" s="252"/>
      <c r="T340" s="252"/>
      <c r="U340" s="252"/>
      <c r="V340" s="252"/>
      <c r="W340" s="252"/>
      <c r="X340" s="252"/>
      <c r="Y340" s="252"/>
      <c r="Z340" s="252"/>
      <c r="AA340" s="252"/>
      <c r="AB340" s="252"/>
      <c r="AC340" s="252"/>
      <c r="AD340" s="70">
        <v>4521</v>
      </c>
      <c r="AE340" s="59" t="s">
        <v>250</v>
      </c>
    </row>
    <row r="341" spans="1:32" ht="21" customHeight="1">
      <c r="A341" s="46"/>
      <c r="B341" s="47"/>
      <c r="C341" s="47"/>
      <c r="D341" s="210"/>
      <c r="E341" s="121"/>
      <c r="F341" s="121"/>
      <c r="G341" s="121"/>
      <c r="H341" s="121"/>
      <c r="I341" s="121"/>
      <c r="J341" s="121"/>
      <c r="K341" s="121"/>
      <c r="L341" s="121"/>
      <c r="M341" s="121"/>
      <c r="N341" s="72"/>
      <c r="O341" s="446" t="s">
        <v>723</v>
      </c>
      <c r="P341" s="51"/>
      <c r="Q341" s="51"/>
      <c r="R341" s="51"/>
      <c r="S341" s="52"/>
      <c r="T341" s="52"/>
      <c r="U341" s="52"/>
      <c r="V341" s="52"/>
      <c r="W341" s="52"/>
      <c r="X341" s="52"/>
      <c r="Y341" s="52"/>
      <c r="Z341" s="52"/>
      <c r="AA341" s="52"/>
      <c r="AB341" s="178"/>
      <c r="AC341" s="52"/>
      <c r="AD341" s="70">
        <v>1487160</v>
      </c>
      <c r="AE341" s="59" t="s">
        <v>25</v>
      </c>
    </row>
    <row r="342" spans="1:32" ht="21" customHeight="1">
      <c r="A342" s="46"/>
      <c r="B342" s="47"/>
      <c r="C342" s="47"/>
      <c r="D342" s="210"/>
      <c r="E342" s="121"/>
      <c r="F342" s="121"/>
      <c r="G342" s="121"/>
      <c r="H342" s="121"/>
      <c r="I342" s="121"/>
      <c r="J342" s="121"/>
      <c r="K342" s="121"/>
      <c r="L342" s="121"/>
      <c r="M342" s="121"/>
      <c r="N342" s="72"/>
      <c r="O342" s="446" t="s">
        <v>724</v>
      </c>
      <c r="P342" s="253"/>
      <c r="Q342" s="253"/>
      <c r="R342" s="253"/>
      <c r="S342" s="252"/>
      <c r="T342" s="252"/>
      <c r="U342" s="252"/>
      <c r="V342" s="252"/>
      <c r="W342" s="252"/>
      <c r="X342" s="252"/>
      <c r="Y342" s="252"/>
      <c r="Z342" s="252"/>
      <c r="AA342" s="252"/>
      <c r="AB342" s="252"/>
      <c r="AC342" s="252"/>
      <c r="AD342" s="70">
        <v>20304</v>
      </c>
      <c r="AE342" s="59" t="s">
        <v>250</v>
      </c>
    </row>
    <row r="343" spans="1:32" ht="21" customHeight="1">
      <c r="A343" s="46"/>
      <c r="B343" s="47"/>
      <c r="C343" s="47"/>
      <c r="D343" s="210"/>
      <c r="E343" s="121"/>
      <c r="F343" s="121"/>
      <c r="G343" s="121"/>
      <c r="H343" s="121"/>
      <c r="I343" s="121"/>
      <c r="J343" s="121"/>
      <c r="K343" s="121"/>
      <c r="L343" s="121"/>
      <c r="M343" s="121"/>
      <c r="N343" s="72"/>
      <c r="O343" s="446" t="s">
        <v>725</v>
      </c>
      <c r="P343" s="51"/>
      <c r="Q343" s="51"/>
      <c r="R343" s="51"/>
      <c r="S343" s="52"/>
      <c r="T343" s="52"/>
      <c r="U343" s="52"/>
      <c r="V343" s="52"/>
      <c r="W343" s="52"/>
      <c r="X343" s="52"/>
      <c r="Y343" s="52"/>
      <c r="Z343" s="52"/>
      <c r="AA343" s="52"/>
      <c r="AB343" s="178"/>
      <c r="AC343" s="52"/>
      <c r="AD343" s="70">
        <v>822900</v>
      </c>
      <c r="AE343" s="59" t="s">
        <v>25</v>
      </c>
    </row>
    <row r="344" spans="1:32" ht="21" customHeight="1">
      <c r="A344" s="46"/>
      <c r="B344" s="47"/>
      <c r="C344" s="47"/>
      <c r="D344" s="210"/>
      <c r="E344" s="121"/>
      <c r="F344" s="121"/>
      <c r="G344" s="121"/>
      <c r="H344" s="121"/>
      <c r="I344" s="121"/>
      <c r="J344" s="121"/>
      <c r="K344" s="121"/>
      <c r="L344" s="121"/>
      <c r="M344" s="121"/>
      <c r="N344" s="72"/>
      <c r="O344" s="446" t="s">
        <v>726</v>
      </c>
      <c r="P344" s="51"/>
      <c r="Q344" s="51"/>
      <c r="R344" s="51"/>
      <c r="S344" s="52"/>
      <c r="T344" s="52"/>
      <c r="U344" s="52"/>
      <c r="V344" s="52"/>
      <c r="W344" s="52"/>
      <c r="X344" s="52"/>
      <c r="Y344" s="52"/>
      <c r="Z344" s="52"/>
      <c r="AA344" s="52"/>
      <c r="AB344" s="178"/>
      <c r="AC344" s="52"/>
      <c r="AD344" s="70">
        <v>3492</v>
      </c>
      <c r="AE344" s="59" t="s">
        <v>25</v>
      </c>
    </row>
    <row r="345" spans="1:32" ht="21" customHeight="1">
      <c r="A345" s="46"/>
      <c r="B345" s="47"/>
      <c r="C345" s="48"/>
      <c r="D345" s="210"/>
      <c r="E345" s="121"/>
      <c r="F345" s="121"/>
      <c r="G345" s="121"/>
      <c r="H345" s="121"/>
      <c r="I345" s="121"/>
      <c r="J345" s="121"/>
      <c r="K345" s="121"/>
      <c r="L345" s="121"/>
      <c r="M345" s="121"/>
      <c r="N345" s="72"/>
      <c r="O345" s="446" t="s">
        <v>727</v>
      </c>
      <c r="P345" s="409"/>
      <c r="Q345" s="409"/>
      <c r="R345" s="409"/>
      <c r="S345" s="408"/>
      <c r="T345" s="408"/>
      <c r="U345" s="408"/>
      <c r="V345" s="408"/>
      <c r="W345" s="408"/>
      <c r="X345" s="408"/>
      <c r="Y345" s="408"/>
      <c r="Z345" s="408"/>
      <c r="AA345" s="408"/>
      <c r="AB345" s="408"/>
      <c r="AC345" s="408"/>
      <c r="AD345" s="70">
        <v>0</v>
      </c>
      <c r="AE345" s="59" t="s">
        <v>545</v>
      </c>
    </row>
    <row r="346" spans="1:32" s="14" customFormat="1" ht="21" customHeight="1">
      <c r="A346" s="46"/>
      <c r="B346" s="61"/>
      <c r="C346" s="48"/>
      <c r="D346" s="210"/>
      <c r="E346" s="121"/>
      <c r="F346" s="121"/>
      <c r="G346" s="121"/>
      <c r="H346" s="121"/>
      <c r="I346" s="121"/>
      <c r="J346" s="121"/>
      <c r="K346" s="121"/>
      <c r="L346" s="121"/>
      <c r="M346" s="121"/>
      <c r="N346" s="72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  <c r="AA346" s="51"/>
      <c r="AB346" s="51"/>
      <c r="AC346" s="51"/>
      <c r="AD346" s="52"/>
      <c r="AE346" s="59"/>
      <c r="AF346" s="4"/>
    </row>
    <row r="347" spans="1:32" s="11" customFormat="1" ht="21" customHeight="1">
      <c r="A347" s="36" t="s">
        <v>145</v>
      </c>
      <c r="B347" s="612" t="s">
        <v>20</v>
      </c>
      <c r="C347" s="613"/>
      <c r="D347" s="230">
        <f>D348</f>
        <v>0</v>
      </c>
      <c r="E347" s="230">
        <f>E348</f>
        <v>0</v>
      </c>
      <c r="F347" s="230">
        <f t="shared" ref="F347:L347" si="15">F348</f>
        <v>0</v>
      </c>
      <c r="G347" s="230">
        <f t="shared" si="15"/>
        <v>0</v>
      </c>
      <c r="H347" s="230">
        <f t="shared" si="15"/>
        <v>0</v>
      </c>
      <c r="I347" s="230">
        <f t="shared" si="15"/>
        <v>0</v>
      </c>
      <c r="J347" s="230">
        <f t="shared" si="15"/>
        <v>0</v>
      </c>
      <c r="K347" s="230">
        <f t="shared" si="15"/>
        <v>0</v>
      </c>
      <c r="L347" s="230">
        <f t="shared" si="15"/>
        <v>0</v>
      </c>
      <c r="M347" s="230">
        <f>E347-D347</f>
        <v>0</v>
      </c>
      <c r="N347" s="231">
        <f>IF(D347=0,0,M347/D347)</f>
        <v>0</v>
      </c>
      <c r="O347" s="232" t="s">
        <v>145</v>
      </c>
      <c r="P347" s="232"/>
      <c r="Q347" s="232"/>
      <c r="R347" s="232"/>
      <c r="S347" s="233"/>
      <c r="T347" s="233"/>
      <c r="U347" s="233"/>
      <c r="V347" s="233"/>
      <c r="W347" s="233"/>
      <c r="X347" s="233"/>
      <c r="Y347" s="233"/>
      <c r="Z347" s="233"/>
      <c r="AA347" s="233"/>
      <c r="AB347" s="233"/>
      <c r="AC347" s="233"/>
      <c r="AD347" s="233">
        <f>SUM(AD348)</f>
        <v>0</v>
      </c>
      <c r="AE347" s="234" t="s">
        <v>25</v>
      </c>
      <c r="AF347" s="1"/>
    </row>
    <row r="348" spans="1:32" s="11" customFormat="1" ht="21" customHeight="1">
      <c r="A348" s="46"/>
      <c r="B348" s="47" t="s">
        <v>145</v>
      </c>
      <c r="C348" s="47" t="s">
        <v>145</v>
      </c>
      <c r="D348" s="210">
        <v>0</v>
      </c>
      <c r="E348" s="121">
        <f>AD348/1000</f>
        <v>0</v>
      </c>
      <c r="F348" s="121">
        <v>0</v>
      </c>
      <c r="G348" s="121">
        <v>0</v>
      </c>
      <c r="H348" s="121">
        <v>0</v>
      </c>
      <c r="I348" s="121">
        <v>0</v>
      </c>
      <c r="J348" s="121">
        <v>0</v>
      </c>
      <c r="K348" s="121">
        <v>0</v>
      </c>
      <c r="L348" s="121">
        <v>0</v>
      </c>
      <c r="M348" s="121">
        <f>E348-D348</f>
        <v>0</v>
      </c>
      <c r="N348" s="72">
        <f>IF(D348=0,0,M348/D348)</f>
        <v>0</v>
      </c>
      <c r="O348" s="129" t="s">
        <v>146</v>
      </c>
      <c r="P348" s="33"/>
      <c r="Q348" s="33"/>
      <c r="R348" s="33"/>
      <c r="S348" s="33"/>
      <c r="T348" s="34"/>
      <c r="U348" s="34"/>
      <c r="V348" s="34"/>
      <c r="W348" s="34"/>
      <c r="X348" s="34"/>
      <c r="Y348" s="233" t="s">
        <v>256</v>
      </c>
      <c r="Z348" s="110"/>
      <c r="AA348" s="110"/>
      <c r="AB348" s="110"/>
      <c r="AC348" s="131"/>
      <c r="AD348" s="131">
        <f>AD349</f>
        <v>0</v>
      </c>
      <c r="AE348" s="132" t="s">
        <v>25</v>
      </c>
      <c r="AF348" s="1"/>
    </row>
    <row r="349" spans="1:32" s="11" customFormat="1" ht="21" customHeight="1">
      <c r="A349" s="46"/>
      <c r="B349" s="47"/>
      <c r="C349" s="47"/>
      <c r="D349" s="210"/>
      <c r="E349" s="121"/>
      <c r="F349" s="121"/>
      <c r="G349" s="121"/>
      <c r="H349" s="121"/>
      <c r="I349" s="121"/>
      <c r="J349" s="121"/>
      <c r="K349" s="121"/>
      <c r="L349" s="121"/>
      <c r="M349" s="121"/>
      <c r="N349" s="72"/>
      <c r="O349" s="206" t="s">
        <v>204</v>
      </c>
      <c r="P349" s="51"/>
      <c r="Q349" s="51"/>
      <c r="R349" s="51"/>
      <c r="S349" s="52"/>
      <c r="T349" s="52"/>
      <c r="U349" s="52"/>
      <c r="V349" s="52"/>
      <c r="W349" s="52"/>
      <c r="X349" s="52"/>
      <c r="Y349" s="52"/>
      <c r="Z349" s="52"/>
      <c r="AA349" s="52"/>
      <c r="AB349" s="416" t="s">
        <v>585</v>
      </c>
      <c r="AC349" s="52"/>
      <c r="AD349" s="52">
        <v>0</v>
      </c>
      <c r="AE349" s="59" t="s">
        <v>96</v>
      </c>
      <c r="AF349" s="1"/>
    </row>
    <row r="350" spans="1:32" s="1" customFormat="1" ht="21" customHeight="1" thickBot="1">
      <c r="A350" s="173"/>
      <c r="B350" s="47"/>
      <c r="C350" s="47"/>
      <c r="D350" s="210"/>
      <c r="E350" s="121"/>
      <c r="F350" s="121"/>
      <c r="G350" s="121"/>
      <c r="H350" s="121"/>
      <c r="I350" s="121"/>
      <c r="J350" s="121"/>
      <c r="K350" s="121"/>
      <c r="L350" s="121"/>
      <c r="M350" s="121"/>
      <c r="N350" s="72"/>
      <c r="O350" s="66"/>
      <c r="P350" s="66"/>
      <c r="Q350" s="66"/>
      <c r="R350" s="66"/>
      <c r="S350" s="66"/>
      <c r="T350" s="66"/>
      <c r="U350" s="66"/>
      <c r="V350" s="66"/>
      <c r="W350" s="66"/>
      <c r="X350" s="66"/>
      <c r="Y350" s="66"/>
      <c r="Z350" s="66"/>
      <c r="AA350" s="66"/>
      <c r="AB350" s="66"/>
      <c r="AC350" s="66"/>
      <c r="AD350" s="66"/>
      <c r="AE350" s="176"/>
    </row>
    <row r="351" spans="1:32" s="11" customFormat="1" ht="21" customHeight="1">
      <c r="A351" s="36" t="s">
        <v>21</v>
      </c>
      <c r="B351" s="610" t="s">
        <v>20</v>
      </c>
      <c r="C351" s="611"/>
      <c r="D351" s="268">
        <f>SUM(D352)</f>
        <v>250</v>
      </c>
      <c r="E351" s="268">
        <f>SUM(E352)</f>
        <v>250</v>
      </c>
      <c r="F351" s="268">
        <f t="shared" ref="F351:L351" si="16">SUM(F352)</f>
        <v>155</v>
      </c>
      <c r="G351" s="268">
        <f t="shared" si="16"/>
        <v>25</v>
      </c>
      <c r="H351" s="268">
        <f t="shared" si="16"/>
        <v>5</v>
      </c>
      <c r="I351" s="268">
        <f t="shared" si="16"/>
        <v>30</v>
      </c>
      <c r="J351" s="268">
        <f t="shared" si="16"/>
        <v>20</v>
      </c>
      <c r="K351" s="268">
        <f t="shared" si="16"/>
        <v>5</v>
      </c>
      <c r="L351" s="268">
        <f t="shared" si="16"/>
        <v>10</v>
      </c>
      <c r="M351" s="268">
        <f>E351-D351</f>
        <v>0</v>
      </c>
      <c r="N351" s="269">
        <f>IF(D351=0,0,M351/D351)</f>
        <v>0</v>
      </c>
      <c r="O351" s="222" t="s">
        <v>21</v>
      </c>
      <c r="P351" s="223"/>
      <c r="Q351" s="223"/>
      <c r="R351" s="223"/>
      <c r="S351" s="224"/>
      <c r="T351" s="224"/>
      <c r="U351" s="224"/>
      <c r="V351" s="224"/>
      <c r="W351" s="224"/>
      <c r="X351" s="224"/>
      <c r="Y351" s="224"/>
      <c r="Z351" s="224"/>
      <c r="AA351" s="224"/>
      <c r="AB351" s="224"/>
      <c r="AC351" s="224"/>
      <c r="AD351" s="224">
        <f>AD352</f>
        <v>250000</v>
      </c>
      <c r="AE351" s="225" t="s">
        <v>25</v>
      </c>
      <c r="AF351" s="1"/>
    </row>
    <row r="352" spans="1:32" s="11" customFormat="1" ht="21" customHeight="1">
      <c r="A352" s="46"/>
      <c r="B352" s="47" t="s">
        <v>21</v>
      </c>
      <c r="C352" s="47" t="s">
        <v>21</v>
      </c>
      <c r="D352" s="121">
        <v>250</v>
      </c>
      <c r="E352" s="121">
        <f>SUM(F352:L352)</f>
        <v>250</v>
      </c>
      <c r="F352" s="121">
        <f>(AD353+AD354)/1000</f>
        <v>155</v>
      </c>
      <c r="G352" s="121">
        <f>SUM(AD356:AD357)/1000</f>
        <v>25</v>
      </c>
      <c r="H352" s="121">
        <f>AD355/1000</f>
        <v>5</v>
      </c>
      <c r="I352" s="121">
        <f>AD359/1000</f>
        <v>30</v>
      </c>
      <c r="J352" s="121">
        <f>AD358/1000</f>
        <v>20</v>
      </c>
      <c r="K352" s="121">
        <f>AD360/1000</f>
        <v>5</v>
      </c>
      <c r="L352" s="121">
        <f>AD361/1000</f>
        <v>10</v>
      </c>
      <c r="M352" s="121">
        <f>E352-D352</f>
        <v>0</v>
      </c>
      <c r="N352" s="72">
        <f>IF(D352=0,0,M352/D352)</f>
        <v>0</v>
      </c>
      <c r="O352" s="129" t="s">
        <v>52</v>
      </c>
      <c r="P352" s="33"/>
      <c r="Q352" s="33"/>
      <c r="R352" s="33"/>
      <c r="S352" s="33"/>
      <c r="T352" s="34"/>
      <c r="U352" s="34"/>
      <c r="V352" s="34"/>
      <c r="W352" s="34"/>
      <c r="X352" s="34"/>
      <c r="Y352" s="233" t="s">
        <v>256</v>
      </c>
      <c r="Z352" s="110"/>
      <c r="AA352" s="110"/>
      <c r="AB352" s="110"/>
      <c r="AC352" s="131"/>
      <c r="AD352" s="131">
        <f>SUM(AD353:AD361)</f>
        <v>250000</v>
      </c>
      <c r="AE352" s="132" t="s">
        <v>25</v>
      </c>
      <c r="AF352" s="1"/>
    </row>
    <row r="353" spans="1:32" s="11" customFormat="1" ht="21" customHeight="1">
      <c r="A353" s="46"/>
      <c r="B353" s="47"/>
      <c r="C353" s="47"/>
      <c r="D353" s="210"/>
      <c r="E353" s="121"/>
      <c r="F353" s="121"/>
      <c r="G353" s="121"/>
      <c r="H353" s="121"/>
      <c r="I353" s="121"/>
      <c r="J353" s="121"/>
      <c r="K353" s="121"/>
      <c r="L353" s="121"/>
      <c r="M353" s="121"/>
      <c r="N353" s="72"/>
      <c r="O353" s="409" t="s">
        <v>557</v>
      </c>
      <c r="P353" s="179"/>
      <c r="Q353" s="179"/>
      <c r="R353" s="179"/>
      <c r="S353" s="179"/>
      <c r="T353" s="178"/>
      <c r="U353" s="178"/>
      <c r="V353" s="178"/>
      <c r="W353" s="178"/>
      <c r="X353" s="178"/>
      <c r="Y353" s="178"/>
      <c r="Z353" s="178"/>
      <c r="AA353" s="178"/>
      <c r="AB353" s="178"/>
      <c r="AC353" s="70"/>
      <c r="AD353" s="70">
        <v>150000</v>
      </c>
      <c r="AE353" s="59" t="s">
        <v>68</v>
      </c>
      <c r="AF353" s="2"/>
    </row>
    <row r="354" spans="1:32" s="11" customFormat="1" ht="21" customHeight="1">
      <c r="A354" s="46"/>
      <c r="B354" s="47"/>
      <c r="C354" s="47"/>
      <c r="D354" s="210"/>
      <c r="E354" s="121"/>
      <c r="F354" s="121"/>
      <c r="G354" s="121"/>
      <c r="H354" s="121"/>
      <c r="I354" s="121"/>
      <c r="J354" s="121"/>
      <c r="K354" s="121"/>
      <c r="L354" s="121"/>
      <c r="M354" s="121"/>
      <c r="N354" s="72"/>
      <c r="O354" s="409" t="s">
        <v>558</v>
      </c>
      <c r="P354" s="409"/>
      <c r="Q354" s="409"/>
      <c r="R354" s="409"/>
      <c r="S354" s="409"/>
      <c r="T354" s="408"/>
      <c r="U354" s="408"/>
      <c r="V354" s="408"/>
      <c r="W354" s="408"/>
      <c r="X354" s="408"/>
      <c r="Y354" s="408"/>
      <c r="Z354" s="408"/>
      <c r="AA354" s="408"/>
      <c r="AB354" s="408"/>
      <c r="AC354" s="70"/>
      <c r="AD354" s="70">
        <v>5000</v>
      </c>
      <c r="AE354" s="59" t="s">
        <v>545</v>
      </c>
      <c r="AF354" s="2"/>
    </row>
    <row r="355" spans="1:32" s="11" customFormat="1" ht="21" customHeight="1">
      <c r="A355" s="46"/>
      <c r="B355" s="47"/>
      <c r="C355" s="47"/>
      <c r="D355" s="210"/>
      <c r="E355" s="121"/>
      <c r="F355" s="121"/>
      <c r="G355" s="121"/>
      <c r="H355" s="121"/>
      <c r="I355" s="121"/>
      <c r="J355" s="121"/>
      <c r="K355" s="121"/>
      <c r="L355" s="121"/>
      <c r="M355" s="121"/>
      <c r="N355" s="72"/>
      <c r="O355" s="409" t="s">
        <v>559</v>
      </c>
      <c r="P355" s="409"/>
      <c r="Q355" s="409"/>
      <c r="R355" s="409"/>
      <c r="S355" s="409"/>
      <c r="T355" s="408"/>
      <c r="U355" s="408"/>
      <c r="V355" s="408"/>
      <c r="W355" s="408"/>
      <c r="X355" s="408"/>
      <c r="Y355" s="408"/>
      <c r="Z355" s="408"/>
      <c r="AA355" s="408"/>
      <c r="AB355" s="408"/>
      <c r="AC355" s="70"/>
      <c r="AD355" s="70">
        <v>5000</v>
      </c>
      <c r="AE355" s="59" t="s">
        <v>545</v>
      </c>
      <c r="AF355" s="2"/>
    </row>
    <row r="356" spans="1:32" s="11" customFormat="1" ht="21" customHeight="1">
      <c r="A356" s="46"/>
      <c r="B356" s="47"/>
      <c r="C356" s="47"/>
      <c r="D356" s="210"/>
      <c r="E356" s="121"/>
      <c r="F356" s="121"/>
      <c r="G356" s="121"/>
      <c r="H356" s="121"/>
      <c r="I356" s="121"/>
      <c r="J356" s="121"/>
      <c r="K356" s="121"/>
      <c r="L356" s="121"/>
      <c r="M356" s="121"/>
      <c r="N356" s="72"/>
      <c r="O356" s="409" t="s">
        <v>560</v>
      </c>
      <c r="P356" s="409"/>
      <c r="Q356" s="409"/>
      <c r="R356" s="409"/>
      <c r="S356" s="409"/>
      <c r="T356" s="408"/>
      <c r="U356" s="408"/>
      <c r="V356" s="408"/>
      <c r="W356" s="408"/>
      <c r="X356" s="408"/>
      <c r="Y356" s="408"/>
      <c r="Z356" s="408"/>
      <c r="AA356" s="408"/>
      <c r="AB356" s="408"/>
      <c r="AC356" s="70"/>
      <c r="AD356" s="70">
        <v>25000</v>
      </c>
      <c r="AE356" s="59" t="s">
        <v>545</v>
      </c>
      <c r="AF356" s="2"/>
    </row>
    <row r="357" spans="1:32" s="11" customFormat="1" ht="21" customHeight="1">
      <c r="A357" s="46"/>
      <c r="B357" s="47"/>
      <c r="C357" s="47"/>
      <c r="D357" s="210"/>
      <c r="E357" s="121"/>
      <c r="F357" s="121"/>
      <c r="G357" s="121"/>
      <c r="H357" s="121"/>
      <c r="I357" s="121"/>
      <c r="J357" s="121"/>
      <c r="K357" s="121"/>
      <c r="L357" s="121"/>
      <c r="M357" s="121"/>
      <c r="N357" s="72"/>
      <c r="O357" s="409" t="s">
        <v>561</v>
      </c>
      <c r="P357" s="409"/>
      <c r="Q357" s="409"/>
      <c r="R357" s="409"/>
      <c r="S357" s="409"/>
      <c r="T357" s="408"/>
      <c r="U357" s="408"/>
      <c r="V357" s="408"/>
      <c r="W357" s="408"/>
      <c r="X357" s="408"/>
      <c r="Y357" s="408"/>
      <c r="Z357" s="408"/>
      <c r="AA357" s="408"/>
      <c r="AB357" s="408"/>
      <c r="AC357" s="70"/>
      <c r="AD357" s="70">
        <v>0</v>
      </c>
      <c r="AE357" s="59" t="s">
        <v>545</v>
      </c>
      <c r="AF357" s="2"/>
    </row>
    <row r="358" spans="1:32" s="11" customFormat="1" ht="21" customHeight="1">
      <c r="A358" s="46"/>
      <c r="B358" s="47"/>
      <c r="C358" s="47"/>
      <c r="D358" s="210"/>
      <c r="E358" s="121"/>
      <c r="F358" s="121"/>
      <c r="G358" s="121"/>
      <c r="H358" s="121"/>
      <c r="I358" s="121"/>
      <c r="J358" s="121"/>
      <c r="K358" s="121"/>
      <c r="L358" s="121"/>
      <c r="M358" s="121"/>
      <c r="N358" s="72"/>
      <c r="O358" s="409" t="s">
        <v>562</v>
      </c>
      <c r="P358" s="409"/>
      <c r="Q358" s="409"/>
      <c r="R358" s="409"/>
      <c r="S358" s="409"/>
      <c r="T358" s="408"/>
      <c r="U358" s="408"/>
      <c r="V358" s="408"/>
      <c r="W358" s="408"/>
      <c r="X358" s="408"/>
      <c r="Y358" s="408"/>
      <c r="Z358" s="408"/>
      <c r="AA358" s="408"/>
      <c r="AB358" s="408"/>
      <c r="AC358" s="70"/>
      <c r="AD358" s="70">
        <v>20000</v>
      </c>
      <c r="AE358" s="59" t="s">
        <v>545</v>
      </c>
      <c r="AF358" s="2"/>
    </row>
    <row r="359" spans="1:32" s="11" customFormat="1" ht="21" customHeight="1">
      <c r="A359" s="46"/>
      <c r="B359" s="47"/>
      <c r="C359" s="47"/>
      <c r="D359" s="210"/>
      <c r="E359" s="121"/>
      <c r="F359" s="121"/>
      <c r="G359" s="121"/>
      <c r="H359" s="121"/>
      <c r="I359" s="121"/>
      <c r="J359" s="121"/>
      <c r="K359" s="121"/>
      <c r="L359" s="121"/>
      <c r="M359" s="121"/>
      <c r="N359" s="72"/>
      <c r="O359" s="409" t="s">
        <v>563</v>
      </c>
      <c r="P359" s="409"/>
      <c r="Q359" s="409"/>
      <c r="R359" s="409"/>
      <c r="S359" s="409"/>
      <c r="T359" s="408"/>
      <c r="U359" s="408"/>
      <c r="V359" s="408"/>
      <c r="W359" s="408"/>
      <c r="X359" s="408"/>
      <c r="Y359" s="408"/>
      <c r="Z359" s="408"/>
      <c r="AA359" s="408"/>
      <c r="AB359" s="408"/>
      <c r="AC359" s="70"/>
      <c r="AD359" s="70">
        <v>30000</v>
      </c>
      <c r="AE359" s="59" t="s">
        <v>545</v>
      </c>
      <c r="AF359" s="2"/>
    </row>
    <row r="360" spans="1:32" s="11" customFormat="1" ht="21" customHeight="1">
      <c r="A360" s="46"/>
      <c r="B360" s="47"/>
      <c r="C360" s="47"/>
      <c r="D360" s="210"/>
      <c r="E360" s="121"/>
      <c r="F360" s="121"/>
      <c r="G360" s="121"/>
      <c r="H360" s="121"/>
      <c r="I360" s="121"/>
      <c r="J360" s="121"/>
      <c r="K360" s="121"/>
      <c r="L360" s="121"/>
      <c r="M360" s="121"/>
      <c r="N360" s="72"/>
      <c r="O360" s="409" t="s">
        <v>564</v>
      </c>
      <c r="P360" s="409"/>
      <c r="Q360" s="409"/>
      <c r="R360" s="409"/>
      <c r="S360" s="409"/>
      <c r="T360" s="408"/>
      <c r="U360" s="408"/>
      <c r="V360" s="408"/>
      <c r="W360" s="408"/>
      <c r="X360" s="408"/>
      <c r="Y360" s="408"/>
      <c r="Z360" s="408"/>
      <c r="AA360" s="408"/>
      <c r="AB360" s="408"/>
      <c r="AC360" s="70"/>
      <c r="AD360" s="70">
        <v>5000</v>
      </c>
      <c r="AE360" s="59" t="s">
        <v>545</v>
      </c>
      <c r="AF360" s="2"/>
    </row>
    <row r="361" spans="1:32" s="11" customFormat="1" ht="21" customHeight="1">
      <c r="A361" s="46"/>
      <c r="B361" s="47"/>
      <c r="C361" s="47"/>
      <c r="D361" s="210"/>
      <c r="E361" s="121"/>
      <c r="F361" s="121"/>
      <c r="G361" s="121"/>
      <c r="H361" s="121"/>
      <c r="I361" s="121"/>
      <c r="J361" s="121"/>
      <c r="K361" s="121"/>
      <c r="L361" s="121"/>
      <c r="M361" s="121"/>
      <c r="N361" s="72"/>
      <c r="O361" s="409" t="s">
        <v>565</v>
      </c>
      <c r="P361" s="179"/>
      <c r="Q361" s="179"/>
      <c r="R361" s="179"/>
      <c r="S361" s="179"/>
      <c r="T361" s="178"/>
      <c r="U361" s="178"/>
      <c r="V361" s="178"/>
      <c r="W361" s="178"/>
      <c r="X361" s="178"/>
      <c r="Y361" s="178"/>
      <c r="Z361" s="178"/>
      <c r="AA361" s="178"/>
      <c r="AB361" s="178"/>
      <c r="AC361" s="70"/>
      <c r="AD361" s="70">
        <v>10000</v>
      </c>
      <c r="AE361" s="59" t="s">
        <v>68</v>
      </c>
      <c r="AF361" s="2"/>
    </row>
    <row r="362" spans="1:32" s="1" customFormat="1" ht="21" customHeight="1" thickBot="1">
      <c r="A362" s="173"/>
      <c r="B362" s="113"/>
      <c r="C362" s="113"/>
      <c r="D362" s="215"/>
      <c r="E362" s="174"/>
      <c r="F362" s="174"/>
      <c r="G362" s="174"/>
      <c r="H362" s="174"/>
      <c r="I362" s="174"/>
      <c r="J362" s="174"/>
      <c r="K362" s="174"/>
      <c r="L362" s="174"/>
      <c r="M362" s="174"/>
      <c r="N362" s="175"/>
      <c r="O362" s="66"/>
      <c r="P362" s="66"/>
      <c r="Q362" s="66"/>
      <c r="R362" s="66"/>
      <c r="S362" s="67"/>
      <c r="T362" s="67"/>
      <c r="U362" s="67"/>
      <c r="V362" s="67"/>
      <c r="W362" s="67"/>
      <c r="X362" s="67"/>
      <c r="Y362" s="67"/>
      <c r="Z362" s="67"/>
      <c r="AA362" s="67"/>
      <c r="AB362" s="67"/>
      <c r="AC362" s="67"/>
      <c r="AD362" s="67"/>
      <c r="AE362" s="68"/>
    </row>
  </sheetData>
  <mergeCells count="21">
    <mergeCell ref="O2:AE3"/>
    <mergeCell ref="O36:P36"/>
    <mergeCell ref="A1:D1"/>
    <mergeCell ref="V131:W131"/>
    <mergeCell ref="V163:W163"/>
    <mergeCell ref="V112:W112"/>
    <mergeCell ref="O151:S151"/>
    <mergeCell ref="V119:W119"/>
    <mergeCell ref="B5:C5"/>
    <mergeCell ref="A4:C4"/>
    <mergeCell ref="M2:N2"/>
    <mergeCell ref="A2:C2"/>
    <mergeCell ref="D2:D3"/>
    <mergeCell ref="E2:L2"/>
    <mergeCell ref="O37:P37"/>
    <mergeCell ref="O40:P40"/>
    <mergeCell ref="B351:C351"/>
    <mergeCell ref="B347:C347"/>
    <mergeCell ref="B333:C333"/>
    <mergeCell ref="B208:C208"/>
    <mergeCell ref="B185:C185"/>
  </mergeCells>
  <phoneticPr fontId="6" type="noConversion"/>
  <printOptions horizontalCentered="1"/>
  <pageMargins left="3.937007874015748E-2" right="3.937007874015748E-2" top="0.35433070866141736" bottom="0.35433070866141736" header="0.15748031496062992" footer="0.15748031496062992"/>
  <pageSetup paperSize="9" scale="60" firstPageNumber="23" orientation="landscape" r:id="rId1"/>
  <headerFooter alignWithMargins="0">
    <oddFooter>&amp;C&amp;P/&amp;N&amp;R장애인생활시설 바다의별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212"/>
  <sheetViews>
    <sheetView topLeftCell="A13" workbookViewId="0">
      <selection sqref="A1:K1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3.21875" customWidth="1"/>
  </cols>
  <sheetData>
    <row r="1" spans="1:14" ht="46.5" customHeight="1" thickBot="1">
      <c r="A1" s="642" t="s">
        <v>851</v>
      </c>
      <c r="B1" s="642"/>
      <c r="C1" s="642"/>
      <c r="D1" s="642"/>
      <c r="E1" s="642"/>
      <c r="F1" s="642"/>
      <c r="G1" s="642"/>
      <c r="H1" s="642"/>
      <c r="I1" s="642"/>
      <c r="J1" s="642"/>
      <c r="K1" s="642"/>
    </row>
    <row r="2" spans="1:14" ht="46.5" customHeight="1">
      <c r="A2" s="643" t="s">
        <v>816</v>
      </c>
      <c r="B2" s="644"/>
      <c r="C2" s="645"/>
      <c r="D2" s="643" t="s">
        <v>819</v>
      </c>
      <c r="E2" s="645"/>
      <c r="F2" s="646" t="s">
        <v>824</v>
      </c>
      <c r="G2" s="648" t="s">
        <v>823</v>
      </c>
      <c r="H2" s="649"/>
      <c r="I2" s="649"/>
      <c r="J2" s="649"/>
      <c r="K2" s="652" t="s">
        <v>822</v>
      </c>
      <c r="L2" s="480"/>
      <c r="M2" s="480"/>
      <c r="N2" s="480"/>
    </row>
    <row r="3" spans="1:14" ht="46.5" customHeight="1" thickBot="1">
      <c r="A3" s="489" t="s">
        <v>818</v>
      </c>
      <c r="B3" s="490" t="s">
        <v>342</v>
      </c>
      <c r="C3" s="510" t="s">
        <v>343</v>
      </c>
      <c r="D3" s="489" t="s">
        <v>820</v>
      </c>
      <c r="E3" s="510" t="s">
        <v>821</v>
      </c>
      <c r="F3" s="647"/>
      <c r="G3" s="650"/>
      <c r="H3" s="651"/>
      <c r="I3" s="651"/>
      <c r="J3" s="651"/>
      <c r="K3" s="653"/>
      <c r="L3" s="480"/>
      <c r="M3" s="480"/>
      <c r="N3" s="480"/>
    </row>
    <row r="4" spans="1:14" ht="46.5" customHeight="1" thickBot="1">
      <c r="A4" s="654" t="s">
        <v>850</v>
      </c>
      <c r="B4" s="655"/>
      <c r="C4" s="656"/>
      <c r="D4" s="521">
        <f>SUM(D5:D19)</f>
        <v>1572380000</v>
      </c>
      <c r="E4" s="522">
        <f>SUM(E5:E19)</f>
        <v>1621579000</v>
      </c>
      <c r="F4" s="517">
        <f t="shared" ref="F4:F10" si="0">E4-D4</f>
        <v>49199000</v>
      </c>
      <c r="G4" s="481"/>
      <c r="H4" s="481"/>
      <c r="I4" s="481"/>
      <c r="J4" s="481"/>
      <c r="K4" s="535"/>
      <c r="L4" s="480"/>
      <c r="M4" s="480"/>
      <c r="N4" s="480"/>
    </row>
    <row r="5" spans="1:14" ht="46.5" customHeight="1" thickBot="1">
      <c r="A5" s="497" t="s">
        <v>825</v>
      </c>
      <c r="B5" s="498" t="s">
        <v>825</v>
      </c>
      <c r="C5" s="511" t="s">
        <v>825</v>
      </c>
      <c r="D5" s="523">
        <v>90000000</v>
      </c>
      <c r="E5" s="524">
        <v>75000000</v>
      </c>
      <c r="F5" s="502">
        <f t="shared" si="0"/>
        <v>-15000000</v>
      </c>
      <c r="G5" s="499">
        <v>250000</v>
      </c>
      <c r="H5" s="500">
        <v>25</v>
      </c>
      <c r="I5" s="501">
        <v>12</v>
      </c>
      <c r="J5" s="534">
        <f>G5*H5*I5</f>
        <v>75000000</v>
      </c>
      <c r="K5" s="536" t="s">
        <v>828</v>
      </c>
    </row>
    <row r="6" spans="1:14" ht="46.5" customHeight="1">
      <c r="A6" s="505" t="s">
        <v>826</v>
      </c>
      <c r="B6" s="506" t="s">
        <v>827</v>
      </c>
      <c r="C6" s="512" t="s">
        <v>59</v>
      </c>
      <c r="D6" s="525">
        <v>45309000</v>
      </c>
      <c r="E6" s="526">
        <v>53775000</v>
      </c>
      <c r="F6" s="518">
        <f t="shared" si="0"/>
        <v>8466000</v>
      </c>
      <c r="G6" s="507"/>
      <c r="H6" s="507"/>
      <c r="I6" s="507"/>
      <c r="J6" s="507"/>
      <c r="K6" s="537" t="s">
        <v>829</v>
      </c>
    </row>
    <row r="7" spans="1:14" ht="46.5" customHeight="1">
      <c r="A7" s="492"/>
      <c r="B7" s="486" t="s">
        <v>830</v>
      </c>
      <c r="C7" s="513" t="s">
        <v>59</v>
      </c>
      <c r="D7" s="527">
        <v>5664000</v>
      </c>
      <c r="E7" s="528">
        <v>6723000</v>
      </c>
      <c r="F7" s="483">
        <f t="shared" si="0"/>
        <v>1059000</v>
      </c>
      <c r="G7" s="491"/>
      <c r="H7" s="491"/>
      <c r="I7" s="491"/>
      <c r="J7" s="491"/>
      <c r="K7" s="538" t="s">
        <v>829</v>
      </c>
    </row>
    <row r="8" spans="1:14" ht="46.5" customHeight="1">
      <c r="A8" s="492"/>
      <c r="B8" s="487"/>
      <c r="C8" s="513" t="s">
        <v>258</v>
      </c>
      <c r="D8" s="527">
        <v>659119000</v>
      </c>
      <c r="E8" s="528">
        <v>683103000</v>
      </c>
      <c r="F8" s="483">
        <f t="shared" si="0"/>
        <v>23984000</v>
      </c>
      <c r="G8" s="491"/>
      <c r="H8" s="491"/>
      <c r="I8" s="491"/>
      <c r="J8" s="491"/>
      <c r="K8" s="539" t="s">
        <v>888</v>
      </c>
    </row>
    <row r="9" spans="1:14" ht="46.5" customHeight="1">
      <c r="A9" s="492"/>
      <c r="B9" s="488"/>
      <c r="C9" s="514" t="s">
        <v>831</v>
      </c>
      <c r="D9" s="527">
        <v>27099000</v>
      </c>
      <c r="E9" s="528">
        <v>27237000</v>
      </c>
      <c r="F9" s="483">
        <f t="shared" si="0"/>
        <v>138000</v>
      </c>
      <c r="G9" s="491"/>
      <c r="H9" s="491"/>
      <c r="I9" s="491"/>
      <c r="J9" s="491"/>
      <c r="K9" s="538" t="s">
        <v>832</v>
      </c>
    </row>
    <row r="10" spans="1:14" ht="46.5" customHeight="1">
      <c r="A10" s="492"/>
      <c r="B10" s="493" t="s">
        <v>833</v>
      </c>
      <c r="C10" s="513" t="s">
        <v>59</v>
      </c>
      <c r="D10" s="527">
        <v>5664000</v>
      </c>
      <c r="E10" s="528">
        <v>6723000</v>
      </c>
      <c r="F10" s="483">
        <f t="shared" si="0"/>
        <v>1059000</v>
      </c>
      <c r="G10" s="491"/>
      <c r="H10" s="491"/>
      <c r="I10" s="491"/>
      <c r="J10" s="491"/>
      <c r="K10" s="538" t="s">
        <v>829</v>
      </c>
    </row>
    <row r="11" spans="1:14" ht="46.5" customHeight="1">
      <c r="A11" s="492"/>
      <c r="B11" s="491"/>
      <c r="C11" s="513" t="s">
        <v>258</v>
      </c>
      <c r="D11" s="527">
        <v>491176000</v>
      </c>
      <c r="E11" s="528">
        <v>509048000</v>
      </c>
      <c r="F11" s="483">
        <f t="shared" ref="F11:F19" si="1">E11-D11</f>
        <v>17872000</v>
      </c>
      <c r="G11" s="491"/>
      <c r="H11" s="491"/>
      <c r="I11" s="491"/>
      <c r="J11" s="491"/>
      <c r="K11" s="539" t="s">
        <v>888</v>
      </c>
    </row>
    <row r="12" spans="1:14" ht="46.5" customHeight="1">
      <c r="A12" s="492"/>
      <c r="B12" s="491"/>
      <c r="C12" s="514" t="s">
        <v>831</v>
      </c>
      <c r="D12" s="527">
        <v>153566000</v>
      </c>
      <c r="E12" s="528">
        <v>154334000</v>
      </c>
      <c r="F12" s="483">
        <f t="shared" si="1"/>
        <v>768000</v>
      </c>
      <c r="G12" s="491"/>
      <c r="H12" s="491"/>
      <c r="I12" s="491"/>
      <c r="J12" s="491"/>
      <c r="K12" s="538" t="s">
        <v>834</v>
      </c>
    </row>
    <row r="13" spans="1:14" ht="46.5" customHeight="1" thickBot="1">
      <c r="A13" s="494"/>
      <c r="B13" s="496"/>
      <c r="C13" s="515" t="s">
        <v>835</v>
      </c>
      <c r="D13" s="529">
        <v>14454000</v>
      </c>
      <c r="E13" s="530">
        <v>14254000</v>
      </c>
      <c r="F13" s="519">
        <f t="shared" si="1"/>
        <v>-200000</v>
      </c>
      <c r="G13" s="496"/>
      <c r="H13" s="496"/>
      <c r="I13" s="496"/>
      <c r="J13" s="496"/>
      <c r="K13" s="540" t="s">
        <v>889</v>
      </c>
    </row>
    <row r="14" spans="1:14" ht="46.5" customHeight="1" thickBot="1">
      <c r="A14" s="508" t="s">
        <v>83</v>
      </c>
      <c r="B14" s="498" t="s">
        <v>216</v>
      </c>
      <c r="C14" s="511" t="s">
        <v>836</v>
      </c>
      <c r="D14" s="523">
        <v>31515000</v>
      </c>
      <c r="E14" s="531">
        <v>31815000</v>
      </c>
      <c r="F14" s="502">
        <f t="shared" si="1"/>
        <v>300000</v>
      </c>
      <c r="G14" s="509"/>
      <c r="H14" s="509"/>
      <c r="I14" s="509"/>
      <c r="J14" s="509"/>
      <c r="K14" s="536" t="s">
        <v>837</v>
      </c>
    </row>
    <row r="15" spans="1:14" ht="46.5" customHeight="1">
      <c r="A15" s="503" t="s">
        <v>392</v>
      </c>
      <c r="B15" s="504" t="s">
        <v>838</v>
      </c>
      <c r="C15" s="516" t="s">
        <v>839</v>
      </c>
      <c r="D15" s="532">
        <v>15010000</v>
      </c>
      <c r="E15" s="533">
        <v>19169000</v>
      </c>
      <c r="F15" s="520">
        <f t="shared" si="1"/>
        <v>4159000</v>
      </c>
      <c r="G15" s="491"/>
      <c r="H15" s="491"/>
      <c r="I15" s="491"/>
      <c r="J15" s="491"/>
      <c r="K15" s="541" t="s">
        <v>840</v>
      </c>
    </row>
    <row r="16" spans="1:14" ht="46.5" customHeight="1">
      <c r="A16" s="492"/>
      <c r="B16" s="484"/>
      <c r="C16" s="514" t="s">
        <v>841</v>
      </c>
      <c r="D16" s="527">
        <v>8111000</v>
      </c>
      <c r="E16" s="528">
        <v>6033000</v>
      </c>
      <c r="F16" s="483">
        <f t="shared" si="1"/>
        <v>-2078000</v>
      </c>
      <c r="G16" s="491"/>
      <c r="H16" s="491"/>
      <c r="I16" s="491"/>
      <c r="J16" s="491"/>
      <c r="K16" s="539" t="s">
        <v>842</v>
      </c>
    </row>
    <row r="17" spans="1:11" ht="46.5" customHeight="1">
      <c r="A17" s="492"/>
      <c r="B17" s="484"/>
      <c r="C17" s="514" t="s">
        <v>843</v>
      </c>
      <c r="D17" s="527">
        <v>653000</v>
      </c>
      <c r="E17" s="528">
        <v>211000</v>
      </c>
      <c r="F17" s="483">
        <f t="shared" si="1"/>
        <v>-442000</v>
      </c>
      <c r="G17" s="491"/>
      <c r="H17" s="491"/>
      <c r="I17" s="491"/>
      <c r="J17" s="491"/>
      <c r="K17" s="539" t="s">
        <v>845</v>
      </c>
    </row>
    <row r="18" spans="1:11" ht="46.5" customHeight="1">
      <c r="A18" s="492"/>
      <c r="B18" s="485"/>
      <c r="C18" s="514" t="s">
        <v>844</v>
      </c>
      <c r="D18" s="527">
        <v>12010000</v>
      </c>
      <c r="E18" s="528">
        <v>11967000</v>
      </c>
      <c r="F18" s="483">
        <f t="shared" si="1"/>
        <v>-43000</v>
      </c>
      <c r="G18" s="491"/>
      <c r="H18" s="491"/>
      <c r="I18" s="491"/>
      <c r="J18" s="491"/>
      <c r="K18" s="539" t="s">
        <v>846</v>
      </c>
    </row>
    <row r="19" spans="1:11" ht="46.5" customHeight="1" thickBot="1">
      <c r="A19" s="494"/>
      <c r="B19" s="495" t="s">
        <v>847</v>
      </c>
      <c r="C19" s="515" t="s">
        <v>848</v>
      </c>
      <c r="D19" s="529">
        <v>13030000</v>
      </c>
      <c r="E19" s="530">
        <v>22187000</v>
      </c>
      <c r="F19" s="519">
        <f t="shared" si="1"/>
        <v>9157000</v>
      </c>
      <c r="G19" s="496"/>
      <c r="H19" s="496"/>
      <c r="I19" s="496"/>
      <c r="J19" s="496"/>
      <c r="K19" s="540" t="s">
        <v>849</v>
      </c>
    </row>
    <row r="20" spans="1:11" ht="46.5" customHeight="1">
      <c r="D20" s="479"/>
      <c r="E20" s="479"/>
    </row>
    <row r="21" spans="1:11" ht="46.5" customHeight="1">
      <c r="D21" s="479"/>
      <c r="E21" s="479"/>
    </row>
    <row r="22" spans="1:11" ht="46.5" customHeight="1"/>
    <row r="23" spans="1:11" ht="46.5" customHeight="1"/>
    <row r="24" spans="1:11" ht="46.5" customHeight="1"/>
    <row r="25" spans="1:11" ht="46.5" customHeight="1"/>
    <row r="26" spans="1:11" ht="46.5" customHeight="1"/>
    <row r="27" spans="1:11" ht="46.5" customHeight="1"/>
    <row r="28" spans="1:11" ht="46.5" customHeight="1"/>
    <row r="29" spans="1:11" ht="46.5" customHeight="1"/>
    <row r="30" spans="1:11" ht="24.95" customHeight="1"/>
    <row r="31" spans="1:11" ht="24.95" customHeight="1"/>
    <row r="32" spans="1:11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12"/>
  <sheetViews>
    <sheetView workbookViewId="0">
      <selection activeCell="D4" sqref="D4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3.21875" customWidth="1"/>
  </cols>
  <sheetData>
    <row r="1" spans="1:14" ht="46.5" customHeight="1" thickBot="1">
      <c r="A1" s="642" t="s">
        <v>852</v>
      </c>
      <c r="B1" s="642"/>
      <c r="C1" s="642"/>
      <c r="D1" s="642"/>
      <c r="E1" s="642"/>
      <c r="F1" s="642"/>
      <c r="G1" s="642"/>
      <c r="H1" s="642"/>
      <c r="I1" s="642"/>
      <c r="J1" s="642"/>
      <c r="K1" s="642"/>
    </row>
    <row r="2" spans="1:14" ht="46.5" customHeight="1">
      <c r="A2" s="643" t="s">
        <v>816</v>
      </c>
      <c r="B2" s="644"/>
      <c r="C2" s="645"/>
      <c r="D2" s="643" t="s">
        <v>819</v>
      </c>
      <c r="E2" s="645"/>
      <c r="F2" s="646" t="s">
        <v>824</v>
      </c>
      <c r="G2" s="648" t="s">
        <v>823</v>
      </c>
      <c r="H2" s="649"/>
      <c r="I2" s="649"/>
      <c r="J2" s="649"/>
      <c r="K2" s="652" t="s">
        <v>822</v>
      </c>
      <c r="L2" s="480"/>
      <c r="M2" s="480"/>
      <c r="N2" s="480"/>
    </row>
    <row r="3" spans="1:14" ht="46.5" customHeight="1" thickBot="1">
      <c r="A3" s="489" t="s">
        <v>817</v>
      </c>
      <c r="B3" s="490" t="s">
        <v>818</v>
      </c>
      <c r="C3" s="510" t="s">
        <v>342</v>
      </c>
      <c r="D3" s="489" t="s">
        <v>820</v>
      </c>
      <c r="E3" s="510" t="s">
        <v>821</v>
      </c>
      <c r="F3" s="647"/>
      <c r="G3" s="650"/>
      <c r="H3" s="651"/>
      <c r="I3" s="651"/>
      <c r="J3" s="651"/>
      <c r="K3" s="653"/>
      <c r="L3" s="480"/>
      <c r="M3" s="480"/>
      <c r="N3" s="480"/>
    </row>
    <row r="4" spans="1:14" ht="46.5" customHeight="1" thickBot="1">
      <c r="A4" s="654" t="s">
        <v>850</v>
      </c>
      <c r="B4" s="655"/>
      <c r="C4" s="656"/>
      <c r="D4" s="521">
        <f>SUM(D5:D19)</f>
        <v>1694647000</v>
      </c>
      <c r="E4" s="522">
        <f>SUM(E5:E19)</f>
        <v>1743846000</v>
      </c>
      <c r="F4" s="517">
        <f t="shared" ref="F4:F19" si="0">E4-D4</f>
        <v>49199000</v>
      </c>
      <c r="G4" s="481"/>
      <c r="H4" s="481"/>
      <c r="I4" s="481"/>
      <c r="J4" s="481"/>
      <c r="K4" s="535"/>
      <c r="L4" s="480"/>
      <c r="M4" s="480"/>
      <c r="N4" s="480"/>
    </row>
    <row r="5" spans="1:14" ht="50.1" customHeight="1">
      <c r="A5" s="542" t="s">
        <v>853</v>
      </c>
      <c r="B5" s="543" t="s">
        <v>854</v>
      </c>
      <c r="C5" s="512" t="s">
        <v>855</v>
      </c>
      <c r="D5" s="525">
        <v>779805000</v>
      </c>
      <c r="E5" s="526">
        <v>808241000</v>
      </c>
      <c r="F5" s="518">
        <f t="shared" si="0"/>
        <v>28436000</v>
      </c>
      <c r="G5" s="507"/>
      <c r="H5" s="507"/>
      <c r="I5" s="507"/>
      <c r="J5" s="507"/>
      <c r="K5" s="537" t="s">
        <v>856</v>
      </c>
    </row>
    <row r="6" spans="1:14" ht="50.1" customHeight="1">
      <c r="A6" s="492"/>
      <c r="B6" s="504"/>
      <c r="C6" s="513" t="s">
        <v>857</v>
      </c>
      <c r="D6" s="527">
        <v>367488000</v>
      </c>
      <c r="E6" s="528">
        <v>376394000</v>
      </c>
      <c r="F6" s="483">
        <f t="shared" si="0"/>
        <v>8906000</v>
      </c>
      <c r="G6" s="491"/>
      <c r="H6" s="491"/>
      <c r="I6" s="491"/>
      <c r="J6" s="491"/>
      <c r="K6" s="538" t="s">
        <v>858</v>
      </c>
    </row>
    <row r="7" spans="1:14" ht="50.1" customHeight="1">
      <c r="A7" s="492"/>
      <c r="B7" s="484"/>
      <c r="C7" s="514" t="s">
        <v>859</v>
      </c>
      <c r="D7" s="527">
        <v>95609000</v>
      </c>
      <c r="E7" s="528">
        <v>98720000</v>
      </c>
      <c r="F7" s="483">
        <f t="shared" si="0"/>
        <v>3111000</v>
      </c>
      <c r="G7" s="491"/>
      <c r="H7" s="491"/>
      <c r="I7" s="491"/>
      <c r="J7" s="491"/>
      <c r="K7" s="539" t="s">
        <v>860</v>
      </c>
    </row>
    <row r="8" spans="1:14" ht="50.1" customHeight="1">
      <c r="A8" s="492"/>
      <c r="B8" s="484"/>
      <c r="C8" s="514" t="s">
        <v>861</v>
      </c>
      <c r="D8" s="527">
        <v>94559000</v>
      </c>
      <c r="E8" s="528">
        <v>97947000</v>
      </c>
      <c r="F8" s="483">
        <f t="shared" si="0"/>
        <v>3388000</v>
      </c>
      <c r="G8" s="491"/>
      <c r="H8" s="491"/>
      <c r="I8" s="491"/>
      <c r="J8" s="491"/>
      <c r="K8" s="538" t="s">
        <v>862</v>
      </c>
    </row>
    <row r="9" spans="1:14" ht="50.1" customHeight="1">
      <c r="A9" s="492"/>
      <c r="B9" s="493"/>
      <c r="C9" s="514" t="s">
        <v>863</v>
      </c>
      <c r="D9" s="527">
        <v>20877000</v>
      </c>
      <c r="E9" s="528">
        <v>21697000</v>
      </c>
      <c r="F9" s="483">
        <f t="shared" si="0"/>
        <v>820000</v>
      </c>
      <c r="G9" s="491"/>
      <c r="H9" s="491"/>
      <c r="I9" s="491"/>
      <c r="J9" s="491"/>
      <c r="K9" s="538" t="s">
        <v>864</v>
      </c>
    </row>
    <row r="10" spans="1:14" ht="50.1" customHeight="1">
      <c r="A10" s="492"/>
      <c r="B10" s="482" t="s">
        <v>865</v>
      </c>
      <c r="C10" s="514" t="s">
        <v>866</v>
      </c>
      <c r="D10" s="527">
        <v>1750000</v>
      </c>
      <c r="E10" s="528">
        <v>1350000</v>
      </c>
      <c r="F10" s="483">
        <f t="shared" si="0"/>
        <v>-400000</v>
      </c>
      <c r="G10" s="491"/>
      <c r="H10" s="491"/>
      <c r="I10" s="491"/>
      <c r="J10" s="491"/>
      <c r="K10" s="538" t="s">
        <v>867</v>
      </c>
    </row>
    <row r="11" spans="1:14" ht="50.1" customHeight="1">
      <c r="A11" s="492"/>
      <c r="B11" s="493" t="s">
        <v>138</v>
      </c>
      <c r="C11" s="544" t="s">
        <v>868</v>
      </c>
      <c r="D11" s="545">
        <v>21088000</v>
      </c>
      <c r="E11" s="546">
        <v>21548000</v>
      </c>
      <c r="F11" s="547">
        <f t="shared" si="0"/>
        <v>460000</v>
      </c>
      <c r="G11" s="491"/>
      <c r="H11" s="491"/>
      <c r="I11" s="491"/>
      <c r="J11" s="491"/>
      <c r="K11" s="548" t="s">
        <v>869</v>
      </c>
    </row>
    <row r="12" spans="1:14" ht="50.1" customHeight="1" thickBot="1">
      <c r="A12" s="494"/>
      <c r="B12" s="496"/>
      <c r="C12" s="515" t="s">
        <v>870</v>
      </c>
      <c r="D12" s="529">
        <v>25840000</v>
      </c>
      <c r="E12" s="530">
        <v>26788000</v>
      </c>
      <c r="F12" s="519">
        <f t="shared" si="0"/>
        <v>948000</v>
      </c>
      <c r="G12" s="496"/>
      <c r="H12" s="496"/>
      <c r="I12" s="496"/>
      <c r="J12" s="496"/>
      <c r="K12" s="549" t="s">
        <v>871</v>
      </c>
    </row>
    <row r="13" spans="1:14" ht="46.5" customHeight="1">
      <c r="A13" s="542" t="s">
        <v>872</v>
      </c>
      <c r="B13" s="543" t="s">
        <v>873</v>
      </c>
      <c r="C13" s="557" t="s">
        <v>874</v>
      </c>
      <c r="D13" s="525">
        <v>22000000</v>
      </c>
      <c r="E13" s="558">
        <v>24760000</v>
      </c>
      <c r="F13" s="518">
        <f t="shared" si="0"/>
        <v>2760000</v>
      </c>
      <c r="G13" s="559"/>
      <c r="H13" s="559"/>
      <c r="I13" s="559"/>
      <c r="J13" s="559"/>
      <c r="K13" s="537" t="s">
        <v>875</v>
      </c>
    </row>
    <row r="14" spans="1:14" ht="46.5" customHeight="1" thickBot="1">
      <c r="A14" s="550"/>
      <c r="B14" s="551"/>
      <c r="C14" s="552" t="s">
        <v>876</v>
      </c>
      <c r="D14" s="553">
        <v>20812000</v>
      </c>
      <c r="E14" s="554">
        <v>19957000</v>
      </c>
      <c r="F14" s="555">
        <f t="shared" si="0"/>
        <v>-855000</v>
      </c>
      <c r="G14" s="496"/>
      <c r="H14" s="496"/>
      <c r="I14" s="496"/>
      <c r="J14" s="496"/>
      <c r="K14" s="556" t="s">
        <v>877</v>
      </c>
    </row>
    <row r="15" spans="1:14" ht="46.5" customHeight="1">
      <c r="A15" s="561" t="s">
        <v>225</v>
      </c>
      <c r="B15" s="562" t="s">
        <v>138</v>
      </c>
      <c r="C15" s="557" t="s">
        <v>59</v>
      </c>
      <c r="D15" s="525">
        <v>129927000</v>
      </c>
      <c r="E15" s="526">
        <v>129725000</v>
      </c>
      <c r="F15" s="518">
        <f t="shared" si="0"/>
        <v>-202000</v>
      </c>
      <c r="G15" s="507"/>
      <c r="H15" s="507"/>
      <c r="I15" s="507"/>
      <c r="J15" s="507"/>
      <c r="K15" s="537" t="s">
        <v>878</v>
      </c>
    </row>
    <row r="16" spans="1:14" ht="46.5" customHeight="1">
      <c r="A16" s="492"/>
      <c r="B16" s="484"/>
      <c r="C16" s="514" t="s">
        <v>879</v>
      </c>
      <c r="D16" s="527">
        <v>6300000</v>
      </c>
      <c r="E16" s="528">
        <v>6805000</v>
      </c>
      <c r="F16" s="483">
        <f t="shared" si="0"/>
        <v>505000</v>
      </c>
      <c r="G16" s="491"/>
      <c r="H16" s="491"/>
      <c r="I16" s="491"/>
      <c r="J16" s="491"/>
      <c r="K16" s="539" t="s">
        <v>880</v>
      </c>
    </row>
    <row r="17" spans="1:11" ht="46.5" customHeight="1">
      <c r="A17" s="492"/>
      <c r="B17" s="484"/>
      <c r="C17" s="514" t="s">
        <v>136</v>
      </c>
      <c r="D17" s="527">
        <v>11366000</v>
      </c>
      <c r="E17" s="528">
        <v>12266000</v>
      </c>
      <c r="F17" s="483">
        <f t="shared" si="0"/>
        <v>900000</v>
      </c>
      <c r="G17" s="491"/>
      <c r="H17" s="491"/>
      <c r="I17" s="491"/>
      <c r="J17" s="491"/>
      <c r="K17" s="539" t="s">
        <v>882</v>
      </c>
    </row>
    <row r="18" spans="1:11" ht="46.5" customHeight="1" thickBot="1">
      <c r="A18" s="494"/>
      <c r="B18" s="495" t="s">
        <v>883</v>
      </c>
      <c r="C18" s="564" t="s">
        <v>883</v>
      </c>
      <c r="D18" s="529">
        <v>89115000</v>
      </c>
      <c r="E18" s="530">
        <v>91615000</v>
      </c>
      <c r="F18" s="519">
        <f t="shared" si="0"/>
        <v>2500000</v>
      </c>
      <c r="G18" s="496"/>
      <c r="H18" s="496"/>
      <c r="I18" s="496"/>
      <c r="J18" s="496"/>
      <c r="K18" s="540" t="s">
        <v>884</v>
      </c>
    </row>
    <row r="19" spans="1:11" ht="46.5" customHeight="1" thickBot="1">
      <c r="A19" s="497" t="s">
        <v>886</v>
      </c>
      <c r="B19" s="498" t="s">
        <v>885</v>
      </c>
      <c r="C19" s="511" t="s">
        <v>885</v>
      </c>
      <c r="D19" s="523">
        <v>8111000</v>
      </c>
      <c r="E19" s="524">
        <v>6033000</v>
      </c>
      <c r="F19" s="502">
        <f t="shared" si="0"/>
        <v>-2078000</v>
      </c>
      <c r="G19" s="509"/>
      <c r="H19" s="509"/>
      <c r="I19" s="509"/>
      <c r="J19" s="509"/>
      <c r="K19" s="563" t="s">
        <v>887</v>
      </c>
    </row>
    <row r="20" spans="1:11" ht="46.5" customHeight="1">
      <c r="D20" s="479"/>
      <c r="E20" s="479"/>
    </row>
    <row r="21" spans="1:11" ht="46.5" customHeight="1">
      <c r="D21" s="479"/>
      <c r="E21" s="479"/>
    </row>
    <row r="22" spans="1:11" ht="46.5" customHeight="1"/>
    <row r="23" spans="1:11" ht="46.5" customHeight="1"/>
    <row r="24" spans="1:11" ht="46.5" customHeight="1"/>
    <row r="25" spans="1:11" ht="46.5" customHeight="1"/>
    <row r="26" spans="1:11" ht="46.5" customHeight="1"/>
    <row r="27" spans="1:11" ht="46.5" customHeight="1"/>
    <row r="28" spans="1:11" ht="46.5" customHeight="1"/>
    <row r="29" spans="1:11" ht="46.5" customHeight="1"/>
    <row r="30" spans="1:11" ht="24.95" customHeight="1"/>
    <row r="31" spans="1:11" ht="24.95" customHeight="1"/>
    <row r="32" spans="1:11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12</vt:i4>
      </vt:variant>
    </vt:vector>
  </HeadingPairs>
  <TitlesOfParts>
    <vt:vector size="17" baseType="lpstr">
      <vt:lpstr>세입세출총괄표</vt:lpstr>
      <vt:lpstr>세입</vt:lpstr>
      <vt:lpstr>세출</vt:lpstr>
      <vt:lpstr>추경세입명세서</vt:lpstr>
      <vt:lpstr>추경세출명세서</vt:lpstr>
      <vt:lpstr>세출!가족수당</vt:lpstr>
      <vt:lpstr>세출!기본급</vt:lpstr>
      <vt:lpstr>세출!기본급7종</vt:lpstr>
      <vt:lpstr>세출!기본급법인</vt:lpstr>
      <vt:lpstr>세출!명절휴가비</vt:lpstr>
      <vt:lpstr>세출!연장근로수당</vt:lpstr>
      <vt:lpstr>세출!제수당총액</vt:lpstr>
      <vt:lpstr>세입!Print_Area</vt:lpstr>
      <vt:lpstr>세입!Print_Titles</vt:lpstr>
      <vt:lpstr>세출!Print_Titles</vt:lpstr>
      <vt:lpstr>추경세입명세서!Print_Titles</vt:lpstr>
      <vt:lpstr>추경세출명세서!Print_Titles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이근관 아놀드</cp:lastModifiedBy>
  <cp:revision>65</cp:revision>
  <cp:lastPrinted>2014-06-14T08:05:13Z</cp:lastPrinted>
  <dcterms:created xsi:type="dcterms:W3CDTF">2003-12-18T04:11:57Z</dcterms:created>
  <dcterms:modified xsi:type="dcterms:W3CDTF">2014-08-29T08:36:45Z</dcterms:modified>
</cp:coreProperties>
</file>