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20" yWindow="15" windowWidth="9690" windowHeight="9750" tabRatio="487" activeTab="3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세출!$A$1:$AD$159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E5" i="21"/>
  <c r="E9" i="20" l="1"/>
  <c r="E11"/>
  <c r="E28" i="21"/>
  <c r="E24"/>
  <c r="E23"/>
  <c r="E17"/>
  <c r="E16"/>
  <c r="E15"/>
  <c r="E13"/>
  <c r="E14"/>
  <c r="E27"/>
  <c r="E26"/>
  <c r="E25"/>
  <c r="E22"/>
  <c r="E21"/>
  <c r="E20"/>
  <c r="E19"/>
  <c r="E18" l="1"/>
  <c r="F18" s="1"/>
  <c r="F17"/>
  <c r="F13"/>
  <c r="E12"/>
  <c r="F12" s="1"/>
  <c r="E11"/>
  <c r="F11" s="1"/>
  <c r="E10"/>
  <c r="F10" s="1"/>
  <c r="E9"/>
  <c r="E8"/>
  <c r="F8" s="1"/>
  <c r="E18" i="20"/>
  <c r="F18" s="1"/>
  <c r="E17"/>
  <c r="F17" s="1"/>
  <c r="E15"/>
  <c r="F15" s="1"/>
  <c r="E14"/>
  <c r="E13"/>
  <c r="E8"/>
  <c r="E7"/>
  <c r="E6"/>
  <c r="F29" i="21"/>
  <c r="F28"/>
  <c r="F27"/>
  <c r="F26"/>
  <c r="F25"/>
  <c r="F24"/>
  <c r="F23"/>
  <c r="F22"/>
  <c r="F21"/>
  <c r="F20"/>
  <c r="F19"/>
  <c r="F16"/>
  <c r="F15"/>
  <c r="F14"/>
  <c r="F9"/>
  <c r="D4"/>
  <c r="J18" i="20"/>
  <c r="F16"/>
  <c r="F14"/>
  <c r="F13"/>
  <c r="F12"/>
  <c r="F11"/>
  <c r="F10"/>
  <c r="F9"/>
  <c r="F8"/>
  <c r="F6"/>
  <c r="J5"/>
  <c r="F5"/>
  <c r="D4"/>
  <c r="E4" l="1"/>
  <c r="F4" s="1"/>
  <c r="F5" i="21"/>
  <c r="F7" i="20"/>
  <c r="J24" i="19" l="1"/>
  <c r="J23" s="1"/>
  <c r="J18"/>
  <c r="J20"/>
  <c r="J22"/>
  <c r="J11"/>
  <c r="K11" s="1"/>
  <c r="J21"/>
  <c r="J19"/>
  <c r="K19" s="1"/>
  <c r="J15"/>
  <c r="K15" s="1"/>
  <c r="J14"/>
  <c r="K14" s="1"/>
  <c r="E13"/>
  <c r="F13"/>
  <c r="J10"/>
  <c r="K10" s="1"/>
  <c r="E22"/>
  <c r="E21" s="1"/>
  <c r="E20"/>
  <c r="E19" s="1"/>
  <c r="E16"/>
  <c r="E14" s="1"/>
  <c r="E12"/>
  <c r="E9"/>
  <c r="K28"/>
  <c r="K27"/>
  <c r="J27"/>
  <c r="I27"/>
  <c r="K26"/>
  <c r="K25" s="1"/>
  <c r="J25"/>
  <c r="I25"/>
  <c r="I23"/>
  <c r="K22"/>
  <c r="K21"/>
  <c r="D21"/>
  <c r="K20"/>
  <c r="D19"/>
  <c r="K18"/>
  <c r="F18"/>
  <c r="F17" s="1"/>
  <c r="E17"/>
  <c r="D17"/>
  <c r="I16"/>
  <c r="F15"/>
  <c r="D14"/>
  <c r="K13"/>
  <c r="I12"/>
  <c r="F12"/>
  <c r="F11"/>
  <c r="D10"/>
  <c r="F9"/>
  <c r="F8" s="1"/>
  <c r="I8"/>
  <c r="E8"/>
  <c r="D8"/>
  <c r="J5"/>
  <c r="I5"/>
  <c r="K24" l="1"/>
  <c r="K23" s="1"/>
  <c r="I7"/>
  <c r="D7"/>
  <c r="F10"/>
  <c r="K12"/>
  <c r="E10"/>
  <c r="E7" s="1"/>
  <c r="F20"/>
  <c r="F19" s="1"/>
  <c r="J12"/>
  <c r="F22"/>
  <c r="F21" s="1"/>
  <c r="F16"/>
  <c r="F14" s="1"/>
  <c r="AF11" i="5"/>
  <c r="F7" i="19" l="1"/>
  <c r="J5" i="5"/>
  <c r="AC151" l="1"/>
  <c r="AC150" s="1"/>
  <c r="AC145"/>
  <c r="H115"/>
  <c r="AC126"/>
  <c r="H104"/>
  <c r="H79"/>
  <c r="AC79"/>
  <c r="AC73"/>
  <c r="AC53" l="1"/>
  <c r="J52" s="1"/>
  <c r="E52" s="1"/>
  <c r="AC132" l="1"/>
  <c r="AC48"/>
  <c r="H47" s="1"/>
  <c r="AC144" l="1"/>
  <c r="AC135" l="1"/>
  <c r="F79" l="1"/>
  <c r="AC125"/>
  <c r="AC124"/>
  <c r="J98"/>
  <c r="AC98"/>
  <c r="AC104"/>
  <c r="AC110"/>
  <c r="AF14" s="1"/>
  <c r="AG14" s="1"/>
  <c r="F9" i="4"/>
  <c r="H88" i="5"/>
  <c r="AC88"/>
  <c r="AC77"/>
  <c r="AC42"/>
  <c r="H42" s="1"/>
  <c r="H41" s="1"/>
  <c r="J17" i="19" l="1"/>
  <c r="I108" i="5"/>
  <c r="AC21"/>
  <c r="AC22"/>
  <c r="V20"/>
  <c r="Q22"/>
  <c r="Q21"/>
  <c r="Q14"/>
  <c r="AC9"/>
  <c r="J16" i="19" l="1"/>
  <c r="K17"/>
  <c r="K16" s="1"/>
  <c r="F155" i="5"/>
  <c r="G155"/>
  <c r="L28" i="4"/>
  <c r="L30"/>
  <c r="J21"/>
  <c r="I21"/>
  <c r="H21"/>
  <c r="F21"/>
  <c r="G21"/>
  <c r="AB21"/>
  <c r="AB30"/>
  <c r="H30"/>
  <c r="F30"/>
  <c r="L16"/>
  <c r="I34"/>
  <c r="H34"/>
  <c r="H27" s="1"/>
  <c r="F34"/>
  <c r="I27"/>
  <c r="AB34"/>
  <c r="AB27" s="1"/>
  <c r="J27"/>
  <c r="G27"/>
  <c r="D27"/>
  <c r="E30" l="1"/>
  <c r="K30" s="1"/>
  <c r="AB12"/>
  <c r="G9" s="1"/>
  <c r="G8" s="1"/>
  <c r="G7" s="1"/>
  <c r="AB9" l="1"/>
  <c r="E9" l="1"/>
  <c r="E8" s="1"/>
  <c r="F55" i="5" l="1"/>
  <c r="H55"/>
  <c r="AC55"/>
  <c r="I98" l="1"/>
  <c r="F104"/>
  <c r="H93"/>
  <c r="G88"/>
  <c r="G38"/>
  <c r="AC155"/>
  <c r="H83" l="1"/>
  <c r="H82" s="1"/>
  <c r="E34" i="4"/>
  <c r="F27"/>
  <c r="J11" i="5"/>
  <c r="F8" i="4"/>
  <c r="F7" s="1"/>
  <c r="F4" s="1"/>
  <c r="AC31" i="5"/>
  <c r="AC122"/>
  <c r="AC154"/>
  <c r="AC52"/>
  <c r="AC27"/>
  <c r="AC143"/>
  <c r="AC148"/>
  <c r="AC147" s="1"/>
  <c r="AC140"/>
  <c r="AC134"/>
  <c r="AB14" i="4"/>
  <c r="G14" l="1"/>
  <c r="G4" s="1"/>
  <c r="AB8"/>
  <c r="AB7" s="1"/>
  <c r="AC131" i="5"/>
  <c r="AC24"/>
  <c r="H6"/>
  <c r="Q13" l="1"/>
  <c r="AC116"/>
  <c r="J38"/>
  <c r="I38"/>
  <c r="H38"/>
  <c r="F38"/>
  <c r="AC115" l="1"/>
  <c r="E38"/>
  <c r="E14" i="4"/>
  <c r="K14" l="1"/>
  <c r="L14" s="1"/>
  <c r="E7"/>
  <c r="AC64" i="5"/>
  <c r="AC63"/>
  <c r="G83" l="1"/>
  <c r="H60"/>
  <c r="AC123"/>
  <c r="AC72"/>
  <c r="H66" s="1"/>
  <c r="AC17"/>
  <c r="I18" i="4"/>
  <c r="I4" s="1"/>
  <c r="AB6"/>
  <c r="F98" i="5"/>
  <c r="I5"/>
  <c r="AB18" i="4"/>
  <c r="E88" i="5"/>
  <c r="F84"/>
  <c r="F83" s="1"/>
  <c r="F82" s="1"/>
  <c r="D8" i="4"/>
  <c r="E28"/>
  <c r="E27" s="1"/>
  <c r="G82" i="5" l="1"/>
  <c r="I97"/>
  <c r="I96" s="1"/>
  <c r="E18" i="4"/>
  <c r="K18" s="1"/>
  <c r="L18" s="1"/>
  <c r="E93" i="5"/>
  <c r="E83" s="1"/>
  <c r="E82" s="1"/>
  <c r="K27" i="4"/>
  <c r="Q20" i="5" l="1"/>
  <c r="AC20" s="1"/>
  <c r="AC19" s="1"/>
  <c r="H111"/>
  <c r="AC62"/>
  <c r="E104"/>
  <c r="K104" s="1"/>
  <c r="AC141"/>
  <c r="I118" s="1"/>
  <c r="I4" s="1"/>
  <c r="AC47"/>
  <c r="N20"/>
  <c r="N14"/>
  <c r="N13"/>
  <c r="AC14"/>
  <c r="AC38"/>
  <c r="E47" l="1"/>
  <c r="K47" s="1"/>
  <c r="AC16"/>
  <c r="K38"/>
  <c r="L38" s="1"/>
  <c r="F115"/>
  <c r="E115" s="1"/>
  <c r="AC61"/>
  <c r="AC60" s="1"/>
  <c r="E60" s="1"/>
  <c r="G97"/>
  <c r="J97"/>
  <c r="J83"/>
  <c r="J82" s="1"/>
  <c r="G51"/>
  <c r="J51"/>
  <c r="G41"/>
  <c r="AC139"/>
  <c r="AC138"/>
  <c r="AC129"/>
  <c r="AC109"/>
  <c r="AC69"/>
  <c r="AC70"/>
  <c r="AC71"/>
  <c r="AC68"/>
  <c r="AC67"/>
  <c r="AG11" l="1"/>
  <c r="H119"/>
  <c r="H118" s="1"/>
  <c r="F66"/>
  <c r="AC66"/>
  <c r="F60"/>
  <c r="H98"/>
  <c r="E98" s="1"/>
  <c r="AC121"/>
  <c r="H108"/>
  <c r="AC108"/>
  <c r="AC137"/>
  <c r="AC128"/>
  <c r="AC119" s="1"/>
  <c r="F41"/>
  <c r="AC23"/>
  <c r="G11" s="1"/>
  <c r="G6" s="1"/>
  <c r="AC13"/>
  <c r="AC10"/>
  <c r="AC8"/>
  <c r="F51" l="1"/>
  <c r="H97"/>
  <c r="H96" s="1"/>
  <c r="E119"/>
  <c r="E118" s="1"/>
  <c r="AC118"/>
  <c r="J27"/>
  <c r="AC7"/>
  <c r="G5"/>
  <c r="AC12"/>
  <c r="F11" s="1"/>
  <c r="F7" l="1"/>
  <c r="E7" s="1"/>
  <c r="Q28"/>
  <c r="AC11"/>
  <c r="K119"/>
  <c r="L119" s="1"/>
  <c r="F27"/>
  <c r="AB16" i="4"/>
  <c r="AC6" i="5" l="1"/>
  <c r="E7" i="21"/>
  <c r="J9" i="19"/>
  <c r="E21" i="4"/>
  <c r="K21" s="1"/>
  <c r="L21" s="1"/>
  <c r="Q35" i="5"/>
  <c r="Q33"/>
  <c r="Q34" s="1"/>
  <c r="Q36"/>
  <c r="Q32"/>
  <c r="J16" i="4"/>
  <c r="H8"/>
  <c r="H7" s="1"/>
  <c r="J8"/>
  <c r="J7" s="1"/>
  <c r="H154" i="5"/>
  <c r="J154"/>
  <c r="G154"/>
  <c r="F154"/>
  <c r="G118"/>
  <c r="G96" s="1"/>
  <c r="J118"/>
  <c r="J96" s="1"/>
  <c r="L84"/>
  <c r="AC84"/>
  <c r="K84" s="1"/>
  <c r="AC76"/>
  <c r="J41"/>
  <c r="F7" i="21" l="1"/>
  <c r="E4"/>
  <c r="F4" s="1"/>
  <c r="J8" i="19"/>
  <c r="J7" s="1"/>
  <c r="K9"/>
  <c r="K8" s="1"/>
  <c r="K7" s="1"/>
  <c r="AC51" i="5"/>
  <c r="H76"/>
  <c r="H51" s="1"/>
  <c r="H5" s="1"/>
  <c r="H4"/>
  <c r="J4"/>
  <c r="G4"/>
  <c r="AC93"/>
  <c r="AC83" l="1"/>
  <c r="F118"/>
  <c r="E108"/>
  <c r="K34" i="4" l="1"/>
  <c r="L34" s="1"/>
  <c r="K28"/>
  <c r="AB5"/>
  <c r="H5" l="1"/>
  <c r="H4" s="1"/>
  <c r="K7" i="5"/>
  <c r="E5" i="4" l="1"/>
  <c r="K5" s="1"/>
  <c r="L5" s="1"/>
  <c r="E11" i="5"/>
  <c r="J6" l="1"/>
  <c r="E27" l="1"/>
  <c r="AC112"/>
  <c r="AF8" s="1"/>
  <c r="AG8" s="1"/>
  <c r="F111" l="1"/>
  <c r="E111" s="1"/>
  <c r="K111" s="1"/>
  <c r="AC111"/>
  <c r="E66"/>
  <c r="K66" s="1"/>
  <c r="L66" s="1"/>
  <c r="AC41"/>
  <c r="AB4" i="4"/>
  <c r="L7" i="5"/>
  <c r="E42"/>
  <c r="L104"/>
  <c r="E155"/>
  <c r="L47"/>
  <c r="AC97" l="1"/>
  <c r="AC96" s="1"/>
  <c r="AC5"/>
  <c r="L111"/>
  <c r="K27"/>
  <c r="L27" s="1"/>
  <c r="K52"/>
  <c r="L52" s="1"/>
  <c r="K108"/>
  <c r="L108" s="1"/>
  <c r="K93"/>
  <c r="L93" s="1"/>
  <c r="AC82"/>
  <c r="E79"/>
  <c r="K79" s="1"/>
  <c r="L79" s="1"/>
  <c r="E76"/>
  <c r="K76" s="1"/>
  <c r="L76" s="1"/>
  <c r="K42"/>
  <c r="L42" s="1"/>
  <c r="K115"/>
  <c r="L115" s="1"/>
  <c r="K155"/>
  <c r="L155" s="1"/>
  <c r="E154"/>
  <c r="K154" s="1"/>
  <c r="L154" s="1"/>
  <c r="K118"/>
  <c r="L118" s="1"/>
  <c r="E45"/>
  <c r="K45" s="1"/>
  <c r="L45" s="1"/>
  <c r="E41" l="1"/>
  <c r="K41" s="1"/>
  <c r="L41" s="1"/>
  <c r="K60"/>
  <c r="L60" s="1"/>
  <c r="E16" i="4"/>
  <c r="K16" s="1"/>
  <c r="K82" i="5"/>
  <c r="L82" s="1"/>
  <c r="K11"/>
  <c r="L11" s="1"/>
  <c r="E55"/>
  <c r="E51" s="1"/>
  <c r="J4" i="4" l="1"/>
  <c r="E4" s="1"/>
  <c r="K55" i="5"/>
  <c r="L55" s="1"/>
  <c r="K51"/>
  <c r="L51" s="1"/>
  <c r="L27" i="4"/>
  <c r="K4" l="1"/>
  <c r="L4" s="1"/>
  <c r="K9"/>
  <c r="L9" s="1"/>
  <c r="K8"/>
  <c r="L8" s="1"/>
  <c r="K7" l="1"/>
  <c r="L7" s="1"/>
  <c r="K83" i="5"/>
  <c r="L83" s="1"/>
  <c r="K88"/>
  <c r="L88" s="1"/>
  <c r="K98" l="1"/>
  <c r="L98" s="1"/>
  <c r="E97"/>
  <c r="E96" s="1"/>
  <c r="F97"/>
  <c r="F96" s="1"/>
  <c r="K97" l="1"/>
  <c r="L97" l="1"/>
  <c r="K96"/>
  <c r="L96" s="1"/>
  <c r="F31" l="1"/>
  <c r="AC4" l="1"/>
  <c r="F6"/>
  <c r="F5" s="1"/>
  <c r="F4" s="1"/>
  <c r="E4" s="1"/>
  <c r="K4" s="1"/>
  <c r="L4" s="1"/>
  <c r="E31"/>
  <c r="E6" s="1"/>
  <c r="K31" l="1"/>
  <c r="L31" s="1"/>
  <c r="E5"/>
  <c r="K5" s="1"/>
  <c r="L5" s="1"/>
  <c r="K6" l="1"/>
  <c r="L6" s="1"/>
</calcChain>
</file>

<file path=xl/sharedStrings.xml><?xml version="1.0" encoding="utf-8"?>
<sst xmlns="http://schemas.openxmlformats.org/spreadsheetml/2006/main" count="997" uniqueCount="471">
  <si>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</si>
  <si>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</si>
  <si>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</si>
  <si>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</si>
  <si>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</si>
  <si>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</si>
  <si>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</si>
  <si>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</si>
  <si>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</si>
  <si>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</si>
  <si>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</si>
  <si>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</si>
  <si>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</si>
  <si>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</si>
  <si>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</si>
  <si>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</si>
  <si>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</si>
  <si>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</si>
  <si>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</si>
  <si>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</si>
  <si>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</si>
  <si>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</si>
  <si>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</si>
  <si>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</si>
  <si>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</si>
  <si>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</si>
  <si>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</si>
  <si>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</si>
  <si>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</si>
  <si>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</si>
  <si>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</si>
  <si>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</si>
  <si>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</si>
  <si>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</si>
  <si>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</si>
  <si>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</si>
  <si>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</si>
  <si>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</si>
  <si>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</si>
  <si>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</si>
  <si>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</si>
  <si>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</si>
  <si>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</si>
  <si>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</si>
  <si>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</si>
  <si>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</si>
  <si>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</si>
  <si>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</si>
  <si>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</si>
  <si>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</si>
  <si>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</si>
  <si>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</si>
  <si>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</si>
  <si>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</si>
  <si>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</si>
  <si>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</si>
  <si>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</si>
  <si>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</si>
  <si>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</si>
  <si>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</si>
  <si>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</si>
  <si>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</si>
  <si>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</si>
  <si>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</si>
  <si>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</si>
  <si>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</si>
  <si>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</si>
  <si>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</si>
  <si>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</si>
  <si>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</si>
  <si>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</si>
  <si>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</si>
  <si>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</si>
  <si>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</si>
  <si>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</si>
  <si>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</si>
  <si>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</si>
  <si>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</si>
  <si>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</si>
  <si>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</si>
  <si>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</si>
  <si>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</si>
  <si>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</si>
  <si>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</si>
  <si>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</si>
  <si>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</si>
  <si>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</si>
  <si>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</si>
  <si>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</si>
  <si>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</si>
  <si>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</si>
  <si>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</si>
  <si>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</si>
  <si>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</si>
  <si>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</si>
  <si>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</si>
  <si>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</si>
  <si>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</si>
  <si>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</si>
  <si>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</si>
  <si>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</si>
  <si>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</si>
  <si>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</si>
  <si>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</si>
  <si>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</si>
  <si>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</si>
  <si>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</si>
  <si>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</si>
  <si>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</si>
  <si>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</si>
  <si>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</si>
  <si>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</si>
  <si>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</si>
  <si>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</si>
  <si>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</si>
  <si>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</si>
  <si>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</si>
  <si>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</si>
  <si>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</si>
  <si>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</si>
  <si>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</si>
  <si>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</si>
  <si>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</si>
  <si>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</si>
  <si>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</si>
  <si>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</si>
  <si>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</si>
  <si>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</si>
  <si>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</si>
  <si>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</si>
  <si>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</si>
  <si>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</si>
  <si>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</si>
  <si>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</si>
  <si>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</si>
  <si>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</si>
  <si>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</si>
  <si>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</si>
  <si>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</si>
  <si>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</si>
  <si>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</si>
  <si>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</si>
  <si>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</si>
  <si>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</si>
  <si>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</si>
  <si>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</si>
  <si>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</si>
  <si>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</si>
  <si>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</si>
  <si>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</si>
  <si>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</si>
  <si>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</si>
  <si>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</si>
  <si>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</si>
  <si>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</si>
  <si>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</si>
  <si>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</si>
  <si>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</si>
  <si>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</si>
  <si>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</si>
  <si>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</si>
  <si>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</si>
  <si>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</si>
  <si>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</si>
  <si>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</si>
  <si>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</si>
  <si>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건강보험부담금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</si>
  <si>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</si>
  <si>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</si>
  <si>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</si>
  <si>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</si>
  <si>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</si>
  <si>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</si>
  <si>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</si>
  <si>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</si>
  <si>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</si>
  <si>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</si>
  <si>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</si>
  <si>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</si>
  <si>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</si>
  <si>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</si>
  <si>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</si>
  <si>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</si>
  <si>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</si>
  <si>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</si>
  <si>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</si>
  <si>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</si>
  <si>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</si>
  <si>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</si>
  <si>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1.보조금 예금이자 이월금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</si>
  <si>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</si>
  <si>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</si>
  <si>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</si>
  <si>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</si>
  <si>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</si>
  <si>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</si>
  <si>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</si>
  <si>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</si>
  <si>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</si>
  <si>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</si>
  <si>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</si>
  <si>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</si>
  <si>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</si>
  <si>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</si>
  <si>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</si>
  <si>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</si>
  <si>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</si>
  <si>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</si>
  <si>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</si>
  <si>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</si>
  <si>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</si>
  <si>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</si>
  <si>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</si>
  <si>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</si>
  <si>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</si>
  <si>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</si>
  <si>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</si>
  <si>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</si>
  <si>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</si>
  <si>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</si>
  <si>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</si>
  <si>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</si>
  <si>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</si>
  <si>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</si>
  <si>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</si>
  <si>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* 장기요양보험부담금</t>
    <phoneticPr fontId="6" type="noConversion"/>
  </si>
  <si>
    <t>* 산재보험부담금</t>
    <phoneticPr fontId="6" type="noConversion"/>
  </si>
  <si>
    <t>=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</si>
  <si>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</si>
  <si>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</si>
  <si>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</si>
  <si>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</si>
  <si>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</si>
  <si>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</si>
  <si>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</si>
  <si>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* 욕실 파티션</t>
    <phoneticPr fontId="6" type="noConversion"/>
  </si>
  <si>
    <t>3.연장근로수당(보조금)</t>
    <phoneticPr fontId="6" type="noConversion"/>
  </si>
  <si>
    <t>* 환경개선사업비 (에어컨설치)</t>
    <phoneticPr fontId="6" type="noConversion"/>
  </si>
  <si>
    <t>5호</t>
    <phoneticPr fontId="6" type="noConversion"/>
  </si>
  <si>
    <t>1. 미용실 이용</t>
    <phoneticPr fontId="6" type="noConversion"/>
  </si>
  <si>
    <t>2. 찜질방 이용</t>
    <phoneticPr fontId="6" type="noConversion"/>
  </si>
  <si>
    <t>4. 이용인생일</t>
    <phoneticPr fontId="6" type="noConversion"/>
  </si>
  <si>
    <t>A. 일상생활 지원 프로그램</t>
    <phoneticPr fontId="6" type="noConversion"/>
  </si>
  <si>
    <t>B.  직업활동 지원</t>
    <phoneticPr fontId="6" type="noConversion"/>
  </si>
  <si>
    <t>1.  작업활동 지원비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</si>
  <si>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</si>
  <si>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</si>
  <si>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</si>
  <si>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</si>
  <si>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</si>
  <si>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</si>
  <si>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</si>
  <si>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</si>
  <si>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</si>
  <si>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</si>
  <si>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</si>
  <si>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</si>
  <si>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</si>
  <si>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후원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</si>
  <si>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</si>
  <si>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</si>
  <si>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</si>
  <si>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원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</si>
  <si>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</si>
  <si>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</si>
  <si>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</si>
  <si>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7종</t>
    <phoneticPr fontId="6" type="noConversion"/>
  </si>
  <si>
    <t>* LED 교체비용</t>
    <phoneticPr fontId="6" type="noConversion"/>
  </si>
  <si>
    <t>입소</t>
    <phoneticPr fontId="6" type="noConversion"/>
  </si>
  <si>
    <t>2. 보조금 7종 반납 (종사자건강검진비용)</t>
    <phoneticPr fontId="6" type="noConversion"/>
  </si>
  <si>
    <t>&lt;2015년도 세입내역&gt;</t>
    <phoneticPr fontId="6" type="noConversion"/>
  </si>
  <si>
    <t>&lt;2015년도 세출내역&gt;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</si>
  <si>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</si>
  <si>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</si>
  <si>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</si>
  <si>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</si>
  <si>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</si>
  <si>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</si>
  <si>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</si>
  <si>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</si>
  <si>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</si>
  <si>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</si>
  <si>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2015년
본예산(A)
(단위:천원)</t>
    <phoneticPr fontId="6" type="noConversion"/>
  </si>
  <si>
    <t>2015년 1차 추가경정 예산액(단위:천원)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</si>
  <si>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</si>
  <si>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</si>
  <si>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</si>
  <si>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</si>
  <si>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</si>
  <si>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</si>
  <si>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2015년
본예산액(A)
(단위:천원)</t>
    <phoneticPr fontId="6" type="noConversion"/>
  </si>
  <si>
    <t>2015년  1차추가경정 예산액(단위:천원)</t>
    <phoneticPr fontId="6" type="noConversion"/>
  </si>
  <si>
    <t>보조</t>
  </si>
  <si>
    <t>4호</t>
    <phoneticPr fontId="6" type="noConversion"/>
  </si>
  <si>
    <t>3호</t>
    <phoneticPr fontId="6" type="noConversion"/>
  </si>
  <si>
    <t>4호</t>
    <phoneticPr fontId="6" type="noConversion"/>
  </si>
  <si>
    <t>원</t>
    <phoneticPr fontId="6" type="noConversion"/>
  </si>
  <si>
    <t>입소</t>
  </si>
  <si>
    <t>입소</t>
    <phoneticPr fontId="6" type="noConversion"/>
  </si>
  <si>
    <t>* 실내사이클구입비용</t>
  </si>
  <si>
    <t>* 가구구입비용</t>
  </si>
  <si>
    <t>후원</t>
    <phoneticPr fontId="6" type="noConversion"/>
  </si>
  <si>
    <t>법인</t>
    <phoneticPr fontId="6" type="noConversion"/>
  </si>
  <si>
    <t>4. 부식비</t>
    <phoneticPr fontId="6" type="noConversion"/>
  </si>
  <si>
    <t>5. 부식비</t>
    <phoneticPr fontId="6" type="noConversion"/>
  </si>
  <si>
    <t>기타</t>
    <phoneticPr fontId="6" type="noConversion"/>
  </si>
  <si>
    <t>잡수입</t>
    <phoneticPr fontId="6" type="noConversion"/>
  </si>
  <si>
    <t>입소</t>
    <phoneticPr fontId="6" type="noConversion"/>
  </si>
  <si>
    <t>3. 입소비용</t>
    <phoneticPr fontId="6" type="noConversion"/>
  </si>
  <si>
    <t>4. 법인전입금</t>
    <phoneticPr fontId="6" type="noConversion"/>
  </si>
  <si>
    <t>5. 후원금</t>
    <phoneticPr fontId="6" type="noConversion"/>
  </si>
  <si>
    <t>3. 요리활동 및 외식</t>
    <phoneticPr fontId="6" type="noConversion"/>
  </si>
  <si>
    <t>3. 가을</t>
    <phoneticPr fontId="6" type="noConversion"/>
  </si>
  <si>
    <t>2. 보조금 이월금(이자)</t>
    <phoneticPr fontId="6" type="noConversion"/>
  </si>
  <si>
    <t>* 업무추진비(이용인직장방문경비)</t>
    <phoneticPr fontId="6" type="noConversion"/>
  </si>
  <si>
    <t>회</t>
    <phoneticPr fontId="6" type="noConversion"/>
  </si>
  <si>
    <t>원</t>
    <phoneticPr fontId="6" type="noConversion"/>
  </si>
  <si>
    <t>※ 2015년 시군구보조금</t>
    <phoneticPr fontId="6" type="noConversion"/>
  </si>
  <si>
    <t>입소</t>
    <phoneticPr fontId="6" type="noConversion"/>
  </si>
  <si>
    <t>입소</t>
    <phoneticPr fontId="6" type="noConversion"/>
  </si>
  <si>
    <t>8. 상해보험갱신(종사자)</t>
  </si>
  <si>
    <t>회</t>
  </si>
  <si>
    <t>7. 차량보험료</t>
    <phoneticPr fontId="6" type="noConversion"/>
  </si>
  <si>
    <t>회</t>
    <phoneticPr fontId="6" type="noConversion"/>
  </si>
  <si>
    <t>÷</t>
    <phoneticPr fontId="6" type="noConversion"/>
  </si>
  <si>
    <t>입소</t>
    <phoneticPr fontId="6" type="noConversion"/>
  </si>
  <si>
    <t>원</t>
    <phoneticPr fontId="6" type="noConversion"/>
  </si>
  <si>
    <t>* 직원 외부교육비</t>
  </si>
  <si>
    <t>5. 해외문화탐방</t>
    <phoneticPr fontId="6" type="noConversion"/>
  </si>
  <si>
    <t>명</t>
    <phoneticPr fontId="6" type="noConversion"/>
  </si>
  <si>
    <t>=</t>
    <phoneticPr fontId="6" type="noConversion"/>
  </si>
  <si>
    <t>소  계 :</t>
  </si>
  <si>
    <t>H. 기타프로그램</t>
  </si>
  <si>
    <t>1. 송년회</t>
  </si>
  <si>
    <t>2. 개원기념식 행사</t>
  </si>
  <si>
    <t>□ 2015년도 1차 추경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</si>
  <si>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</si>
  <si>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</si>
  <si>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</si>
  <si>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</si>
  <si>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2015년
본예산</t>
    <phoneticPr fontId="6" type="noConversion"/>
  </si>
  <si>
    <t>2015년
1차 추경 예산</t>
    <phoneticPr fontId="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</si>
  <si>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</si>
  <si>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</si>
  <si>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</si>
  <si>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소계</t>
    <phoneticPr fontId="6" type="noConversion"/>
  </si>
  <si>
    <t>사   무   비</t>
    <phoneticPr fontId="26" type="noConversion"/>
  </si>
  <si>
    <t>입소비용   수입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</si>
  <si>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</si>
  <si>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</si>
  <si>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</si>
  <si>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국고보조금</t>
    <phoneticPr fontId="26" type="noConversion"/>
  </si>
  <si>
    <t>운      영      비</t>
    <phoneticPr fontId="26" type="noConversion"/>
  </si>
  <si>
    <t>시도보조금</t>
    <phoneticPr fontId="26" type="noConversion"/>
  </si>
  <si>
    <t>재산조성비</t>
    <phoneticPr fontId="26" type="noConversion"/>
  </si>
  <si>
    <t>시군구보조금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</si>
  <si>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</si>
  <si>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</si>
  <si>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</si>
  <si>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지정      후원금</t>
    <phoneticPr fontId="26" type="noConversion"/>
  </si>
  <si>
    <t>시설장비유지비</t>
    <phoneticPr fontId="26" type="noConversion"/>
  </si>
  <si>
    <t>비지정   후원금</t>
    <phoneticPr fontId="26" type="noConversion"/>
  </si>
  <si>
    <t>사   업   비</t>
    <phoneticPr fontId="26" type="noConversion"/>
  </si>
  <si>
    <t>전    입    금</t>
    <phoneticPr fontId="26" type="noConversion"/>
  </si>
  <si>
    <t>생      계      비</t>
    <phoneticPr fontId="26" type="noConversion"/>
  </si>
  <si>
    <t>법인      전입금</t>
    <phoneticPr fontId="26" type="noConversion"/>
  </si>
  <si>
    <t>수용기관   경비</t>
    <phoneticPr fontId="26" type="noConversion"/>
  </si>
  <si>
    <t>이    월    금</t>
    <phoneticPr fontId="26" type="noConversion"/>
  </si>
  <si>
    <t>피      복      비</t>
    <phoneticPr fontId="26" type="noConversion"/>
  </si>
  <si>
    <t>전년도   이월금</t>
    <phoneticPr fontId="26" type="noConversion"/>
  </si>
  <si>
    <t>의      료      비</t>
    <phoneticPr fontId="26" type="noConversion"/>
  </si>
  <si>
    <t>잡    수    입</t>
    <phoneticPr fontId="26" type="noConversion"/>
  </si>
  <si>
    <t>연      료      비</t>
    <phoneticPr fontId="26" type="noConversion"/>
  </si>
  <si>
    <t>잡      수      입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</si>
  <si>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</si>
  <si>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</si>
  <si>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</si>
  <si>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</si>
  <si>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</si>
  <si>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</si>
  <si>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</si>
  <si>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2015년 1차 추경 세입명세서</t>
    <phoneticPr fontId="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</si>
  <si>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</si>
  <si>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</si>
  <si>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</si>
  <si>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</si>
  <si>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</si>
  <si>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</si>
  <si>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</si>
  <si>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</si>
  <si>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2015년
본예산</t>
    <phoneticPr fontId="6" type="noConversion"/>
  </si>
  <si>
    <t>2015년
1차 추경 예산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</si>
  <si>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</si>
  <si>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</si>
  <si>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</si>
  <si>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</si>
  <si>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</si>
  <si>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</si>
  <si>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</si>
  <si>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</si>
  <si>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* 2015년 환경개선사업비 예산 증가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</si>
  <si>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</si>
  <si>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</si>
  <si>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</si>
  <si>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</si>
  <si>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</si>
  <si>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</si>
  <si>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</si>
  <si>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</si>
  <si>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</si>
  <si>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</si>
  <si>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</si>
  <si>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* 본예산은 회계마감 전이므로 추정치임 -&gt; 1차추경 확정금액 반영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</si>
  <si>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</si>
  <si>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</si>
  <si>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</si>
  <si>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</si>
  <si>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</si>
  <si>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</si>
  <si>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2015년 1차 추경 세출명세서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</si>
  <si>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</si>
  <si>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</si>
  <si>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</si>
  <si>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</si>
  <si>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* 변동없음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</si>
  <si>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</si>
  <si>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</si>
  <si>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</si>
  <si>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</si>
  <si>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</si>
  <si>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</si>
  <si>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</si>
  <si>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* 운영위원회 회의비 증액</t>
    <phoneticPr fontId="6" type="noConversion"/>
  </si>
  <si>
    <t>운영비</t>
    <phoneticPr fontId="6" type="noConversion"/>
  </si>
  <si>
    <t>여비</t>
    <phoneticPr fontId="6" type="noConversion"/>
  </si>
  <si>
    <t>* 직원교육 및 출장여비 편성</t>
    <phoneticPr fontId="6" type="noConversion"/>
  </si>
  <si>
    <t>수용비 및
수수료</t>
    <phoneticPr fontId="6" type="noConversion"/>
  </si>
  <si>
    <t>* 사무용품 구입비 증액</t>
    <phoneticPr fontId="6" type="noConversion"/>
  </si>
  <si>
    <t>공공요금</t>
    <phoneticPr fontId="6" type="noConversion"/>
  </si>
  <si>
    <t>제세
공과금</t>
    <phoneticPr fontId="6" type="noConversion"/>
  </si>
  <si>
    <t>* 후원차량관련(모닝) 보험료 편성</t>
    <phoneticPr fontId="6" type="noConversion"/>
  </si>
  <si>
    <t>차량비</t>
    <phoneticPr fontId="6" type="noConversion"/>
  </si>
  <si>
    <t>* 후원차량관련(모닝) 유류비 편성</t>
    <phoneticPr fontId="6" type="noConversion"/>
  </si>
  <si>
    <t>기타
운영비</t>
    <phoneticPr fontId="6" type="noConversion"/>
  </si>
  <si>
    <t>* 직원 외부교육 편성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</si>
  <si>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</si>
  <si>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</si>
  <si>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</si>
  <si>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</si>
  <si>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</si>
  <si>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</si>
  <si>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* 생계비 증액</t>
    <phoneticPr fontId="6" type="noConversion"/>
  </si>
  <si>
    <t>수용기관
경비</t>
    <phoneticPr fontId="6" type="noConversion"/>
  </si>
  <si>
    <t>* 생필품 구입비 증액</t>
    <phoneticPr fontId="6" type="noConversion"/>
  </si>
  <si>
    <t>피복비</t>
    <phoneticPr fontId="6" type="noConversion"/>
  </si>
  <si>
    <t>의료비</t>
    <phoneticPr fontId="6" type="noConversion"/>
  </si>
  <si>
    <t>* 의약품 구입비 증액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</si>
  <si>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</si>
  <si>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</si>
  <si>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</si>
  <si>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</si>
  <si>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정기후원자 모집으로 증가</t>
    <phoneticPr fontId="6" type="noConversion"/>
  </si>
  <si>
    <t>* 예금이자 및 체크카드 환급금 증가</t>
    <phoneticPr fontId="6" type="noConversion"/>
  </si>
  <si>
    <t>* 종사자 퇴사에 따른 변경으로 감소</t>
    <phoneticPr fontId="6" type="noConversion"/>
  </si>
  <si>
    <t>* 종사자 교육비용 예산과목 변경 편성 및 이용인 직장방문 경비 증액</t>
    <phoneticPr fontId="6" type="noConversion"/>
  </si>
  <si>
    <t>* 변동없음</t>
    <phoneticPr fontId="6" type="noConversion"/>
  </si>
  <si>
    <t xml:space="preserve">* 실내사이클 구입 650천원/에어컨 구입2,300천원/가구 구입 1,800천원
   </t>
    <phoneticPr fontId="6" type="noConversion"/>
  </si>
  <si>
    <t>* LED 교체비용 자부담 편성</t>
    <phoneticPr fontId="6" type="noConversion"/>
  </si>
  <si>
    <t>* 일상생활지원프로그램 2,670천원/자치회의 268천원/교육지원프로그램 120천원/여가활동1,360/문화생활이용 80천원/등산활동80천원/기타90천원</t>
    <phoneticPr fontId="6" type="noConversion"/>
  </si>
  <si>
    <t>* 변동없음</t>
    <phoneticPr fontId="6" type="noConversion"/>
  </si>
  <si>
    <t>* 종사자 퇴사에 따른  감소</t>
    <phoneticPr fontId="6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</si>
</sst>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5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55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12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8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0" fontId="12" fillId="0" borderId="0" xfId="1" applyNumberFormat="1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" fillId="0" borderId="0" xfId="11">
      <alignment vertical="center"/>
    </xf>
    <xf numFmtId="0" fontId="25" fillId="0" borderId="0" xfId="11" applyFont="1">
      <alignment vertical="center"/>
    </xf>
    <xf numFmtId="0" fontId="27" fillId="0" borderId="0" xfId="11" applyFont="1" applyAlignment="1">
      <alignment horizontal="right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0" fontId="35" fillId="0" borderId="10" xfId="11" applyFont="1" applyBorder="1" applyAlignment="1">
      <alignment horizontal="center" vertical="center"/>
    </xf>
    <xf numFmtId="41" fontId="36" fillId="0" borderId="10" xfId="12" applyFont="1" applyBorder="1" applyAlignment="1">
      <alignment vertical="center"/>
    </xf>
    <xf numFmtId="181" fontId="36" fillId="0" borderId="36" xfId="12" applyNumberFormat="1" applyFont="1" applyBorder="1" applyAlignment="1">
      <alignment vertical="center"/>
    </xf>
    <xf numFmtId="181" fontId="36" fillId="0" borderId="11" xfId="12" applyNumberFormat="1" applyFont="1" applyBorder="1" applyAlignment="1">
      <alignment vertical="center"/>
    </xf>
    <xf numFmtId="0" fontId="2" fillId="0" borderId="19" xfId="11" applyBorder="1" applyAlignment="1">
      <alignment horizontal="center" vertical="center"/>
    </xf>
    <xf numFmtId="41" fontId="0" fillId="0" borderId="19" xfId="12" applyFont="1" applyBorder="1">
      <alignment vertical="center"/>
    </xf>
    <xf numFmtId="181" fontId="0" fillId="0" borderId="41" xfId="12" applyNumberFormat="1" applyFont="1" applyBorder="1">
      <alignment vertical="center"/>
    </xf>
    <xf numFmtId="181" fontId="0" fillId="0" borderId="17" xfId="12" applyNumberFormat="1" applyFont="1" applyBorder="1">
      <alignment vertical="center"/>
    </xf>
    <xf numFmtId="0" fontId="35" fillId="0" borderId="19" xfId="11" applyFont="1" applyBorder="1" applyAlignment="1">
      <alignment horizontal="center" vertical="center"/>
    </xf>
    <xf numFmtId="41" fontId="36" fillId="0" borderId="19" xfId="12" applyFont="1" applyBorder="1">
      <alignment vertical="center"/>
    </xf>
    <xf numFmtId="181" fontId="36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6" fillId="0" borderId="17" xfId="12" applyNumberFormat="1" applyFont="1" applyBorder="1">
      <alignment vertical="center"/>
    </xf>
    <xf numFmtId="0" fontId="2" fillId="0" borderId="3" xfId="11" applyBorder="1" applyAlignment="1">
      <alignment horizontal="center" vertical="center"/>
    </xf>
    <xf numFmtId="41" fontId="0" fillId="0" borderId="3" xfId="12" applyFont="1" applyBorder="1">
      <alignment vertical="center"/>
    </xf>
    <xf numFmtId="181" fontId="0" fillId="0" borderId="4" xfId="12" applyNumberFormat="1" applyFont="1" applyBorder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6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0" xfId="0" applyFont="1" applyFill="1" applyBorder="1" applyAlignment="1">
      <alignment vertical="center" wrapText="1"/>
    </xf>
    <xf numFmtId="0" fontId="0" fillId="0" borderId="7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2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3" xfId="0" applyFill="1" applyBorder="1" applyAlignment="1">
      <alignment vertical="center" wrapText="1"/>
    </xf>
    <xf numFmtId="0" fontId="0" fillId="0" borderId="58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8" xfId="11" applyBorder="1" applyAlignment="1">
      <alignment horizontal="center" vertical="center"/>
    </xf>
    <xf numFmtId="0" fontId="33" fillId="0" borderId="16" xfId="11" applyFont="1" applyBorder="1" applyAlignment="1">
      <alignment horizontal="center" vertical="center"/>
    </xf>
    <xf numFmtId="0" fontId="33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38" fontId="7" fillId="0" borderId="0" xfId="3" applyNumberFormat="1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59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4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3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view="pageLayout" topLeftCell="E13" zoomScaleNormal="85" workbookViewId="0">
      <selection activeCell="L15" sqref="L15"/>
    </sheetView>
  </sheetViews>
  <sheetFormatPr defaultRowHeight="16.5"/>
  <cols>
    <col min="1" max="1" width="1.44140625" style="386" customWidth="1"/>
    <col min="2" max="2" width="11.5546875" style="386" bestFit="1" customWidth="1"/>
    <col min="3" max="3" width="13.33203125" style="386" bestFit="1" customWidth="1"/>
    <col min="4" max="5" width="18" style="386" bestFit="1" customWidth="1"/>
    <col min="6" max="6" width="16" style="386" bestFit="1" customWidth="1"/>
    <col min="7" max="7" width="9.6640625" style="386" bestFit="1" customWidth="1"/>
    <col min="8" max="8" width="13.33203125" style="386" bestFit="1" customWidth="1"/>
    <col min="9" max="10" width="18" style="386" bestFit="1" customWidth="1"/>
    <col min="11" max="11" width="16" style="386" bestFit="1" customWidth="1"/>
    <col min="12" max="16384" width="8.88671875" style="386"/>
  </cols>
  <sheetData>
    <row r="1" spans="2:11" ht="9.9499999999999993" customHeight="1"/>
    <row r="2" spans="2:11" ht="26.25">
      <c r="B2" s="387" t="s">
        <v>335</v>
      </c>
      <c r="K2" s="388" t="s">
        <v>336</v>
      </c>
    </row>
    <row r="3" spans="2:11" ht="9.9499999999999993" customHeight="1" thickBot="1"/>
    <row r="4" spans="2:11" ht="30" customHeight="1">
      <c r="B4" s="516" t="s">
        <v>337</v>
      </c>
      <c r="C4" s="517"/>
      <c r="D4" s="517"/>
      <c r="E4" s="517"/>
      <c r="F4" s="518"/>
      <c r="G4" s="516" t="s">
        <v>338</v>
      </c>
      <c r="H4" s="517"/>
      <c r="I4" s="517"/>
      <c r="J4" s="517"/>
      <c r="K4" s="519"/>
    </row>
    <row r="5" spans="2:11" ht="16.5" customHeight="1">
      <c r="B5" s="520" t="s">
        <v>339</v>
      </c>
      <c r="C5" s="521"/>
      <c r="D5" s="524" t="s">
        <v>340</v>
      </c>
      <c r="E5" s="524" t="s">
        <v>341</v>
      </c>
      <c r="F5" s="526" t="s">
        <v>342</v>
      </c>
      <c r="G5" s="520" t="s">
        <v>339</v>
      </c>
      <c r="H5" s="521"/>
      <c r="I5" s="524" t="str">
        <f>D5</f>
        <v>2015년
본예산</v>
      </c>
      <c r="J5" s="524" t="str">
        <f>E5</f>
        <v>2015년
1차 추경 예산</v>
      </c>
      <c r="K5" s="528" t="s">
        <v>342</v>
      </c>
    </row>
    <row r="6" spans="2:11" ht="22.5" customHeight="1" thickBot="1">
      <c r="B6" s="522"/>
      <c r="C6" s="523"/>
      <c r="D6" s="525"/>
      <c r="E6" s="525"/>
      <c r="F6" s="527"/>
      <c r="G6" s="522"/>
      <c r="H6" s="523"/>
      <c r="I6" s="525"/>
      <c r="J6" s="525"/>
      <c r="K6" s="529"/>
    </row>
    <row r="7" spans="2:11" ht="24.95" customHeight="1" thickTop="1">
      <c r="B7" s="513" t="s">
        <v>343</v>
      </c>
      <c r="C7" s="514"/>
      <c r="D7" s="389">
        <f>SUM(D8:D22)/2</f>
        <v>64289000</v>
      </c>
      <c r="E7" s="389">
        <f>SUM(E8:E22)/2</f>
        <v>67450096</v>
      </c>
      <c r="F7" s="390">
        <f>SUM(F8:F22)/2</f>
        <v>3161096</v>
      </c>
      <c r="G7" s="513" t="s">
        <v>343</v>
      </c>
      <c r="H7" s="514"/>
      <c r="I7" s="389">
        <f>SUM(I8:I28)/2</f>
        <v>64289000</v>
      </c>
      <c r="J7" s="389">
        <f>SUM(J8:J28)/2</f>
        <v>67450096</v>
      </c>
      <c r="K7" s="391">
        <f>SUM(K8:K28)/2</f>
        <v>3161096</v>
      </c>
    </row>
    <row r="8" spans="2:11" ht="24.95" customHeight="1">
      <c r="B8" s="510" t="s">
        <v>344</v>
      </c>
      <c r="C8" s="392" t="s">
        <v>345</v>
      </c>
      <c r="D8" s="393">
        <f>D9</f>
        <v>7200000</v>
      </c>
      <c r="E8" s="393">
        <f>E9</f>
        <v>7200000</v>
      </c>
      <c r="F8" s="394">
        <f>F9</f>
        <v>0</v>
      </c>
      <c r="G8" s="510" t="s">
        <v>346</v>
      </c>
      <c r="H8" s="392" t="s">
        <v>345</v>
      </c>
      <c r="I8" s="393">
        <f>SUM(I9:I11)</f>
        <v>43627030</v>
      </c>
      <c r="J8" s="393">
        <f>SUM(J9:J11)</f>
        <v>43783770</v>
      </c>
      <c r="K8" s="395">
        <f>SUM(K9:K11)</f>
        <v>156740</v>
      </c>
    </row>
    <row r="9" spans="2:11" ht="24.95" customHeight="1">
      <c r="B9" s="511"/>
      <c r="C9" s="396" t="s">
        <v>347</v>
      </c>
      <c r="D9" s="397">
        <v>7200000</v>
      </c>
      <c r="E9" s="397">
        <f>세입!AB5</f>
        <v>7200000</v>
      </c>
      <c r="F9" s="398">
        <f>E9-D9</f>
        <v>0</v>
      </c>
      <c r="G9" s="515"/>
      <c r="H9" s="396" t="s">
        <v>348</v>
      </c>
      <c r="I9" s="397">
        <v>37641980</v>
      </c>
      <c r="J9" s="397">
        <f>세출!AC6</f>
        <v>36880810</v>
      </c>
      <c r="K9" s="399">
        <f>J9-I9</f>
        <v>-761170</v>
      </c>
    </row>
    <row r="10" spans="2:11" ht="24.95" customHeight="1">
      <c r="B10" s="510" t="s">
        <v>349</v>
      </c>
      <c r="C10" s="400" t="s">
        <v>345</v>
      </c>
      <c r="D10" s="401">
        <f>SUM(D11:D13)</f>
        <v>50875000</v>
      </c>
      <c r="E10" s="401">
        <f>SUM(E11:E13)</f>
        <v>51525000</v>
      </c>
      <c r="F10" s="402">
        <f>SUM(F11:F13)</f>
        <v>650000</v>
      </c>
      <c r="G10" s="515"/>
      <c r="H10" s="396" t="s">
        <v>350</v>
      </c>
      <c r="I10" s="397">
        <v>110000</v>
      </c>
      <c r="J10" s="397">
        <f>세출!AC41</f>
        <v>100000</v>
      </c>
      <c r="K10" s="399">
        <f>J10-I10</f>
        <v>-10000</v>
      </c>
    </row>
    <row r="11" spans="2:11" ht="24.95" customHeight="1">
      <c r="B11" s="515"/>
      <c r="C11" s="403" t="s">
        <v>351</v>
      </c>
      <c r="D11" s="397">
        <v>0</v>
      </c>
      <c r="E11" s="397">
        <v>0</v>
      </c>
      <c r="F11" s="398">
        <f>E11-D11</f>
        <v>0</v>
      </c>
      <c r="G11" s="511"/>
      <c r="H11" s="396" t="s">
        <v>352</v>
      </c>
      <c r="I11" s="397">
        <v>5875050</v>
      </c>
      <c r="J11" s="397">
        <f>세출!AC51</f>
        <v>6802960</v>
      </c>
      <c r="K11" s="399">
        <f>J11-I11</f>
        <v>927910</v>
      </c>
    </row>
    <row r="12" spans="2:11" ht="24.95" customHeight="1">
      <c r="B12" s="515"/>
      <c r="C12" s="403" t="s">
        <v>353</v>
      </c>
      <c r="D12" s="397">
        <v>50675000</v>
      </c>
      <c r="E12" s="397">
        <f>세입!AB9</f>
        <v>51325000</v>
      </c>
      <c r="F12" s="398">
        <f>E12-D12</f>
        <v>650000</v>
      </c>
      <c r="G12" s="510" t="s">
        <v>354</v>
      </c>
      <c r="H12" s="400" t="s">
        <v>345</v>
      </c>
      <c r="I12" s="401">
        <f>SUM(I13:I15)</f>
        <v>3500000</v>
      </c>
      <c r="J12" s="401">
        <f>SUM(J13:J15)</f>
        <v>4940000</v>
      </c>
      <c r="K12" s="404">
        <f>SUM(K13:K15)</f>
        <v>1440000</v>
      </c>
    </row>
    <row r="13" spans="2:11" ht="24.95" customHeight="1">
      <c r="B13" s="511"/>
      <c r="C13" s="403" t="s">
        <v>355</v>
      </c>
      <c r="D13" s="397">
        <v>200000</v>
      </c>
      <c r="E13" s="397">
        <f>세입!AB14</f>
        <v>200000</v>
      </c>
      <c r="F13" s="398">
        <f>E13-D13</f>
        <v>0</v>
      </c>
      <c r="G13" s="515"/>
      <c r="H13" s="396" t="s">
        <v>356</v>
      </c>
      <c r="I13" s="397">
        <v>0</v>
      </c>
      <c r="J13" s="397">
        <v>0</v>
      </c>
      <c r="K13" s="399">
        <f>J13-I13</f>
        <v>0</v>
      </c>
    </row>
    <row r="14" spans="2:11" ht="24.95" customHeight="1">
      <c r="B14" s="510" t="s">
        <v>357</v>
      </c>
      <c r="C14" s="400" t="s">
        <v>345</v>
      </c>
      <c r="D14" s="401">
        <f>SUM(D15:D16)</f>
        <v>200000</v>
      </c>
      <c r="E14" s="401">
        <f>SUM(E15:E16)</f>
        <v>750000</v>
      </c>
      <c r="F14" s="402">
        <f>SUM(F15:F16)</f>
        <v>550000</v>
      </c>
      <c r="G14" s="515"/>
      <c r="H14" s="396" t="s">
        <v>358</v>
      </c>
      <c r="I14" s="397">
        <v>2200000</v>
      </c>
      <c r="J14" s="397">
        <f>세출!AC88</f>
        <v>4740000</v>
      </c>
      <c r="K14" s="399">
        <f>J14-I14</f>
        <v>2540000</v>
      </c>
    </row>
    <row r="15" spans="2:11" ht="24.95" customHeight="1">
      <c r="B15" s="515"/>
      <c r="C15" s="396" t="s">
        <v>359</v>
      </c>
      <c r="D15" s="397">
        <v>0</v>
      </c>
      <c r="E15" s="397">
        <v>0</v>
      </c>
      <c r="F15" s="398">
        <f>E15-D15</f>
        <v>0</v>
      </c>
      <c r="G15" s="511"/>
      <c r="H15" s="396" t="s">
        <v>360</v>
      </c>
      <c r="I15" s="397">
        <v>1300000</v>
      </c>
      <c r="J15" s="397">
        <f>세출!AC93</f>
        <v>200000</v>
      </c>
      <c r="K15" s="399">
        <f>J15-I15</f>
        <v>-1100000</v>
      </c>
    </row>
    <row r="16" spans="2:11" ht="24.95" customHeight="1">
      <c r="B16" s="511"/>
      <c r="C16" s="396" t="s">
        <v>361</v>
      </c>
      <c r="D16" s="397">
        <v>200000</v>
      </c>
      <c r="E16" s="397">
        <f>세입!AB19</f>
        <v>750000</v>
      </c>
      <c r="F16" s="398">
        <f>E16-D16</f>
        <v>550000</v>
      </c>
      <c r="G16" s="510" t="s">
        <v>362</v>
      </c>
      <c r="H16" s="400" t="s">
        <v>345</v>
      </c>
      <c r="I16" s="401">
        <f>SUM(I17:I22)</f>
        <v>16958970</v>
      </c>
      <c r="J16" s="401">
        <f>SUM(J17:J22)</f>
        <v>18519195</v>
      </c>
      <c r="K16" s="404">
        <f>SUM(K17:K22)</f>
        <v>1560225</v>
      </c>
    </row>
    <row r="17" spans="2:11" ht="24.95" customHeight="1">
      <c r="B17" s="510" t="s">
        <v>363</v>
      </c>
      <c r="C17" s="400" t="s">
        <v>345</v>
      </c>
      <c r="D17" s="401">
        <f>D18</f>
        <v>0</v>
      </c>
      <c r="E17" s="401">
        <f>E18</f>
        <v>0</v>
      </c>
      <c r="F17" s="402">
        <f>F18</f>
        <v>0</v>
      </c>
      <c r="G17" s="515"/>
      <c r="H17" s="396" t="s">
        <v>364</v>
      </c>
      <c r="I17" s="397">
        <v>10711970</v>
      </c>
      <c r="J17" s="397">
        <f>세출!AC98</f>
        <v>11781195</v>
      </c>
      <c r="K17" s="399">
        <f t="shared" ref="K17:K22" si="0">J17-I17</f>
        <v>1069225</v>
      </c>
    </row>
    <row r="18" spans="2:11" ht="24.95" customHeight="1">
      <c r="B18" s="511"/>
      <c r="C18" s="396" t="s">
        <v>365</v>
      </c>
      <c r="D18" s="397">
        <v>0</v>
      </c>
      <c r="E18" s="397">
        <v>0</v>
      </c>
      <c r="F18" s="398">
        <f>E18-D18</f>
        <v>0</v>
      </c>
      <c r="G18" s="515"/>
      <c r="H18" s="396" t="s">
        <v>366</v>
      </c>
      <c r="I18" s="397">
        <v>750000</v>
      </c>
      <c r="J18" s="397">
        <f>세출!AC104</f>
        <v>950000</v>
      </c>
      <c r="K18" s="399">
        <f t="shared" si="0"/>
        <v>200000</v>
      </c>
    </row>
    <row r="19" spans="2:11" ht="24.95" customHeight="1">
      <c r="B19" s="510" t="s">
        <v>367</v>
      </c>
      <c r="C19" s="400" t="s">
        <v>345</v>
      </c>
      <c r="D19" s="401">
        <f>D20</f>
        <v>6003000</v>
      </c>
      <c r="E19" s="401">
        <f>E20</f>
        <v>7955096</v>
      </c>
      <c r="F19" s="402">
        <f>F20</f>
        <v>1952096</v>
      </c>
      <c r="G19" s="515"/>
      <c r="H19" s="396" t="s">
        <v>368</v>
      </c>
      <c r="I19" s="397">
        <v>320000</v>
      </c>
      <c r="J19" s="397">
        <f>세출!AC108</f>
        <v>720000</v>
      </c>
      <c r="K19" s="399">
        <f t="shared" si="0"/>
        <v>400000</v>
      </c>
    </row>
    <row r="20" spans="2:11" ht="24.95" customHeight="1">
      <c r="B20" s="511"/>
      <c r="C20" s="396" t="s">
        <v>369</v>
      </c>
      <c r="D20" s="397">
        <v>6003000</v>
      </c>
      <c r="E20" s="397">
        <f>세입!AB21</f>
        <v>7955096</v>
      </c>
      <c r="F20" s="398">
        <f>E20-D20</f>
        <v>1952096</v>
      </c>
      <c r="G20" s="515"/>
      <c r="H20" s="396" t="s">
        <v>370</v>
      </c>
      <c r="I20" s="397">
        <v>197000</v>
      </c>
      <c r="J20" s="397">
        <f>세출!AC111</f>
        <v>310000</v>
      </c>
      <c r="K20" s="399">
        <f t="shared" si="0"/>
        <v>113000</v>
      </c>
    </row>
    <row r="21" spans="2:11" ht="24.95" customHeight="1">
      <c r="B21" s="510" t="s">
        <v>371</v>
      </c>
      <c r="C21" s="400" t="s">
        <v>345</v>
      </c>
      <c r="D21" s="401">
        <f>D22</f>
        <v>11000</v>
      </c>
      <c r="E21" s="401">
        <f>E22</f>
        <v>20000</v>
      </c>
      <c r="F21" s="402">
        <f>F22</f>
        <v>9000</v>
      </c>
      <c r="G21" s="515"/>
      <c r="H21" s="396" t="s">
        <v>372</v>
      </c>
      <c r="I21" s="397">
        <v>90000</v>
      </c>
      <c r="J21" s="397">
        <f>세출!AC115</f>
        <v>90000</v>
      </c>
      <c r="K21" s="399">
        <f t="shared" si="0"/>
        <v>0</v>
      </c>
    </row>
    <row r="22" spans="2:11" ht="24.95" customHeight="1">
      <c r="B22" s="511"/>
      <c r="C22" s="396" t="s">
        <v>373</v>
      </c>
      <c r="D22" s="397">
        <v>11000</v>
      </c>
      <c r="E22" s="397">
        <f>세입!AB27</f>
        <v>20000</v>
      </c>
      <c r="F22" s="398">
        <f>E22-D22</f>
        <v>9000</v>
      </c>
      <c r="G22" s="511"/>
      <c r="H22" s="396" t="s">
        <v>374</v>
      </c>
      <c r="I22" s="397">
        <v>4890000</v>
      </c>
      <c r="J22" s="397">
        <f>세출!AC118</f>
        <v>4668000</v>
      </c>
      <c r="K22" s="399">
        <f t="shared" si="0"/>
        <v>-222000</v>
      </c>
    </row>
    <row r="23" spans="2:11" ht="24.95" customHeight="1">
      <c r="B23" s="502"/>
      <c r="C23" s="503"/>
      <c r="D23" s="503"/>
      <c r="E23" s="503"/>
      <c r="F23" s="503"/>
      <c r="G23" s="508" t="s">
        <v>375</v>
      </c>
      <c r="H23" s="400" t="s">
        <v>345</v>
      </c>
      <c r="I23" s="401">
        <f>I24</f>
        <v>203000</v>
      </c>
      <c r="J23" s="401">
        <f>J24</f>
        <v>207131</v>
      </c>
      <c r="K23" s="404">
        <f>K24</f>
        <v>4131</v>
      </c>
    </row>
    <row r="24" spans="2:11" ht="24.95" customHeight="1">
      <c r="B24" s="504"/>
      <c r="C24" s="505"/>
      <c r="D24" s="505"/>
      <c r="E24" s="505"/>
      <c r="F24" s="505"/>
      <c r="G24" s="509"/>
      <c r="H24" s="396" t="s">
        <v>376</v>
      </c>
      <c r="I24" s="397">
        <v>203000</v>
      </c>
      <c r="J24" s="397">
        <f>세출!AC155</f>
        <v>207131</v>
      </c>
      <c r="K24" s="399">
        <f>J24-I24</f>
        <v>4131</v>
      </c>
    </row>
    <row r="25" spans="2:11" ht="24.95" customHeight="1">
      <c r="B25" s="504"/>
      <c r="C25" s="505"/>
      <c r="D25" s="505"/>
      <c r="E25" s="505"/>
      <c r="F25" s="505"/>
      <c r="G25" s="510" t="s">
        <v>377</v>
      </c>
      <c r="H25" s="400" t="s">
        <v>345</v>
      </c>
      <c r="I25" s="401">
        <f>I26</f>
        <v>0</v>
      </c>
      <c r="J25" s="401">
        <f>J26</f>
        <v>0</v>
      </c>
      <c r="K25" s="404">
        <f>K26</f>
        <v>0</v>
      </c>
    </row>
    <row r="26" spans="2:11" ht="24.95" customHeight="1">
      <c r="B26" s="504"/>
      <c r="C26" s="505"/>
      <c r="D26" s="505"/>
      <c r="E26" s="505"/>
      <c r="F26" s="505"/>
      <c r="G26" s="511"/>
      <c r="H26" s="396" t="s">
        <v>378</v>
      </c>
      <c r="I26" s="397">
        <v>0</v>
      </c>
      <c r="J26" s="397">
        <v>0</v>
      </c>
      <c r="K26" s="399">
        <f>J26-I26</f>
        <v>0</v>
      </c>
    </row>
    <row r="27" spans="2:11" ht="24.95" customHeight="1">
      <c r="B27" s="504"/>
      <c r="C27" s="505"/>
      <c r="D27" s="505"/>
      <c r="E27" s="505"/>
      <c r="F27" s="505"/>
      <c r="G27" s="510" t="s">
        <v>379</v>
      </c>
      <c r="H27" s="400" t="s">
        <v>345</v>
      </c>
      <c r="I27" s="401">
        <f>I28</f>
        <v>0</v>
      </c>
      <c r="J27" s="401">
        <f>J28</f>
        <v>0</v>
      </c>
      <c r="K27" s="404">
        <f>K28</f>
        <v>0</v>
      </c>
    </row>
    <row r="28" spans="2:11" ht="24.95" customHeight="1" thickBot="1">
      <c r="B28" s="506"/>
      <c r="C28" s="507"/>
      <c r="D28" s="507"/>
      <c r="E28" s="507"/>
      <c r="F28" s="507"/>
      <c r="G28" s="512"/>
      <c r="H28" s="405" t="s">
        <v>380</v>
      </c>
      <c r="I28" s="406">
        <v>0</v>
      </c>
      <c r="J28" s="406">
        <v>0</v>
      </c>
      <c r="K28" s="407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topLeftCell="B1" zoomScale="83" zoomScaleNormal="83" zoomScaleSheetLayoutView="85" workbookViewId="0">
      <pane xSplit="3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I11" sqref="I11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37" t="s">
        <v>270</v>
      </c>
      <c r="B1" s="537"/>
      <c r="C1" s="537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38" t="s">
        <v>65</v>
      </c>
      <c r="B2" s="539"/>
      <c r="C2" s="539"/>
      <c r="D2" s="540" t="s">
        <v>282</v>
      </c>
      <c r="E2" s="542" t="s">
        <v>283</v>
      </c>
      <c r="F2" s="543"/>
      <c r="G2" s="543"/>
      <c r="H2" s="543"/>
      <c r="I2" s="543"/>
      <c r="J2" s="543"/>
      <c r="K2" s="533" t="s">
        <v>23</v>
      </c>
      <c r="L2" s="533"/>
      <c r="M2" s="533" t="s">
        <v>55</v>
      </c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4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41"/>
      <c r="E3" s="308" t="s">
        <v>124</v>
      </c>
      <c r="F3" s="327" t="s">
        <v>287</v>
      </c>
      <c r="G3" s="308" t="s">
        <v>159</v>
      </c>
      <c r="H3" s="308" t="s">
        <v>114</v>
      </c>
      <c r="I3" s="308" t="s">
        <v>214</v>
      </c>
      <c r="J3" s="308" t="s">
        <v>116</v>
      </c>
      <c r="K3" s="185" t="s">
        <v>125</v>
      </c>
      <c r="L3" s="27" t="s">
        <v>4</v>
      </c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6"/>
      <c r="AD3" s="9"/>
    </row>
    <row r="4" spans="1:31" s="3" customFormat="1" ht="19.5" customHeight="1">
      <c r="A4" s="544" t="s">
        <v>24</v>
      </c>
      <c r="B4" s="545"/>
      <c r="C4" s="546"/>
      <c r="D4" s="28">
        <v>64289</v>
      </c>
      <c r="E4" s="84">
        <f>(F4+G4+H4+I4+J4)</f>
        <v>67450.096000000005</v>
      </c>
      <c r="F4" s="28">
        <f>F5+F7+F16+F21+F27</f>
        <v>48143.131000000001</v>
      </c>
      <c r="G4" s="28">
        <f>G5+G7+G16+G21+G27+G14</f>
        <v>3600</v>
      </c>
      <c r="H4" s="28">
        <f>H5+H7+H16+H21+H27</f>
        <v>13571.524000000001</v>
      </c>
      <c r="I4" s="28">
        <f>I5+I7+I16+I18+I21+I27</f>
        <v>1651.3710000000001</v>
      </c>
      <c r="J4" s="28">
        <f>J5+J7+J16+J21+J27</f>
        <v>484.07</v>
      </c>
      <c r="K4" s="29">
        <f>E4-D4</f>
        <v>3161.096000000005</v>
      </c>
      <c r="L4" s="45">
        <f>IF(D4=0,0,K4/D4)</f>
        <v>4.9170091306444418E-2</v>
      </c>
      <c r="M4" s="30" t="s">
        <v>193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67450096</v>
      </c>
      <c r="AC4" s="33" t="s">
        <v>192</v>
      </c>
      <c r="AD4" s="9"/>
    </row>
    <row r="5" spans="1:31" ht="21" customHeight="1" thickBot="1">
      <c r="A5" s="41" t="s">
        <v>60</v>
      </c>
      <c r="B5" s="312" t="s">
        <v>60</v>
      </c>
      <c r="C5" s="307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232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3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233</v>
      </c>
      <c r="N6" s="60"/>
      <c r="O6" s="61"/>
      <c r="P6" s="61"/>
      <c r="Q6" s="310">
        <v>150000</v>
      </c>
      <c r="R6" s="310" t="s">
        <v>57</v>
      </c>
      <c r="S6" s="311" t="s">
        <v>58</v>
      </c>
      <c r="T6" s="310">
        <v>4</v>
      </c>
      <c r="U6" s="310" t="s">
        <v>56</v>
      </c>
      <c r="V6" s="311" t="s">
        <v>58</v>
      </c>
      <c r="W6" s="62">
        <v>12</v>
      </c>
      <c r="X6" s="234" t="s">
        <v>0</v>
      </c>
      <c r="Y6" s="234" t="s">
        <v>53</v>
      </c>
      <c r="Z6" s="234"/>
      <c r="AA6" s="310"/>
      <c r="AB6" s="310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30" t="s">
        <v>17</v>
      </c>
      <c r="C7" s="531"/>
      <c r="D7" s="215">
        <v>50875</v>
      </c>
      <c r="E7" s="215">
        <f>E8+E14</f>
        <v>51525</v>
      </c>
      <c r="F7" s="215">
        <f>F8</f>
        <v>48125</v>
      </c>
      <c r="G7" s="215">
        <f>G8</f>
        <v>3200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650</v>
      </c>
      <c r="L7" s="217">
        <f>IF(D7=0,0,K7/D7)</f>
        <v>1.2776412776412777E-2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51525000</v>
      </c>
      <c r="AC7" s="50" t="s">
        <v>25</v>
      </c>
      <c r="AD7" s="6"/>
    </row>
    <row r="8" spans="1:31" ht="21" customHeight="1" thickBot="1">
      <c r="A8" s="51"/>
      <c r="B8" s="199" t="s">
        <v>70</v>
      </c>
      <c r="C8" s="312" t="s">
        <v>68</v>
      </c>
      <c r="D8" s="43">
        <f>D9</f>
        <v>50875</v>
      </c>
      <c r="E8" s="43">
        <f>E9</f>
        <v>51325</v>
      </c>
      <c r="F8" s="43">
        <f>F9</f>
        <v>48125</v>
      </c>
      <c r="G8" s="43">
        <f>G9</f>
        <v>3200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450</v>
      </c>
      <c r="L8" s="45">
        <f>IF(D8=0,0,K8/D8)</f>
        <v>8.8452088452088459E-3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51525000</v>
      </c>
      <c r="AC8" s="77" t="s">
        <v>67</v>
      </c>
    </row>
    <row r="9" spans="1:31" ht="21" customHeight="1" thickBot="1">
      <c r="A9" s="51"/>
      <c r="B9" s="313"/>
      <c r="C9" s="346" t="s">
        <v>284</v>
      </c>
      <c r="D9" s="43">
        <v>50875</v>
      </c>
      <c r="E9" s="43">
        <f>AB9/1000</f>
        <v>51325</v>
      </c>
      <c r="F9" s="43">
        <f>(AB10)/1000</f>
        <v>48125</v>
      </c>
      <c r="G9" s="43">
        <f>SUM(AB11+AB12)/1000</f>
        <v>3200</v>
      </c>
      <c r="H9" s="43">
        <v>0</v>
      </c>
      <c r="I9" s="43">
        <v>0</v>
      </c>
      <c r="J9" s="43">
        <v>0</v>
      </c>
      <c r="K9" s="44">
        <f>E9-D9</f>
        <v>450</v>
      </c>
      <c r="L9" s="45">
        <f>IF(D9=0,0,K9/D9)</f>
        <v>8.8452088452088459E-3</v>
      </c>
      <c r="M9" s="183" t="s">
        <v>272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51325000</v>
      </c>
      <c r="AC9" s="104" t="s">
        <v>25</v>
      </c>
    </row>
    <row r="10" spans="1:31" ht="21" customHeight="1">
      <c r="A10" s="51"/>
      <c r="B10" s="313"/>
      <c r="C10" s="347" t="s">
        <v>285</v>
      </c>
      <c r="D10" s="54"/>
      <c r="E10" s="54"/>
      <c r="F10" s="54"/>
      <c r="G10" s="54"/>
      <c r="H10" s="54"/>
      <c r="I10" s="54"/>
      <c r="J10" s="54"/>
      <c r="K10" s="318"/>
      <c r="L10" s="37"/>
      <c r="M10" s="242" t="s">
        <v>273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48125000</v>
      </c>
      <c r="AC10" s="245" t="s">
        <v>57</v>
      </c>
    </row>
    <row r="11" spans="1:31" ht="21" customHeight="1">
      <c r="A11" s="51"/>
      <c r="B11" s="313"/>
      <c r="C11" s="313"/>
      <c r="D11" s="54"/>
      <c r="E11" s="54"/>
      <c r="F11" s="54"/>
      <c r="G11" s="54"/>
      <c r="H11" s="54"/>
      <c r="I11" s="54"/>
      <c r="J11" s="54"/>
      <c r="K11" s="318"/>
      <c r="L11" s="37"/>
      <c r="M11" s="242" t="s">
        <v>218</v>
      </c>
      <c r="N11" s="246"/>
      <c r="O11" s="247"/>
      <c r="P11" s="247"/>
      <c r="Q11" s="310"/>
      <c r="R11" s="310"/>
      <c r="S11" s="311"/>
      <c r="T11" s="310"/>
      <c r="U11" s="310"/>
      <c r="V11" s="311"/>
      <c r="W11" s="310"/>
      <c r="X11" s="310"/>
      <c r="Y11" s="310"/>
      <c r="Z11" s="310"/>
      <c r="AA11" s="84"/>
      <c r="AB11" s="84">
        <v>2000000</v>
      </c>
      <c r="AC11" s="64" t="s">
        <v>57</v>
      </c>
    </row>
    <row r="12" spans="1:31" ht="21" customHeight="1">
      <c r="A12" s="51"/>
      <c r="B12" s="313"/>
      <c r="C12" s="313"/>
      <c r="D12" s="54"/>
      <c r="E12" s="54"/>
      <c r="F12" s="54"/>
      <c r="G12" s="54"/>
      <c r="H12" s="54"/>
      <c r="I12" s="54"/>
      <c r="J12" s="54"/>
      <c r="K12" s="318"/>
      <c r="L12" s="37"/>
      <c r="M12" s="242" t="s">
        <v>219</v>
      </c>
      <c r="N12" s="240"/>
      <c r="O12" s="241"/>
      <c r="P12" s="241"/>
      <c r="Q12" s="331">
        <v>100000</v>
      </c>
      <c r="R12" s="331" t="s">
        <v>57</v>
      </c>
      <c r="S12" s="332" t="s">
        <v>58</v>
      </c>
      <c r="T12" s="331">
        <v>1</v>
      </c>
      <c r="U12" s="331" t="s">
        <v>56</v>
      </c>
      <c r="V12" s="332" t="s">
        <v>58</v>
      </c>
      <c r="W12" s="331">
        <v>12</v>
      </c>
      <c r="X12" s="331" t="s">
        <v>0</v>
      </c>
      <c r="Y12" s="331" t="s">
        <v>53</v>
      </c>
      <c r="Z12" s="331"/>
      <c r="AA12" s="84"/>
      <c r="AB12" s="84">
        <f>SUM(Q12*T12*W12)</f>
        <v>1200000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9"/>
      <c r="L13" s="314"/>
      <c r="M13" s="315"/>
      <c r="N13" s="316"/>
      <c r="O13" s="317"/>
      <c r="P13" s="317"/>
      <c r="Q13" s="344"/>
      <c r="R13" s="344"/>
      <c r="S13" s="345"/>
      <c r="T13" s="344"/>
      <c r="U13" s="344"/>
      <c r="V13" s="345"/>
      <c r="W13" s="344"/>
      <c r="X13" s="344"/>
      <c r="Y13" s="344"/>
      <c r="Z13" s="344"/>
      <c r="AA13" s="84"/>
      <c r="AB13" s="84"/>
      <c r="AC13" s="64"/>
    </row>
    <row r="14" spans="1:31" ht="21" customHeight="1" thickBot="1">
      <c r="A14" s="51"/>
      <c r="B14" s="313"/>
      <c r="C14" s="346" t="s">
        <v>286</v>
      </c>
      <c r="D14" s="54">
        <v>200</v>
      </c>
      <c r="E14" s="43">
        <f>AB14/1000</f>
        <v>200</v>
      </c>
      <c r="F14" s="54"/>
      <c r="G14" s="54">
        <f>SUM(AB14)/1000</f>
        <v>200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3" t="s">
        <v>317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200000</v>
      </c>
      <c r="AC14" s="104" t="s">
        <v>25</v>
      </c>
    </row>
    <row r="15" spans="1:31" ht="21" customHeight="1">
      <c r="A15" s="51"/>
      <c r="B15" s="313"/>
      <c r="C15" s="66" t="s">
        <v>285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231</v>
      </c>
      <c r="N15" s="246"/>
      <c r="O15" s="247"/>
      <c r="P15" s="247"/>
      <c r="Q15" s="344"/>
      <c r="R15" s="344"/>
      <c r="S15" s="345"/>
      <c r="T15" s="344"/>
      <c r="U15" s="344"/>
      <c r="V15" s="345"/>
      <c r="W15" s="344"/>
      <c r="X15" s="344"/>
      <c r="Y15" s="344"/>
      <c r="Z15" s="344"/>
      <c r="AA15" s="84"/>
      <c r="AB15" s="84">
        <v>200000</v>
      </c>
      <c r="AC15" s="64" t="s">
        <v>57</v>
      </c>
    </row>
    <row r="16" spans="1:31" ht="21" customHeight="1" thickBot="1">
      <c r="A16" s="41" t="s">
        <v>76</v>
      </c>
      <c r="B16" s="312" t="s">
        <v>13</v>
      </c>
      <c r="C16" s="312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11"/>
      <c r="N17" s="311"/>
      <c r="O17" s="310"/>
      <c r="P17" s="310"/>
      <c r="Q17" s="85"/>
      <c r="R17" s="86"/>
      <c r="S17" s="248"/>
      <c r="T17" s="91"/>
      <c r="U17" s="249"/>
      <c r="V17" s="250"/>
      <c r="W17" s="234"/>
      <c r="X17" s="234"/>
      <c r="Y17" s="234"/>
      <c r="Z17" s="310"/>
      <c r="AA17" s="84"/>
      <c r="AB17" s="84"/>
      <c r="AC17" s="64" t="s">
        <v>288</v>
      </c>
      <c r="AD17" s="23"/>
      <c r="AE17" s="24"/>
    </row>
    <row r="18" spans="1:31" s="4" customFormat="1" ht="21" customHeight="1" thickBot="1">
      <c r="A18" s="41" t="s">
        <v>214</v>
      </c>
      <c r="B18" s="313" t="s">
        <v>214</v>
      </c>
      <c r="C18" s="313" t="s">
        <v>215</v>
      </c>
      <c r="D18" s="54">
        <v>200</v>
      </c>
      <c r="E18" s="54">
        <f>I18</f>
        <v>750</v>
      </c>
      <c r="F18" s="54"/>
      <c r="G18" s="54"/>
      <c r="H18" s="54"/>
      <c r="I18" s="54">
        <f>AB19/1000</f>
        <v>750</v>
      </c>
      <c r="J18" s="54"/>
      <c r="K18" s="44">
        <f>E18-D18</f>
        <v>550</v>
      </c>
      <c r="L18" s="45">
        <f>IF(D18=0,0,K18/D18)</f>
        <v>2.75</v>
      </c>
      <c r="M18" s="46" t="s">
        <v>211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750000</v>
      </c>
      <c r="AC18" s="115" t="s">
        <v>25</v>
      </c>
      <c r="AD18" s="284"/>
      <c r="AE18" s="285"/>
    </row>
    <row r="19" spans="1:31" ht="21" customHeight="1">
      <c r="A19" s="51"/>
      <c r="B19" s="313"/>
      <c r="C19" s="313" t="s">
        <v>214</v>
      </c>
      <c r="D19" s="54"/>
      <c r="E19" s="54"/>
      <c r="F19" s="54"/>
      <c r="G19" s="54"/>
      <c r="H19" s="54"/>
      <c r="I19" s="54"/>
      <c r="J19" s="54"/>
      <c r="K19" s="55"/>
      <c r="L19" s="35"/>
      <c r="M19" s="311" t="s">
        <v>213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10"/>
      <c r="AA19" s="84"/>
      <c r="AB19" s="84">
        <v>750000</v>
      </c>
      <c r="AC19" s="64" t="s">
        <v>210</v>
      </c>
      <c r="AD19" s="23"/>
      <c r="AE19" s="24"/>
    </row>
    <row r="20" spans="1:31" s="4" customFormat="1" ht="21" customHeight="1">
      <c r="A20" s="51"/>
      <c r="B20" s="313"/>
      <c r="C20" s="313"/>
      <c r="D20" s="54"/>
      <c r="E20" s="54"/>
      <c r="F20" s="54"/>
      <c r="G20" s="54"/>
      <c r="H20" s="54"/>
      <c r="I20" s="54"/>
      <c r="J20" s="54"/>
      <c r="K20" s="55"/>
      <c r="L20" s="87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116"/>
      <c r="AC20" s="64"/>
      <c r="AD20" s="7"/>
    </row>
    <row r="21" spans="1:31" ht="21" customHeight="1" thickBot="1">
      <c r="A21" s="41" t="s">
        <v>14</v>
      </c>
      <c r="B21" s="312" t="s">
        <v>14</v>
      </c>
      <c r="C21" s="312" t="s">
        <v>77</v>
      </c>
      <c r="D21" s="43">
        <v>6003</v>
      </c>
      <c r="E21" s="43">
        <f>SUM(F21:J21)</f>
        <v>7955.0960000000005</v>
      </c>
      <c r="F21" s="43">
        <f>AB23/1000</f>
        <v>7.1310000000000002</v>
      </c>
      <c r="G21" s="43">
        <f>ROUND(SUM(AB22),-3)/1000</f>
        <v>200</v>
      </c>
      <c r="H21" s="43">
        <f>AB24/1000</f>
        <v>6363.5240000000003</v>
      </c>
      <c r="I21" s="43">
        <f>AB26/1000</f>
        <v>900.37099999999998</v>
      </c>
      <c r="J21" s="43">
        <f>AB25/1000</f>
        <v>484.07</v>
      </c>
      <c r="K21" s="44">
        <f>E21-D21</f>
        <v>1952.0960000000005</v>
      </c>
      <c r="L21" s="45">
        <f>IF(D21=0,0,K21/D21)</f>
        <v>0.32518673996335173</v>
      </c>
      <c r="M21" s="46" t="s">
        <v>212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7955096</v>
      </c>
      <c r="AC21" s="115" t="s">
        <v>25</v>
      </c>
    </row>
    <row r="22" spans="1:31" ht="21" customHeight="1">
      <c r="A22" s="51"/>
      <c r="B22" s="313"/>
      <c r="C22" s="313" t="s">
        <v>220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289</v>
      </c>
      <c r="N22" s="311"/>
      <c r="O22" s="310"/>
      <c r="P22" s="310"/>
      <c r="Q22" s="310"/>
      <c r="R22" s="310"/>
      <c r="S22" s="310"/>
      <c r="T22" s="310"/>
      <c r="U22" s="60"/>
      <c r="V22" s="60"/>
      <c r="W22" s="60"/>
      <c r="X22" s="310"/>
      <c r="Y22" s="310"/>
      <c r="Z22" s="310"/>
      <c r="AA22" s="84"/>
      <c r="AB22" s="84">
        <v>200000</v>
      </c>
      <c r="AC22" s="64" t="s">
        <v>158</v>
      </c>
    </row>
    <row r="23" spans="1:31" ht="21" customHeight="1">
      <c r="A23" s="51"/>
      <c r="B23" s="313"/>
      <c r="C23" s="313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313</v>
      </c>
      <c r="N23" s="311"/>
      <c r="O23" s="310"/>
      <c r="P23" s="310"/>
      <c r="Q23" s="310"/>
      <c r="R23" s="36"/>
      <c r="S23" s="310"/>
      <c r="T23" s="310"/>
      <c r="U23" s="310"/>
      <c r="V23" s="310"/>
      <c r="W23" s="310"/>
      <c r="X23" s="310"/>
      <c r="Y23" s="310"/>
      <c r="Z23" s="310"/>
      <c r="AA23" s="310"/>
      <c r="AB23" s="310">
        <v>7131</v>
      </c>
      <c r="AC23" s="64" t="s">
        <v>158</v>
      </c>
    </row>
    <row r="24" spans="1:31" ht="21" customHeight="1">
      <c r="A24" s="51"/>
      <c r="B24" s="313"/>
      <c r="C24" s="313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308</v>
      </c>
      <c r="N24" s="349"/>
      <c r="O24" s="348"/>
      <c r="P24" s="348"/>
      <c r="Q24" s="348"/>
      <c r="R24" s="36"/>
      <c r="S24" s="348"/>
      <c r="T24" s="348"/>
      <c r="U24" s="348"/>
      <c r="V24" s="348"/>
      <c r="W24" s="348"/>
      <c r="X24" s="348"/>
      <c r="Y24" s="348"/>
      <c r="Z24" s="348"/>
      <c r="AA24" s="348"/>
      <c r="AB24" s="348">
        <v>6363524</v>
      </c>
      <c r="AC24" s="64" t="s">
        <v>57</v>
      </c>
    </row>
    <row r="25" spans="1:31" ht="21" customHeight="1">
      <c r="A25" s="51"/>
      <c r="B25" s="313"/>
      <c r="C25" s="313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309</v>
      </c>
      <c r="N25" s="349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>
        <v>484070</v>
      </c>
      <c r="AC25" s="64" t="s">
        <v>57</v>
      </c>
    </row>
    <row r="26" spans="1:31" ht="21" customHeight="1">
      <c r="A26" s="51"/>
      <c r="B26" s="313"/>
      <c r="C26" s="313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310</v>
      </c>
      <c r="N26" s="349"/>
      <c r="O26" s="348"/>
      <c r="P26" s="348"/>
      <c r="Q26" s="348"/>
      <c r="R26" s="36"/>
      <c r="S26" s="348"/>
      <c r="T26" s="348"/>
      <c r="U26" s="348"/>
      <c r="V26" s="348"/>
      <c r="W26" s="348"/>
      <c r="X26" s="348"/>
      <c r="Y26" s="348"/>
      <c r="Z26" s="348"/>
      <c r="AA26" s="348"/>
      <c r="AB26" s="348">
        <v>900371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f t="shared" ref="D27:J27" si="2">D34+D28+D30</f>
        <v>11</v>
      </c>
      <c r="E27" s="43">
        <f t="shared" si="2"/>
        <v>20</v>
      </c>
      <c r="F27" s="43">
        <f t="shared" si="2"/>
        <v>11</v>
      </c>
      <c r="G27" s="43">
        <f t="shared" si="2"/>
        <v>0</v>
      </c>
      <c r="H27" s="43">
        <f t="shared" si="2"/>
        <v>8</v>
      </c>
      <c r="I27" s="43">
        <f t="shared" si="2"/>
        <v>1</v>
      </c>
      <c r="J27" s="43">
        <f t="shared" si="2"/>
        <v>0</v>
      </c>
      <c r="K27" s="44">
        <f>E27-D27</f>
        <v>9</v>
      </c>
      <c r="L27" s="45">
        <f>IF(D27=0,0,K27/D27)</f>
        <v>0.81818181818181823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117</v>
      </c>
      <c r="V27" s="48"/>
      <c r="W27" s="48"/>
      <c r="X27" s="48"/>
      <c r="Y27" s="48"/>
      <c r="Z27" s="48"/>
      <c r="AA27" s="49"/>
      <c r="AB27" s="49">
        <f>AB28+AB34+AB30</f>
        <v>20000</v>
      </c>
      <c r="AC27" s="50" t="s">
        <v>25</v>
      </c>
    </row>
    <row r="28" spans="1:31" ht="21" customHeight="1">
      <c r="A28" s="51"/>
      <c r="B28" s="120"/>
      <c r="C28" s="108" t="s">
        <v>122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5"/>
      <c r="O28" s="224"/>
      <c r="P28" s="224"/>
      <c r="Q28" s="224"/>
      <c r="R28" s="224"/>
      <c r="S28" s="224"/>
      <c r="T28" s="224"/>
      <c r="U28" s="224" t="s">
        <v>118</v>
      </c>
      <c r="V28" s="224"/>
      <c r="W28" s="224"/>
      <c r="X28" s="224"/>
      <c r="Y28" s="224"/>
      <c r="Z28" s="224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90"/>
      <c r="AD29" s="6"/>
    </row>
    <row r="30" spans="1:31" ht="21" customHeight="1">
      <c r="A30" s="51"/>
      <c r="B30" s="120"/>
      <c r="C30" s="108" t="s">
        <v>305</v>
      </c>
      <c r="D30" s="43">
        <v>0</v>
      </c>
      <c r="E30" s="43">
        <f>SUM(F30:J30)</f>
        <v>6</v>
      </c>
      <c r="F30" s="43">
        <f>AB31/1000</f>
        <v>3</v>
      </c>
      <c r="G30" s="43">
        <v>0</v>
      </c>
      <c r="H30" s="43">
        <f>AB32/1000</f>
        <v>3</v>
      </c>
      <c r="I30" s="43">
        <v>0</v>
      </c>
      <c r="J30" s="43">
        <v>0</v>
      </c>
      <c r="K30" s="44">
        <f>E30-D30</f>
        <v>6</v>
      </c>
      <c r="L30" s="45">
        <f>IF(D30=0,0,K30/D30)</f>
        <v>0</v>
      </c>
      <c r="M30" s="121" t="s">
        <v>274</v>
      </c>
      <c r="N30" s="225"/>
      <c r="O30" s="224"/>
      <c r="P30" s="224"/>
      <c r="Q30" s="224"/>
      <c r="R30" s="224"/>
      <c r="S30" s="224"/>
      <c r="T30" s="224"/>
      <c r="U30" s="224" t="s">
        <v>118</v>
      </c>
      <c r="V30" s="224"/>
      <c r="W30" s="224"/>
      <c r="X30" s="224"/>
      <c r="Y30" s="224"/>
      <c r="Z30" s="224"/>
      <c r="AA30" s="118"/>
      <c r="AB30" s="118">
        <f>AB31+AB32+AB33</f>
        <v>6000</v>
      </c>
      <c r="AC30" s="119" t="s">
        <v>57</v>
      </c>
    </row>
    <row r="31" spans="1:31" ht="21" customHeight="1">
      <c r="A31" s="51"/>
      <c r="B31" s="120"/>
      <c r="C31" s="350" t="s">
        <v>306</v>
      </c>
      <c r="D31" s="54"/>
      <c r="E31" s="54"/>
      <c r="F31" s="54"/>
      <c r="G31" s="54"/>
      <c r="H31" s="54"/>
      <c r="I31" s="54"/>
      <c r="J31" s="54"/>
      <c r="K31" s="55"/>
      <c r="L31" s="37"/>
      <c r="M31" s="261" t="s">
        <v>276</v>
      </c>
      <c r="N31" s="345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84"/>
      <c r="AB31" s="84">
        <v>3000</v>
      </c>
      <c r="AC31" s="64" t="s">
        <v>25</v>
      </c>
    </row>
    <row r="32" spans="1:31" ht="21" customHeight="1">
      <c r="A32" s="51"/>
      <c r="B32" s="120"/>
      <c r="C32" s="350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277</v>
      </c>
      <c r="N32" s="345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84"/>
      <c r="AB32" s="84">
        <v>3000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278</v>
      </c>
      <c r="N33" s="343"/>
      <c r="O33" s="343"/>
      <c r="P33" s="343"/>
      <c r="Q33" s="343"/>
      <c r="R33" s="343"/>
      <c r="S33" s="343"/>
      <c r="T33" s="343"/>
      <c r="U33" s="343"/>
      <c r="V33" s="343"/>
      <c r="W33" s="343"/>
      <c r="X33" s="343"/>
      <c r="Y33" s="343"/>
      <c r="Z33" s="343"/>
      <c r="AA33" s="343"/>
      <c r="AB33" s="343"/>
      <c r="AC33" s="90"/>
      <c r="AD33" s="6"/>
    </row>
    <row r="34" spans="1:30" ht="21" customHeight="1">
      <c r="A34" s="51"/>
      <c r="B34" s="313"/>
      <c r="C34" s="313" t="s">
        <v>121</v>
      </c>
      <c r="D34" s="54">
        <v>11</v>
      </c>
      <c r="E34" s="43">
        <f>SUM(F34:J34)</f>
        <v>14</v>
      </c>
      <c r="F34" s="43">
        <f>AB35/1000</f>
        <v>8</v>
      </c>
      <c r="G34" s="43">
        <v>0</v>
      </c>
      <c r="H34" s="43">
        <f>AB36/1000</f>
        <v>5</v>
      </c>
      <c r="I34" s="43">
        <f>AB37/1000</f>
        <v>1</v>
      </c>
      <c r="J34" s="43">
        <v>0</v>
      </c>
      <c r="K34" s="55">
        <f>E34-D34</f>
        <v>3</v>
      </c>
      <c r="L34" s="45">
        <f>IF(D34=0,0,K34/D34)</f>
        <v>0.27272727272727271</v>
      </c>
      <c r="M34" s="123" t="s">
        <v>84</v>
      </c>
      <c r="N34" s="221"/>
      <c r="O34" s="220"/>
      <c r="P34" s="220"/>
      <c r="Q34" s="220"/>
      <c r="R34" s="220"/>
      <c r="S34" s="220"/>
      <c r="T34" s="220"/>
      <c r="U34" s="220" t="s">
        <v>118</v>
      </c>
      <c r="V34" s="220"/>
      <c r="W34" s="220"/>
      <c r="X34" s="220"/>
      <c r="Y34" s="220"/>
      <c r="Z34" s="220"/>
      <c r="AA34" s="58"/>
      <c r="AB34" s="58">
        <f>AB35+AB36+AB37</f>
        <v>14000</v>
      </c>
      <c r="AC34" s="40" t="s">
        <v>25</v>
      </c>
    </row>
    <row r="35" spans="1:30" ht="21" customHeight="1">
      <c r="A35" s="51"/>
      <c r="B35" s="342"/>
      <c r="C35" s="342" t="s">
        <v>275</v>
      </c>
      <c r="D35" s="54"/>
      <c r="E35" s="54"/>
      <c r="F35" s="54"/>
      <c r="G35" s="54"/>
      <c r="H35" s="54"/>
      <c r="I35" s="54"/>
      <c r="J35" s="54"/>
      <c r="K35" s="55"/>
      <c r="L35" s="37"/>
      <c r="M35" s="261" t="s">
        <v>279</v>
      </c>
      <c r="N35" s="345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84"/>
      <c r="AB35" s="84">
        <v>8000</v>
      </c>
      <c r="AC35" s="64" t="s">
        <v>25</v>
      </c>
    </row>
    <row r="36" spans="1:30" ht="21" customHeight="1">
      <c r="A36" s="51"/>
      <c r="B36" s="342"/>
      <c r="C36" s="342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280</v>
      </c>
      <c r="N36" s="345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84"/>
      <c r="AB36" s="84">
        <v>5000</v>
      </c>
      <c r="AC36" s="64" t="s">
        <v>25</v>
      </c>
    </row>
    <row r="37" spans="1:30" s="12" customFormat="1" ht="19.5" customHeight="1" thickBot="1">
      <c r="A37" s="322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281</v>
      </c>
      <c r="N37" s="82"/>
      <c r="O37" s="82"/>
      <c r="P37" s="82"/>
      <c r="Q37" s="82"/>
      <c r="R37" s="82"/>
      <c r="S37" s="82"/>
      <c r="T37" s="82"/>
      <c r="U37" s="532"/>
      <c r="V37" s="532"/>
      <c r="W37" s="82"/>
      <c r="X37" s="82"/>
      <c r="Y37" s="82"/>
      <c r="Z37" s="82"/>
      <c r="AA37" s="82"/>
      <c r="AB37" s="82">
        <v>1000</v>
      </c>
      <c r="AC37" s="351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&amp;R&amp;10장애인공동생활가정 바르나바의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59"/>
  <sheetViews>
    <sheetView zoomScale="80" zoomScaleNormal="80" zoomScaleSheetLayoutView="75" workbookViewId="0">
      <pane xSplit="4" ySplit="6" topLeftCell="L136" activePane="bottomRight" state="frozen"/>
      <selection pane="topRight" activeCell="E1" sqref="E1"/>
      <selection pane="bottomLeft" activeCell="A7" sqref="A7"/>
      <selection pane="bottomRight" activeCell="AC31" sqref="AC31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37" t="s">
        <v>271</v>
      </c>
      <c r="B1" s="537"/>
      <c r="C1" s="537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38" t="s">
        <v>22</v>
      </c>
      <c r="B2" s="539"/>
      <c r="C2" s="539"/>
      <c r="D2" s="540" t="s">
        <v>290</v>
      </c>
      <c r="E2" s="542" t="s">
        <v>291</v>
      </c>
      <c r="F2" s="543"/>
      <c r="G2" s="543"/>
      <c r="H2" s="543"/>
      <c r="I2" s="543"/>
      <c r="J2" s="543"/>
      <c r="K2" s="533" t="s">
        <v>23</v>
      </c>
      <c r="L2" s="533"/>
      <c r="M2" s="558" t="s">
        <v>54</v>
      </c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60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41"/>
      <c r="E3" s="186" t="s">
        <v>124</v>
      </c>
      <c r="F3" s="305" t="s">
        <v>234</v>
      </c>
      <c r="G3" s="235" t="s">
        <v>159</v>
      </c>
      <c r="H3" s="186" t="s">
        <v>114</v>
      </c>
      <c r="I3" s="280" t="s">
        <v>214</v>
      </c>
      <c r="J3" s="186" t="s">
        <v>116</v>
      </c>
      <c r="K3" s="185" t="s">
        <v>125</v>
      </c>
      <c r="L3" s="131" t="s">
        <v>4</v>
      </c>
      <c r="M3" s="561"/>
      <c r="N3" s="562"/>
      <c r="O3" s="562"/>
      <c r="P3" s="562"/>
      <c r="Q3" s="562"/>
      <c r="R3" s="562"/>
      <c r="S3" s="562"/>
      <c r="T3" s="562"/>
      <c r="U3" s="562"/>
      <c r="V3" s="562"/>
      <c r="W3" s="562"/>
      <c r="X3" s="562"/>
      <c r="Y3" s="562"/>
      <c r="Z3" s="562"/>
      <c r="AA3" s="562"/>
      <c r="AB3" s="562"/>
      <c r="AC3" s="562"/>
      <c r="AD3" s="563"/>
    </row>
    <row r="4" spans="1:33" s="12" customFormat="1" ht="21" customHeight="1">
      <c r="A4" s="549" t="s">
        <v>32</v>
      </c>
      <c r="B4" s="550"/>
      <c r="C4" s="550"/>
      <c r="D4" s="194">
        <v>64289.335960000011</v>
      </c>
      <c r="E4" s="194">
        <f>SUM(F4,G4,H4,J4,I4)</f>
        <v>67450.09599999999</v>
      </c>
      <c r="F4" s="194">
        <f>SUM(F5,F82,F96,F154)</f>
        <v>48143.130999999994</v>
      </c>
      <c r="G4" s="194">
        <f>SUM(G5,G82,G96,G154)</f>
        <v>3600</v>
      </c>
      <c r="H4" s="194">
        <f>SUM(H5,H82,H96,H154)</f>
        <v>13571.523999999999</v>
      </c>
      <c r="I4" s="194">
        <f>SUM(I5,I82,I96,I154,I118,I108)</f>
        <v>1651.3710000000001</v>
      </c>
      <c r="J4" s="194">
        <f>SUM(J5,J82,J96,J154)</f>
        <v>484.07</v>
      </c>
      <c r="K4" s="193">
        <f>E4-D4</f>
        <v>3160.7600399999792</v>
      </c>
      <c r="L4" s="195">
        <f>IF(D4=0,0,K4/D4)</f>
        <v>4.9164608605796814E-2</v>
      </c>
      <c r="M4" s="353" t="s">
        <v>140</v>
      </c>
      <c r="N4" s="354"/>
      <c r="O4" s="354"/>
      <c r="P4" s="354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>
        <f>SUM(AC5,AC82,AC96,AC154)</f>
        <v>67450096</v>
      </c>
      <c r="AD4" s="356" t="s">
        <v>25</v>
      </c>
      <c r="AE4" s="2"/>
    </row>
    <row r="5" spans="1:33" s="12" customFormat="1" ht="21" customHeight="1">
      <c r="A5" s="136" t="s">
        <v>6</v>
      </c>
      <c r="B5" s="547" t="s">
        <v>7</v>
      </c>
      <c r="C5" s="548"/>
      <c r="D5" s="191">
        <v>43626.98</v>
      </c>
      <c r="E5" s="191">
        <f>SUM(E6,E41,E51)</f>
        <v>43783.81</v>
      </c>
      <c r="F5" s="191">
        <f>SUM(F6,F41,F51)</f>
        <v>40541.009999999995</v>
      </c>
      <c r="G5" s="191">
        <f>SUM(G6,G41,G51)</f>
        <v>1400</v>
      </c>
      <c r="H5" s="191">
        <f>SUM(H6,H41,H51)</f>
        <v>1782.76</v>
      </c>
      <c r="I5" s="191">
        <f>SUM(I6,I41,I51)</f>
        <v>0</v>
      </c>
      <c r="J5" s="191">
        <f>J6+J41+J51</f>
        <v>60</v>
      </c>
      <c r="K5" s="132">
        <f>E5-D5</f>
        <v>156.82999999999447</v>
      </c>
      <c r="L5" s="196">
        <f>IF(D5=0,0,K5/D5)</f>
        <v>3.5947938637970003E-3</v>
      </c>
      <c r="M5" s="357" t="s">
        <v>139</v>
      </c>
      <c r="N5" s="357"/>
      <c r="O5" s="357"/>
      <c r="P5" s="357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>
        <f>SUM(AC6,AC41,AC51)</f>
        <v>43783770</v>
      </c>
      <c r="AD5" s="359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v>37641.980000000003</v>
      </c>
      <c r="E6" s="198">
        <f>SUM(E7,E38,E11,E27,E31)</f>
        <v>36880.81</v>
      </c>
      <c r="F6" s="198">
        <f>F7+F11+F27+F31</f>
        <v>35480.81</v>
      </c>
      <c r="G6" s="198">
        <f>SUM(G7,G11,G27,G31,G38)</f>
        <v>1400</v>
      </c>
      <c r="H6" s="198">
        <f>SUM(H7,H11,H27,H31)</f>
        <v>0</v>
      </c>
      <c r="I6" s="198">
        <v>0</v>
      </c>
      <c r="J6" s="198">
        <f>SUM(J7,J11,J27,J31)</f>
        <v>0</v>
      </c>
      <c r="K6" s="200">
        <f>E6-D6</f>
        <v>-761.17000000000553</v>
      </c>
      <c r="L6" s="201">
        <f>IF(D6=0,0,K6/D6)</f>
        <v>-2.0221306105576951E-2</v>
      </c>
      <c r="M6" s="202" t="s">
        <v>138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SUM(AC7,AC11,AC27,AC31,AC38)</f>
        <v>36880810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23658</v>
      </c>
      <c r="E7" s="138">
        <f>F7</f>
        <v>23411</v>
      </c>
      <c r="F7" s="138">
        <f>AC7/1000</f>
        <v>23411</v>
      </c>
      <c r="G7" s="138">
        <v>0</v>
      </c>
      <c r="H7" s="138">
        <v>0</v>
      </c>
      <c r="I7" s="138"/>
      <c r="J7" s="138">
        <v>0</v>
      </c>
      <c r="K7" s="137">
        <f>E7-D7</f>
        <v>-247</v>
      </c>
      <c r="L7" s="145">
        <f>IF(D7=0,0,K7/D7)</f>
        <v>-1.0440442979119113E-2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126</v>
      </c>
      <c r="W7" s="238"/>
      <c r="X7" s="238"/>
      <c r="Y7" s="238"/>
      <c r="Z7" s="238"/>
      <c r="AA7" s="238"/>
      <c r="AB7" s="205"/>
      <c r="AC7" s="205">
        <f>SUM(AC8:AC10)</f>
        <v>23411000</v>
      </c>
      <c r="AD7" s="204" t="s">
        <v>57</v>
      </c>
      <c r="AE7" s="1"/>
      <c r="AF7" s="370">
        <v>48143131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164</v>
      </c>
      <c r="N8" s="255" t="s">
        <v>238</v>
      </c>
      <c r="O8" s="236"/>
      <c r="P8" s="236"/>
      <c r="Q8" s="85">
        <v>1998000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6">
        <v>5</v>
      </c>
      <c r="Y8" s="86" t="s">
        <v>29</v>
      </c>
      <c r="Z8" s="86" t="s">
        <v>163</v>
      </c>
      <c r="AA8" s="340" t="s">
        <v>265</v>
      </c>
      <c r="AB8" s="84"/>
      <c r="AC8" s="84">
        <f t="shared" ref="AC8:AC10" si="0">Q8*U8*X8</f>
        <v>9990000</v>
      </c>
      <c r="AD8" s="64" t="s">
        <v>25</v>
      </c>
      <c r="AE8" s="1"/>
      <c r="AF8" s="14">
        <f>AC8+AC9+AC10+AC13+AC14+AC20+AC21+AC22+AC28+AC31+AC56+AC57+AC61+AC62+AC67+AC68+AC69+AC70+AC71+AC99+AC101+AC105+AC112+AC80+AC116+AC156</f>
        <v>48143131</v>
      </c>
      <c r="AG8" s="370">
        <f>AF7-AF8</f>
        <v>0</v>
      </c>
    </row>
    <row r="9" spans="1:33" s="12" customFormat="1" ht="21" customHeight="1">
      <c r="A9" s="51"/>
      <c r="B9" s="347"/>
      <c r="C9" s="347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 t="s">
        <v>294</v>
      </c>
      <c r="O9" s="352"/>
      <c r="P9" s="352"/>
      <c r="Q9" s="85">
        <v>1907000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6">
        <v>5</v>
      </c>
      <c r="Y9" s="86" t="s">
        <v>29</v>
      </c>
      <c r="Z9" s="86" t="s">
        <v>27</v>
      </c>
      <c r="AA9" s="352" t="s">
        <v>292</v>
      </c>
      <c r="AB9" s="84"/>
      <c r="AC9" s="84">
        <f t="shared" ref="AC9" si="1">Q9*U9*X9</f>
        <v>9535000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 t="s">
        <v>293</v>
      </c>
      <c r="O10" s="236"/>
      <c r="P10" s="236"/>
      <c r="Q10" s="85">
        <v>1943000</v>
      </c>
      <c r="R10" s="85"/>
      <c r="S10" s="86" t="s">
        <v>160</v>
      </c>
      <c r="T10" s="86" t="s">
        <v>161</v>
      </c>
      <c r="U10" s="86">
        <v>1</v>
      </c>
      <c r="V10" s="86" t="s">
        <v>162</v>
      </c>
      <c r="W10" s="86" t="s">
        <v>161</v>
      </c>
      <c r="X10" s="256">
        <v>2</v>
      </c>
      <c r="Y10" s="86" t="s">
        <v>29</v>
      </c>
      <c r="Z10" s="86" t="s">
        <v>163</v>
      </c>
      <c r="AA10" s="340" t="s">
        <v>265</v>
      </c>
      <c r="AB10" s="84"/>
      <c r="AC10" s="84">
        <f t="shared" si="0"/>
        <v>3886000</v>
      </c>
      <c r="AD10" s="64" t="s">
        <v>25</v>
      </c>
      <c r="AE10" s="1"/>
      <c r="AF10" s="370">
        <v>13571524</v>
      </c>
    </row>
    <row r="11" spans="1:33" s="12" customFormat="1" ht="21" customHeight="1">
      <c r="A11" s="51"/>
      <c r="B11" s="52"/>
      <c r="C11" s="42" t="s">
        <v>34</v>
      </c>
      <c r="D11" s="138">
        <v>8152.45</v>
      </c>
      <c r="E11" s="138">
        <f>F11+G11+H11+J11</f>
        <v>7741.25</v>
      </c>
      <c r="F11" s="138">
        <f>SUM(명절휴가비,AC16,AC19)/1000</f>
        <v>6541.25</v>
      </c>
      <c r="G11" s="138">
        <f>SUM(AC23)/1000</f>
        <v>1200</v>
      </c>
      <c r="H11" s="138">
        <v>0</v>
      </c>
      <c r="I11" s="138">
        <v>0</v>
      </c>
      <c r="J11" s="138">
        <f>0</f>
        <v>0</v>
      </c>
      <c r="K11" s="137">
        <f>E11-D11</f>
        <v>-411.19999999999982</v>
      </c>
      <c r="L11" s="145">
        <f>IF(D11=0,0,K11/D11)</f>
        <v>-5.0438825138455289E-2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126</v>
      </c>
      <c r="W11" s="203"/>
      <c r="X11" s="203"/>
      <c r="Y11" s="203"/>
      <c r="Z11" s="203"/>
      <c r="AA11" s="203"/>
      <c r="AB11" s="205"/>
      <c r="AC11" s="205">
        <f>SUM(명절휴가비,연장근로수당,AC16,AC23)</f>
        <v>7741250</v>
      </c>
      <c r="AD11" s="204" t="s">
        <v>57</v>
      </c>
      <c r="AE11" s="1"/>
      <c r="AF11" s="370">
        <f>AC43+AC58+AC63+AC64+AC77+AC90+AC91+AC94+AC100+AC109+AC113+AC122+AC123+AC129+AC132+AC48+AC138+AC139+AC140+AC141+AC92+AC145+AC148+AC135+AC124+AC125+AC72+AC73+AC74+AC81+AC106+AC117+AC126+AC150</f>
        <v>13571524</v>
      </c>
      <c r="AG11" s="370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9" t="s">
        <v>264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2343000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202</v>
      </c>
      <c r="N13" s="274" t="str">
        <f>N8</f>
        <v>5호</v>
      </c>
      <c r="O13" s="153"/>
      <c r="P13" s="153"/>
      <c r="Q13" s="85">
        <f>Q8</f>
        <v>1998000</v>
      </c>
      <c r="R13" s="85"/>
      <c r="S13" s="86" t="s">
        <v>160</v>
      </c>
      <c r="T13" s="86" t="s">
        <v>161</v>
      </c>
      <c r="U13" s="257">
        <v>1</v>
      </c>
      <c r="V13" s="86" t="s">
        <v>161</v>
      </c>
      <c r="W13" s="258">
        <v>0.6</v>
      </c>
      <c r="X13" s="259">
        <v>1</v>
      </c>
      <c r="Y13" s="260" t="s">
        <v>165</v>
      </c>
      <c r="Z13" s="86" t="s">
        <v>163</v>
      </c>
      <c r="AA13" s="340" t="s">
        <v>265</v>
      </c>
      <c r="AB13" s="84"/>
      <c r="AC13" s="84">
        <f t="shared" ref="AC13" si="2">Q13*U13*W13*X13</f>
        <v>1198800</v>
      </c>
      <c r="AD13" s="64" t="s">
        <v>160</v>
      </c>
      <c r="AE13" s="18"/>
      <c r="AF13" s="370">
        <v>1651371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2" t="s">
        <v>260</v>
      </c>
      <c r="N14" s="274" t="str">
        <f>N10</f>
        <v>4호</v>
      </c>
      <c r="O14" s="153"/>
      <c r="P14" s="153"/>
      <c r="Q14" s="85">
        <f>Q9</f>
        <v>1907000</v>
      </c>
      <c r="R14" s="85"/>
      <c r="S14" s="86" t="s">
        <v>160</v>
      </c>
      <c r="T14" s="86" t="s">
        <v>161</v>
      </c>
      <c r="U14" s="257">
        <v>1</v>
      </c>
      <c r="V14" s="86" t="s">
        <v>161</v>
      </c>
      <c r="W14" s="258">
        <v>0.6</v>
      </c>
      <c r="X14" s="259">
        <v>1</v>
      </c>
      <c r="Y14" s="260" t="s">
        <v>29</v>
      </c>
      <c r="Z14" s="86" t="s">
        <v>163</v>
      </c>
      <c r="AA14" s="340" t="s">
        <v>265</v>
      </c>
      <c r="AB14" s="84"/>
      <c r="AC14" s="84">
        <f>Q14*U14*W14*X14</f>
        <v>1144200</v>
      </c>
      <c r="AD14" s="64" t="s">
        <v>160</v>
      </c>
      <c r="AE14" s="18"/>
      <c r="AF14" s="14">
        <f>AC102+AC110</f>
        <v>1651371</v>
      </c>
      <c r="AG14" s="370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200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SUM(AC17:AC17)</f>
        <v>0</v>
      </c>
      <c r="AD16" s="90" t="s">
        <v>57</v>
      </c>
      <c r="AE16" s="18"/>
    </row>
    <row r="17" spans="1:31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4" t="s">
        <v>230</v>
      </c>
      <c r="N17" s="274"/>
      <c r="O17" s="270"/>
      <c r="P17" s="270"/>
      <c r="Q17" s="85">
        <v>0</v>
      </c>
      <c r="R17" s="85"/>
      <c r="S17" s="86" t="s">
        <v>203</v>
      </c>
      <c r="T17" s="86"/>
      <c r="U17" s="257"/>
      <c r="V17" s="86"/>
      <c r="W17" s="258"/>
      <c r="X17" s="259">
        <v>12</v>
      </c>
      <c r="Y17" s="260" t="s">
        <v>204</v>
      </c>
      <c r="Z17" s="86"/>
      <c r="AA17" s="269"/>
      <c r="AB17" s="84"/>
      <c r="AC17" s="84">
        <f>Q17*X17</f>
        <v>0</v>
      </c>
      <c r="AD17" s="64" t="s">
        <v>205</v>
      </c>
      <c r="AE17" s="18"/>
    </row>
    <row r="18" spans="1:31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9"/>
      <c r="N18" s="153"/>
      <c r="O18" s="153"/>
      <c r="P18" s="153"/>
      <c r="Q18" s="153"/>
      <c r="R18" s="279"/>
      <c r="S18" s="152"/>
      <c r="T18" s="152"/>
      <c r="U18" s="152"/>
      <c r="V18" s="152"/>
      <c r="W18" s="152"/>
      <c r="X18" s="152"/>
      <c r="Y18" s="152"/>
      <c r="Z18" s="152"/>
      <c r="AA18" s="152"/>
      <c r="AB18" s="84"/>
      <c r="AC18" s="84"/>
      <c r="AD18" s="64"/>
      <c r="AE18" s="18"/>
    </row>
    <row r="19" spans="1:31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4" t="s">
        <v>236</v>
      </c>
      <c r="N19" s="153"/>
      <c r="O19" s="153"/>
      <c r="P19" s="153"/>
      <c r="Q19" s="153"/>
      <c r="R19" s="279"/>
      <c r="S19" s="152"/>
      <c r="T19" s="152"/>
      <c r="U19" s="152"/>
      <c r="V19" s="162" t="s">
        <v>72</v>
      </c>
      <c r="W19" s="162"/>
      <c r="X19" s="162"/>
      <c r="Y19" s="162"/>
      <c r="Z19" s="162"/>
      <c r="AA19" s="162"/>
      <c r="AB19" s="89" t="s">
        <v>90</v>
      </c>
      <c r="AC19" s="89">
        <f>SUM(AC20:AC22)</f>
        <v>4198250</v>
      </c>
      <c r="AD19" s="90" t="s">
        <v>57</v>
      </c>
      <c r="AE19" s="18"/>
    </row>
    <row r="20" spans="1:31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9"/>
      <c r="N20" s="274" t="str">
        <f>N8</f>
        <v>5호</v>
      </c>
      <c r="O20" s="236"/>
      <c r="P20" s="236"/>
      <c r="Q20" s="85">
        <f>Q8</f>
        <v>1998000</v>
      </c>
      <c r="R20" s="86" t="s">
        <v>57</v>
      </c>
      <c r="S20" s="86" t="s">
        <v>58</v>
      </c>
      <c r="T20" s="248">
        <v>25</v>
      </c>
      <c r="U20" s="91" t="s">
        <v>58</v>
      </c>
      <c r="V20" s="249">
        <f>X8</f>
        <v>5</v>
      </c>
      <c r="W20" s="250">
        <v>1.5</v>
      </c>
      <c r="X20" s="234" t="s">
        <v>73</v>
      </c>
      <c r="Y20" s="234">
        <v>209</v>
      </c>
      <c r="Z20" s="234" t="s">
        <v>53</v>
      </c>
      <c r="AA20" s="340" t="s">
        <v>265</v>
      </c>
      <c r="AB20" s="84"/>
      <c r="AC20" s="84">
        <f>ROUNDDOWN((Q20*W20/Y20),-1)*25*V20</f>
        <v>1791250</v>
      </c>
      <c r="AD20" s="64" t="s">
        <v>57</v>
      </c>
      <c r="AE20" s="18"/>
    </row>
    <row r="21" spans="1:31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 t="s">
        <v>294</v>
      </c>
      <c r="O21" s="220"/>
      <c r="P21" s="220"/>
      <c r="Q21" s="85">
        <f>Q9</f>
        <v>1907000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v>5</v>
      </c>
      <c r="W21" s="250">
        <v>1.5</v>
      </c>
      <c r="X21" s="234" t="s">
        <v>73</v>
      </c>
      <c r="Y21" s="234">
        <v>209</v>
      </c>
      <c r="Z21" s="234" t="s">
        <v>53</v>
      </c>
      <c r="AA21" s="340" t="s">
        <v>265</v>
      </c>
      <c r="AB21" s="84"/>
      <c r="AC21" s="84">
        <f>ROUNDDOWN((Q21*W21/Y21),-1)*25*V21</f>
        <v>1710000</v>
      </c>
      <c r="AD21" s="64" t="s">
        <v>57</v>
      </c>
      <c r="AE21" s="18"/>
    </row>
    <row r="22" spans="1:31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9"/>
      <c r="N22" s="56" t="s">
        <v>295</v>
      </c>
      <c r="O22" s="56"/>
      <c r="P22" s="56"/>
      <c r="Q22" s="85">
        <f>Q10</f>
        <v>1943000</v>
      </c>
      <c r="R22" s="279" t="s">
        <v>25</v>
      </c>
      <c r="S22" s="57" t="s">
        <v>26</v>
      </c>
      <c r="T22" s="248">
        <v>25</v>
      </c>
      <c r="U22" s="91" t="s">
        <v>58</v>
      </c>
      <c r="V22" s="249">
        <v>2</v>
      </c>
      <c r="W22" s="250">
        <v>1.5</v>
      </c>
      <c r="X22" s="234" t="s">
        <v>73</v>
      </c>
      <c r="Y22" s="57">
        <v>209</v>
      </c>
      <c r="Z22" s="57" t="s">
        <v>27</v>
      </c>
      <c r="AA22" s="57" t="s">
        <v>292</v>
      </c>
      <c r="AB22" s="84"/>
      <c r="AC22" s="84">
        <f>ROUNDDOWN((Q22*W22/Y22),-1)*25*V22</f>
        <v>697000</v>
      </c>
      <c r="AD22" s="64" t="s">
        <v>25</v>
      </c>
      <c r="AE22" s="18"/>
    </row>
    <row r="23" spans="1:31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6" t="s">
        <v>201</v>
      </c>
      <c r="N23" s="56"/>
      <c r="O23" s="56"/>
      <c r="P23" s="56"/>
      <c r="Q23" s="56"/>
      <c r="R23" s="279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1" s="12" customFormat="1" ht="21" customHeight="1">
      <c r="A24" s="51"/>
      <c r="B24" s="323"/>
      <c r="C24" s="323"/>
      <c r="D24" s="133"/>
      <c r="E24" s="133"/>
      <c r="F24" s="133"/>
      <c r="G24" s="133"/>
      <c r="H24" s="133"/>
      <c r="I24" s="133"/>
      <c r="J24" s="133"/>
      <c r="K24" s="133"/>
      <c r="L24" s="87"/>
      <c r="M24" s="326"/>
      <c r="N24" s="326"/>
      <c r="O24" s="326"/>
      <c r="P24" s="326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6">
        <v>12</v>
      </c>
      <c r="Y24" s="86" t="s">
        <v>29</v>
      </c>
      <c r="Z24" s="86" t="s">
        <v>53</v>
      </c>
      <c r="AA24" s="340" t="s">
        <v>265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1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7"/>
      <c r="N25" s="237"/>
      <c r="O25" s="237"/>
      <c r="P25" s="237"/>
      <c r="Q25" s="85"/>
      <c r="R25" s="85"/>
      <c r="S25" s="86"/>
      <c r="T25" s="86"/>
      <c r="U25" s="86"/>
      <c r="V25" s="86"/>
      <c r="W25" s="86"/>
      <c r="X25" s="256"/>
      <c r="Y25" s="86"/>
      <c r="Z25" s="86"/>
      <c r="AA25" s="340"/>
      <c r="AB25" s="84"/>
      <c r="AC25" s="84"/>
      <c r="AD25" s="64"/>
      <c r="AE25" s="18"/>
    </row>
    <row r="26" spans="1:31" s="12" customFormat="1" ht="21" customHeight="1">
      <c r="A26" s="51"/>
      <c r="B26" s="52"/>
      <c r="C26" s="52"/>
      <c r="D26" s="133"/>
      <c r="E26" s="133"/>
      <c r="F26" s="133"/>
      <c r="G26" s="133"/>
      <c r="H26" s="133"/>
      <c r="I26" s="133"/>
      <c r="J26" s="133"/>
      <c r="K26" s="133"/>
      <c r="L26" s="87"/>
      <c r="M26" s="189"/>
      <c r="N26" s="56"/>
      <c r="O26" s="56"/>
      <c r="P26" s="56"/>
      <c r="Q26" s="57"/>
      <c r="R26" s="278"/>
      <c r="S26" s="61"/>
      <c r="T26" s="148"/>
      <c r="U26" s="61"/>
      <c r="V26" s="146"/>
      <c r="W26" s="146"/>
      <c r="X26" s="57"/>
      <c r="Y26" s="57"/>
      <c r="Z26" s="57"/>
      <c r="AA26" s="57"/>
      <c r="AB26" s="57"/>
      <c r="AC26" s="57"/>
      <c r="AD26" s="64"/>
      <c r="AE26" s="18"/>
    </row>
    <row r="27" spans="1:31" s="12" customFormat="1" ht="21" customHeight="1">
      <c r="A27" s="51"/>
      <c r="B27" s="52"/>
      <c r="C27" s="42" t="s">
        <v>9</v>
      </c>
      <c r="D27" s="138">
        <v>2650.8</v>
      </c>
      <c r="E27" s="138">
        <f>F27+G27+H27+J27</f>
        <v>2596.02</v>
      </c>
      <c r="F27" s="138">
        <f>AC28/1000</f>
        <v>2596.02</v>
      </c>
      <c r="G27" s="138">
        <v>0</v>
      </c>
      <c r="H27" s="138">
        <v>0</v>
      </c>
      <c r="I27" s="138">
        <v>0</v>
      </c>
      <c r="J27" s="138">
        <f>AC29/1000</f>
        <v>0</v>
      </c>
      <c r="K27" s="137">
        <f>E27-D27</f>
        <v>-54.7800000000002</v>
      </c>
      <c r="L27" s="145">
        <f>IF(D27=0,0,K27/D27)</f>
        <v>-2.0665459483929453E-2</v>
      </c>
      <c r="M27" s="121" t="s">
        <v>36</v>
      </c>
      <c r="N27" s="202"/>
      <c r="O27" s="188"/>
      <c r="P27" s="117"/>
      <c r="Q27" s="117"/>
      <c r="R27" s="225"/>
      <c r="S27" s="110"/>
      <c r="T27" s="110"/>
      <c r="U27" s="110"/>
      <c r="V27" s="267" t="s">
        <v>194</v>
      </c>
      <c r="W27" s="267"/>
      <c r="X27" s="267"/>
      <c r="Y27" s="267"/>
      <c r="Z27" s="267"/>
      <c r="AA27" s="267"/>
      <c r="AB27" s="205" t="s">
        <v>195</v>
      </c>
      <c r="AC27" s="205">
        <f>AC28+AC29</f>
        <v>2596020</v>
      </c>
      <c r="AD27" s="204" t="s">
        <v>196</v>
      </c>
      <c r="AE27" s="2"/>
    </row>
    <row r="28" spans="1:31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9"/>
      <c r="L28" s="87"/>
      <c r="M28" s="270" t="s">
        <v>206</v>
      </c>
      <c r="N28" s="56"/>
      <c r="O28" s="56"/>
      <c r="P28" s="56"/>
      <c r="Q28" s="176">
        <f>AC7+명절휴가비+AC16+AC23+AC19</f>
        <v>31152250</v>
      </c>
      <c r="R28" s="278"/>
      <c r="S28" s="111" t="s">
        <v>57</v>
      </c>
      <c r="T28" s="111" t="s">
        <v>73</v>
      </c>
      <c r="U28" s="94">
        <v>12</v>
      </c>
      <c r="V28" s="91" t="s">
        <v>0</v>
      </c>
      <c r="W28" s="152"/>
      <c r="X28" s="152"/>
      <c r="Y28" s="152"/>
      <c r="Z28" s="152" t="s">
        <v>74</v>
      </c>
      <c r="AA28" s="340" t="s">
        <v>265</v>
      </c>
      <c r="AB28" s="84"/>
      <c r="AC28" s="84">
        <v>2596020</v>
      </c>
      <c r="AD28" s="64" t="s">
        <v>67</v>
      </c>
      <c r="AE28" s="2"/>
    </row>
    <row r="29" spans="1:31" s="12" customFormat="1" ht="21" customHeight="1">
      <c r="A29" s="51"/>
      <c r="B29" s="52"/>
      <c r="C29" s="52"/>
      <c r="D29" s="133"/>
      <c r="E29" s="133"/>
      <c r="F29" s="133"/>
      <c r="G29" s="133"/>
      <c r="H29" s="133"/>
      <c r="I29" s="133"/>
      <c r="J29" s="133"/>
      <c r="K29" s="139"/>
      <c r="L29" s="87"/>
      <c r="M29" s="270"/>
      <c r="N29" s="270"/>
      <c r="O29" s="270"/>
      <c r="P29" s="270"/>
      <c r="Q29" s="269"/>
      <c r="R29" s="278"/>
      <c r="S29" s="234"/>
      <c r="T29" s="234"/>
      <c r="U29" s="94"/>
      <c r="V29" s="91"/>
      <c r="W29" s="269"/>
      <c r="X29" s="269"/>
      <c r="Y29" s="269"/>
      <c r="Z29" s="269"/>
      <c r="AA29" s="269"/>
      <c r="AB29" s="84"/>
      <c r="AC29" s="84"/>
      <c r="AD29" s="64"/>
      <c r="AE29" s="2"/>
    </row>
    <row r="30" spans="1:31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38"/>
      <c r="N30" s="38"/>
      <c r="O30" s="38"/>
      <c r="P30" s="38"/>
      <c r="Q30" s="38"/>
      <c r="R30" s="221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1" s="12" customFormat="1" ht="21" customHeight="1">
      <c r="A31" s="51"/>
      <c r="B31" s="52"/>
      <c r="C31" s="149" t="s">
        <v>94</v>
      </c>
      <c r="D31" s="138">
        <v>2980.73</v>
      </c>
      <c r="E31" s="138">
        <f>F31</f>
        <v>2932.54</v>
      </c>
      <c r="F31" s="138">
        <f>AC31/1000</f>
        <v>2932.54</v>
      </c>
      <c r="G31" s="138">
        <v>0</v>
      </c>
      <c r="H31" s="138">
        <v>0</v>
      </c>
      <c r="I31" s="138">
        <v>0</v>
      </c>
      <c r="J31" s="138">
        <v>0</v>
      </c>
      <c r="K31" s="150">
        <f>E31-D31</f>
        <v>-48.190000000000055</v>
      </c>
      <c r="L31" s="145">
        <f>IF(D31=0,0,K31/D31)</f>
        <v>-1.6167180522892063E-2</v>
      </c>
      <c r="M31" s="121" t="s">
        <v>37</v>
      </c>
      <c r="N31" s="202"/>
      <c r="O31" s="117"/>
      <c r="P31" s="117"/>
      <c r="Q31" s="117"/>
      <c r="R31" s="225"/>
      <c r="S31" s="110"/>
      <c r="T31" s="110"/>
      <c r="U31" s="110"/>
      <c r="V31" s="203" t="s">
        <v>126</v>
      </c>
      <c r="W31" s="203"/>
      <c r="X31" s="203"/>
      <c r="Y31" s="292" t="s">
        <v>216</v>
      </c>
      <c r="Z31" s="203"/>
      <c r="AA31" s="203"/>
      <c r="AB31" s="205"/>
      <c r="AC31" s="205">
        <f>SUM(AC32:AC36)</f>
        <v>2932540</v>
      </c>
      <c r="AD31" s="204" t="s">
        <v>25</v>
      </c>
    </row>
    <row r="32" spans="1:31" s="12" customFormat="1" ht="21" customHeight="1">
      <c r="A32" s="51"/>
      <c r="B32" s="52"/>
      <c r="C32" s="297"/>
      <c r="D32" s="254"/>
      <c r="E32" s="254"/>
      <c r="F32" s="254"/>
      <c r="G32" s="254"/>
      <c r="H32" s="254"/>
      <c r="I32" s="254"/>
      <c r="J32" s="254"/>
      <c r="K32" s="298"/>
      <c r="L32" s="87"/>
      <c r="M32" s="294" t="s">
        <v>168</v>
      </c>
      <c r="N32" s="221"/>
      <c r="O32" s="221"/>
      <c r="P32" s="221"/>
      <c r="Q32" s="293">
        <f>AC7+AC11</f>
        <v>31152250</v>
      </c>
      <c r="R32" s="293"/>
      <c r="S32" s="234" t="s">
        <v>57</v>
      </c>
      <c r="T32" s="234" t="s">
        <v>26</v>
      </c>
      <c r="U32" s="381">
        <v>0.09</v>
      </c>
      <c r="V32" s="234" t="s">
        <v>73</v>
      </c>
      <c r="W32" s="291">
        <v>2</v>
      </c>
      <c r="X32" s="299"/>
      <c r="Y32" s="93"/>
      <c r="Z32" s="234" t="s">
        <v>53</v>
      </c>
      <c r="AA32" s="340" t="s">
        <v>265</v>
      </c>
      <c r="AB32" s="84"/>
      <c r="AC32" s="84">
        <v>1401850</v>
      </c>
      <c r="AD32" s="64" t="s">
        <v>57</v>
      </c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3"/>
      <c r="L33" s="87"/>
      <c r="M33" s="304" t="s">
        <v>166</v>
      </c>
      <c r="N33" s="153"/>
      <c r="O33" s="153"/>
      <c r="P33" s="153"/>
      <c r="Q33" s="303">
        <f>AC7+AC11</f>
        <v>31152250</v>
      </c>
      <c r="R33" s="293"/>
      <c r="S33" s="234" t="s">
        <v>57</v>
      </c>
      <c r="T33" s="234" t="s">
        <v>26</v>
      </c>
      <c r="U33" s="381">
        <v>6.0699999999999997E-2</v>
      </c>
      <c r="V33" s="234" t="s">
        <v>73</v>
      </c>
      <c r="W33" s="291">
        <v>2</v>
      </c>
      <c r="X33" s="299"/>
      <c r="Y33" s="93"/>
      <c r="Z33" s="219" t="s">
        <v>53</v>
      </c>
      <c r="AA33" s="340" t="s">
        <v>265</v>
      </c>
      <c r="AB33" s="84"/>
      <c r="AC33" s="84">
        <v>945420</v>
      </c>
      <c r="AD33" s="64" t="s">
        <v>67</v>
      </c>
      <c r="AE33" s="2"/>
    </row>
    <row r="34" spans="1:31" s="12" customFormat="1" ht="21" customHeight="1">
      <c r="A34" s="51"/>
      <c r="B34" s="52"/>
      <c r="C34" s="52"/>
      <c r="D34" s="133"/>
      <c r="E34" s="133"/>
      <c r="F34" s="133"/>
      <c r="G34" s="133"/>
      <c r="H34" s="133"/>
      <c r="I34" s="133"/>
      <c r="J34" s="133"/>
      <c r="K34" s="133"/>
      <c r="L34" s="87"/>
      <c r="M34" s="304" t="s">
        <v>225</v>
      </c>
      <c r="N34" s="294"/>
      <c r="O34" s="294"/>
      <c r="P34" s="294"/>
      <c r="Q34" s="303">
        <f>AC33</f>
        <v>945420</v>
      </c>
      <c r="R34" s="293"/>
      <c r="S34" s="234" t="s">
        <v>57</v>
      </c>
      <c r="T34" s="234" t="s">
        <v>26</v>
      </c>
      <c r="U34" s="381">
        <v>6.5500000000000003E-2</v>
      </c>
      <c r="V34" s="234"/>
      <c r="W34" s="291"/>
      <c r="X34" s="299"/>
      <c r="Y34" s="93"/>
      <c r="Z34" s="234" t="s">
        <v>53</v>
      </c>
      <c r="AA34" s="340" t="s">
        <v>265</v>
      </c>
      <c r="AB34" s="84"/>
      <c r="AC34" s="84">
        <v>61920</v>
      </c>
      <c r="AD34" s="64" t="s">
        <v>57</v>
      </c>
      <c r="AE34" s="2"/>
    </row>
    <row r="35" spans="1:31" s="12" customFormat="1" ht="21" customHeight="1">
      <c r="A35" s="51"/>
      <c r="B35" s="52"/>
      <c r="C35" s="52"/>
      <c r="D35" s="133"/>
      <c r="E35" s="133"/>
      <c r="F35" s="133"/>
      <c r="G35" s="133"/>
      <c r="H35" s="133"/>
      <c r="I35" s="133"/>
      <c r="J35" s="133"/>
      <c r="K35" s="133"/>
      <c r="L35" s="87"/>
      <c r="M35" s="304" t="s">
        <v>167</v>
      </c>
      <c r="N35" s="153"/>
      <c r="O35" s="153"/>
      <c r="P35" s="153"/>
      <c r="Q35" s="303">
        <f>AC7+AC11</f>
        <v>31152250</v>
      </c>
      <c r="R35" s="293"/>
      <c r="S35" s="234" t="s">
        <v>57</v>
      </c>
      <c r="T35" s="234" t="s">
        <v>26</v>
      </c>
      <c r="U35" s="381">
        <v>8.9999999999999993E-3</v>
      </c>
      <c r="V35" s="234"/>
      <c r="W35" s="291"/>
      <c r="X35" s="299"/>
      <c r="Y35" s="93"/>
      <c r="Z35" s="234" t="s">
        <v>53</v>
      </c>
      <c r="AA35" s="340" t="s">
        <v>265</v>
      </c>
      <c r="AB35" s="84"/>
      <c r="AC35" s="84">
        <v>280370</v>
      </c>
      <c r="AD35" s="64" t="s">
        <v>67</v>
      </c>
      <c r="AE35" s="2"/>
    </row>
    <row r="36" spans="1:31" s="12" customFormat="1" ht="21" customHeight="1">
      <c r="A36" s="51"/>
      <c r="B36" s="52"/>
      <c r="C36" s="52"/>
      <c r="D36" s="133"/>
      <c r="E36" s="133"/>
      <c r="F36" s="133"/>
      <c r="G36" s="133"/>
      <c r="H36" s="133"/>
      <c r="I36" s="133"/>
      <c r="J36" s="133"/>
      <c r="K36" s="133"/>
      <c r="L36" s="87"/>
      <c r="M36" s="304" t="s">
        <v>226</v>
      </c>
      <c r="N36" s="304"/>
      <c r="O36" s="304"/>
      <c r="P36" s="304"/>
      <c r="Q36" s="303">
        <f>AC11+AC7</f>
        <v>31152250</v>
      </c>
      <c r="R36" s="303"/>
      <c r="S36" s="234" t="s">
        <v>57</v>
      </c>
      <c r="T36" s="234" t="s">
        <v>26</v>
      </c>
      <c r="U36" s="381">
        <v>7.7999999999999996E-3</v>
      </c>
      <c r="V36" s="234"/>
      <c r="W36" s="291"/>
      <c r="X36" s="299"/>
      <c r="Y36" s="93"/>
      <c r="Z36" s="234" t="s">
        <v>227</v>
      </c>
      <c r="AA36" s="340" t="s">
        <v>265</v>
      </c>
      <c r="AB36" s="84"/>
      <c r="AC36" s="84">
        <v>242980</v>
      </c>
      <c r="AD36" s="64" t="s">
        <v>57</v>
      </c>
      <c r="AE36" s="2"/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270"/>
      <c r="N37" s="270"/>
      <c r="O37" s="270"/>
      <c r="P37" s="270"/>
      <c r="Q37" s="269"/>
      <c r="R37" s="278"/>
      <c r="S37" s="234"/>
      <c r="T37" s="91"/>
      <c r="U37" s="95"/>
      <c r="V37" s="91"/>
      <c r="W37" s="96"/>
      <c r="X37" s="93"/>
      <c r="Y37" s="93"/>
      <c r="Z37" s="234"/>
      <c r="AA37" s="269"/>
      <c r="AB37" s="84"/>
      <c r="AC37" s="84"/>
      <c r="AD37" s="64"/>
      <c r="AE37" s="2"/>
    </row>
    <row r="38" spans="1:31" s="12" customFormat="1" ht="33" customHeight="1">
      <c r="A38" s="51"/>
      <c r="B38" s="52"/>
      <c r="C38" s="42" t="s">
        <v>199</v>
      </c>
      <c r="D38" s="137">
        <v>200</v>
      </c>
      <c r="E38" s="137">
        <f>SUM(F38:J38)</f>
        <v>200</v>
      </c>
      <c r="F38" s="137">
        <f>AC40</f>
        <v>0</v>
      </c>
      <c r="G38" s="137">
        <f>AC39/1000</f>
        <v>200</v>
      </c>
      <c r="H38" s="137">
        <f>AE40</f>
        <v>0</v>
      </c>
      <c r="I38" s="137">
        <f>AF40</f>
        <v>0</v>
      </c>
      <c r="J38" s="137">
        <f>AG40</f>
        <v>0</v>
      </c>
      <c r="K38" s="150">
        <f>E38-D38</f>
        <v>0</v>
      </c>
      <c r="L38" s="145">
        <f>IF(D38=0,0,K38/D38)</f>
        <v>0</v>
      </c>
      <c r="M38" s="121" t="s">
        <v>197</v>
      </c>
      <c r="N38" s="268"/>
      <c r="O38" s="190"/>
      <c r="P38" s="190"/>
      <c r="Q38" s="109"/>
      <c r="R38" s="109"/>
      <c r="S38" s="271"/>
      <c r="T38" s="272"/>
      <c r="U38" s="273"/>
      <c r="V38" s="267" t="s">
        <v>63</v>
      </c>
      <c r="W38" s="267"/>
      <c r="X38" s="267"/>
      <c r="Y38" s="267"/>
      <c r="Z38" s="267"/>
      <c r="AA38" s="267"/>
      <c r="AB38" s="205"/>
      <c r="AC38" s="205">
        <f>AC39</f>
        <v>200000</v>
      </c>
      <c r="AD38" s="204" t="s">
        <v>25</v>
      </c>
      <c r="AE38" s="2"/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270" t="s">
        <v>198</v>
      </c>
      <c r="N39" s="270"/>
      <c r="O39" s="270"/>
      <c r="P39" s="270"/>
      <c r="Q39" s="269"/>
      <c r="R39" s="278"/>
      <c r="S39" s="234"/>
      <c r="T39" s="91"/>
      <c r="U39" s="95"/>
      <c r="V39" s="91"/>
      <c r="W39" s="96"/>
      <c r="X39" s="93"/>
      <c r="Y39" s="93"/>
      <c r="Z39" s="234"/>
      <c r="AA39" s="340" t="s">
        <v>265</v>
      </c>
      <c r="AB39" s="84"/>
      <c r="AC39" s="84">
        <v>200000</v>
      </c>
      <c r="AD39" s="147" t="s">
        <v>25</v>
      </c>
      <c r="AE39" s="2"/>
    </row>
    <row r="40" spans="1:31" s="12" customFormat="1" ht="21" customHeight="1">
      <c r="A40" s="51"/>
      <c r="B40" s="66"/>
      <c r="C40" s="66"/>
      <c r="D40" s="135"/>
      <c r="E40" s="135"/>
      <c r="F40" s="135"/>
      <c r="G40" s="135"/>
      <c r="H40" s="135"/>
      <c r="I40" s="135"/>
      <c r="J40" s="135"/>
      <c r="K40" s="135"/>
      <c r="L40" s="105"/>
      <c r="M40" s="187"/>
      <c r="N40" s="98"/>
      <c r="O40" s="98"/>
      <c r="P40" s="98"/>
      <c r="Q40" s="97"/>
      <c r="R40" s="275"/>
      <c r="S40" s="107"/>
      <c r="T40" s="107"/>
      <c r="U40" s="107"/>
      <c r="V40" s="97"/>
      <c r="W40" s="107"/>
      <c r="X40" s="107"/>
      <c r="Y40" s="107"/>
      <c r="Z40" s="97"/>
      <c r="AA40" s="107"/>
      <c r="AB40" s="107"/>
      <c r="AC40" s="97"/>
      <c r="AD40" s="151"/>
      <c r="AE40" s="2"/>
    </row>
    <row r="41" spans="1:31" s="12" customFormat="1" ht="21" customHeight="1">
      <c r="A41" s="51"/>
      <c r="B41" s="52" t="s">
        <v>127</v>
      </c>
      <c r="C41" s="52" t="s">
        <v>5</v>
      </c>
      <c r="D41" s="133">
        <v>110</v>
      </c>
      <c r="E41" s="133">
        <f>SUM(E42,E45,E47)</f>
        <v>100</v>
      </c>
      <c r="F41" s="133">
        <f>F42+F45+F47</f>
        <v>0</v>
      </c>
      <c r="G41" s="133">
        <f t="shared" ref="G41" si="4">SUM(G42,G45,G47)</f>
        <v>0</v>
      </c>
      <c r="H41" s="133">
        <f>H42+H45+H47</f>
        <v>100</v>
      </c>
      <c r="I41" s="133">
        <v>0</v>
      </c>
      <c r="J41" s="133">
        <f t="shared" ref="J41" si="5">SUM(J42,J45,J47)</f>
        <v>0</v>
      </c>
      <c r="K41" s="133">
        <f>E41-D41</f>
        <v>-10</v>
      </c>
      <c r="L41" s="87">
        <f>IF(D41=0,0,K41/D41)</f>
        <v>-9.0909090909090912E-2</v>
      </c>
      <c r="M41" s="221" t="s">
        <v>135</v>
      </c>
      <c r="N41" s="38"/>
      <c r="O41" s="38"/>
      <c r="P41" s="38"/>
      <c r="Q41" s="39"/>
      <c r="R41" s="220"/>
      <c r="S41" s="39"/>
      <c r="T41" s="39"/>
      <c r="U41" s="39"/>
      <c r="V41" s="224"/>
      <c r="W41" s="224"/>
      <c r="X41" s="224"/>
      <c r="Y41" s="224"/>
      <c r="Z41" s="224"/>
      <c r="AA41" s="224"/>
      <c r="AB41" s="118"/>
      <c r="AC41" s="118">
        <f>SUM(AC42,AC45,AC47)</f>
        <v>100000</v>
      </c>
      <c r="AD41" s="119" t="s">
        <v>25</v>
      </c>
      <c r="AE41" s="5"/>
    </row>
    <row r="42" spans="1:31" s="12" customFormat="1" ht="21" customHeight="1">
      <c r="A42" s="51"/>
      <c r="B42" s="52" t="s">
        <v>134</v>
      </c>
      <c r="C42" s="42" t="s">
        <v>10</v>
      </c>
      <c r="D42" s="137">
        <v>100</v>
      </c>
      <c r="E42" s="137">
        <f>AC42/1000</f>
        <v>50</v>
      </c>
      <c r="F42" s="137"/>
      <c r="G42" s="137">
        <v>0</v>
      </c>
      <c r="H42" s="137">
        <f>AC42/1000</f>
        <v>50</v>
      </c>
      <c r="I42" s="137">
        <v>0</v>
      </c>
      <c r="J42" s="137">
        <v>0</v>
      </c>
      <c r="K42" s="137">
        <f>E42-D42</f>
        <v>-50</v>
      </c>
      <c r="L42" s="145">
        <f>IF(D42=0,0,K42/D42)</f>
        <v>-0.5</v>
      </c>
      <c r="M42" s="121" t="s">
        <v>38</v>
      </c>
      <c r="N42" s="184"/>
      <c r="O42" s="190"/>
      <c r="P42" s="190"/>
      <c r="Q42" s="190"/>
      <c r="R42" s="190"/>
      <c r="S42" s="109"/>
      <c r="T42" s="109"/>
      <c r="U42" s="109"/>
      <c r="V42" s="109"/>
      <c r="W42" s="109"/>
      <c r="X42" s="203" t="s">
        <v>137</v>
      </c>
      <c r="Y42" s="203"/>
      <c r="Z42" s="203"/>
      <c r="AA42" s="203"/>
      <c r="AB42" s="205"/>
      <c r="AC42" s="205">
        <f>AC43+AC44</f>
        <v>50000</v>
      </c>
      <c r="AD42" s="204" t="s">
        <v>25</v>
      </c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88" t="s">
        <v>314</v>
      </c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 t="s">
        <v>298</v>
      </c>
      <c r="AB43" s="107"/>
      <c r="AC43" s="368">
        <v>50000</v>
      </c>
      <c r="AD43" s="151" t="s">
        <v>296</v>
      </c>
    </row>
    <row r="44" spans="1:31" s="12" customFormat="1" ht="21" customHeight="1">
      <c r="A44" s="51"/>
      <c r="B44" s="52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88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368"/>
      <c r="AD44" s="151"/>
      <c r="AE44" s="1"/>
    </row>
    <row r="45" spans="1:31" s="12" customFormat="1" ht="21" customHeight="1">
      <c r="A45" s="51"/>
      <c r="B45" s="52"/>
      <c r="C45" s="52" t="s">
        <v>11</v>
      </c>
      <c r="D45" s="133">
        <v>0</v>
      </c>
      <c r="E45" s="133">
        <f>AC45/1000</f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f>E45-D45</f>
        <v>0</v>
      </c>
      <c r="L45" s="87">
        <f>IF(D45=0,0,K45/D45)</f>
        <v>0</v>
      </c>
      <c r="M45" s="121" t="s">
        <v>136</v>
      </c>
      <c r="N45" s="202"/>
      <c r="O45" s="38"/>
      <c r="P45" s="38"/>
      <c r="Q45" s="38"/>
      <c r="R45" s="221"/>
      <c r="S45" s="39"/>
      <c r="T45" s="39"/>
      <c r="U45" s="39"/>
      <c r="V45" s="39"/>
      <c r="W45" s="39"/>
      <c r="X45" s="203" t="s">
        <v>137</v>
      </c>
      <c r="Y45" s="203"/>
      <c r="Z45" s="203"/>
      <c r="AA45" s="203"/>
      <c r="AB45" s="205"/>
      <c r="AC45" s="205">
        <v>0</v>
      </c>
      <c r="AD45" s="204" t="s">
        <v>25</v>
      </c>
      <c r="AE45" s="1"/>
    </row>
    <row r="46" spans="1:31" s="12" customFormat="1" ht="21" customHeight="1">
      <c r="A46" s="51"/>
      <c r="B46" s="52"/>
      <c r="C46" s="66"/>
      <c r="D46" s="135"/>
      <c r="E46" s="135"/>
      <c r="F46" s="135"/>
      <c r="G46" s="135"/>
      <c r="H46" s="135"/>
      <c r="I46" s="135"/>
      <c r="J46" s="135"/>
      <c r="K46" s="135"/>
      <c r="L46" s="105"/>
      <c r="M46" s="187"/>
      <c r="N46" s="98"/>
      <c r="O46" s="98"/>
      <c r="P46" s="98"/>
      <c r="Q46" s="97"/>
      <c r="R46" s="275"/>
      <c r="S46" s="106"/>
      <c r="T46" s="106"/>
      <c r="U46" s="97"/>
      <c r="V46" s="98"/>
      <c r="W46" s="97"/>
      <c r="X46" s="97"/>
      <c r="Y46" s="97"/>
      <c r="Z46" s="97"/>
      <c r="AA46" s="97"/>
      <c r="AB46" s="97"/>
      <c r="AC46" s="97"/>
      <c r="AD46" s="90"/>
      <c r="AE46" s="1"/>
    </row>
    <row r="47" spans="1:31" s="12" customFormat="1" ht="21" customHeight="1">
      <c r="A47" s="51"/>
      <c r="B47" s="52"/>
      <c r="C47" s="52" t="s">
        <v>95</v>
      </c>
      <c r="D47" s="133">
        <v>10</v>
      </c>
      <c r="E47" s="133">
        <f>F47+G47+H47+J47</f>
        <v>50</v>
      </c>
      <c r="F47" s="133">
        <v>0</v>
      </c>
      <c r="G47" s="133">
        <v>0</v>
      </c>
      <c r="H47" s="133">
        <f>AC48/1000</f>
        <v>50</v>
      </c>
      <c r="I47" s="133">
        <v>0</v>
      </c>
      <c r="J47" s="137">
        <v>0</v>
      </c>
      <c r="K47" s="302">
        <f>E47-D47</f>
        <v>40</v>
      </c>
      <c r="L47" s="87">
        <f>IF(D47=0,0,K47/D47)</f>
        <v>4</v>
      </c>
      <c r="M47" s="140" t="s">
        <v>39</v>
      </c>
      <c r="N47" s="38"/>
      <c r="O47" s="38"/>
      <c r="P47" s="38"/>
      <c r="Q47" s="38"/>
      <c r="R47" s="221"/>
      <c r="S47" s="39"/>
      <c r="T47" s="39"/>
      <c r="U47" s="39"/>
      <c r="V47" s="39"/>
      <c r="W47" s="39"/>
      <c r="X47" s="203" t="s">
        <v>137</v>
      </c>
      <c r="Y47" s="203"/>
      <c r="Z47" s="203"/>
      <c r="AA47" s="203"/>
      <c r="AB47" s="205"/>
      <c r="AC47" s="205">
        <f>AC48</f>
        <v>50000</v>
      </c>
      <c r="AD47" s="204" t="s">
        <v>25</v>
      </c>
      <c r="AE47" s="1"/>
    </row>
    <row r="48" spans="1:31" s="15" customFormat="1" ht="21" customHeight="1">
      <c r="A48" s="51"/>
      <c r="B48" s="52"/>
      <c r="C48" s="52"/>
      <c r="D48" s="133"/>
      <c r="E48" s="133"/>
      <c r="F48" s="133"/>
      <c r="G48" s="133"/>
      <c r="H48" s="133"/>
      <c r="I48" s="133"/>
      <c r="J48" s="133"/>
      <c r="K48" s="133"/>
      <c r="L48" s="87"/>
      <c r="M48" s="237" t="s">
        <v>169</v>
      </c>
      <c r="N48" s="56"/>
      <c r="O48" s="56"/>
      <c r="P48" s="56"/>
      <c r="Q48" s="57">
        <v>50000</v>
      </c>
      <c r="R48" s="278"/>
      <c r="S48" s="61" t="s">
        <v>25</v>
      </c>
      <c r="T48" s="61" t="s">
        <v>26</v>
      </c>
      <c r="U48" s="57">
        <v>1</v>
      </c>
      <c r="V48" s="252" t="s">
        <v>170</v>
      </c>
      <c r="W48" s="234"/>
      <c r="X48" s="57"/>
      <c r="Y48" s="57"/>
      <c r="Z48" s="57" t="s">
        <v>27</v>
      </c>
      <c r="AA48" s="57" t="s">
        <v>318</v>
      </c>
      <c r="AB48" s="57"/>
      <c r="AC48" s="57">
        <f>Q48*U48</f>
        <v>50000</v>
      </c>
      <c r="AD48" s="64" t="s">
        <v>25</v>
      </c>
      <c r="AE48" s="4"/>
    </row>
    <row r="49" spans="1:33" s="15" customFormat="1" ht="21" customHeight="1">
      <c r="A49" s="51"/>
      <c r="B49" s="347"/>
      <c r="C49" s="347"/>
      <c r="D49" s="133"/>
      <c r="E49" s="133"/>
      <c r="F49" s="133"/>
      <c r="G49" s="133"/>
      <c r="H49" s="133"/>
      <c r="I49" s="133"/>
      <c r="J49" s="133"/>
      <c r="K49" s="133"/>
      <c r="L49" s="87"/>
      <c r="M49" s="380"/>
      <c r="N49" s="380"/>
      <c r="O49" s="380"/>
      <c r="P49" s="380"/>
      <c r="Q49" s="379"/>
      <c r="R49" s="379"/>
      <c r="S49" s="61"/>
      <c r="T49" s="61"/>
      <c r="U49" s="379"/>
      <c r="V49" s="380"/>
      <c r="W49" s="234"/>
      <c r="X49" s="379"/>
      <c r="Y49" s="379"/>
      <c r="Z49" s="379"/>
      <c r="AA49" s="379"/>
      <c r="AB49" s="379"/>
      <c r="AC49" s="379"/>
      <c r="AD49" s="64"/>
      <c r="AE49" s="4"/>
    </row>
    <row r="50" spans="1:33" s="15" customFormat="1" ht="21" customHeight="1">
      <c r="A50" s="51"/>
      <c r="B50" s="52"/>
      <c r="C50" s="52"/>
      <c r="D50" s="133"/>
      <c r="E50" s="133"/>
      <c r="F50" s="133"/>
      <c r="G50" s="133"/>
      <c r="H50" s="133"/>
      <c r="I50" s="133"/>
      <c r="J50" s="133"/>
      <c r="K50" s="133"/>
      <c r="L50" s="87"/>
      <c r="M50" s="56"/>
      <c r="N50" s="56"/>
      <c r="O50" s="56"/>
      <c r="P50" s="56"/>
      <c r="Q50" s="57"/>
      <c r="R50" s="278"/>
      <c r="S50" s="61"/>
      <c r="T50" s="61"/>
      <c r="U50" s="57"/>
      <c r="V50" s="56"/>
      <c r="W50" s="57"/>
      <c r="X50" s="57"/>
      <c r="Y50" s="57"/>
      <c r="Z50" s="57"/>
      <c r="AA50" s="57"/>
      <c r="AB50" s="57"/>
      <c r="AC50" s="57"/>
      <c r="AD50" s="64"/>
      <c r="AE50" s="4"/>
    </row>
    <row r="51" spans="1:33" s="12" customFormat="1" ht="21" customHeight="1">
      <c r="A51" s="51"/>
      <c r="B51" s="42" t="s">
        <v>12</v>
      </c>
      <c r="C51" s="199" t="s">
        <v>5</v>
      </c>
      <c r="D51" s="200">
        <v>5875</v>
      </c>
      <c r="E51" s="200">
        <f t="shared" ref="E51:J51" si="6">SUM(E52,E55,E60,E66,E76,E79)</f>
        <v>6803</v>
      </c>
      <c r="F51" s="200">
        <f>SUM(F52,F55,F60,F66,F76,F79)</f>
        <v>5060.2</v>
      </c>
      <c r="G51" s="200">
        <f t="shared" si="6"/>
        <v>0</v>
      </c>
      <c r="H51" s="200">
        <f>SUM(H52,H55,H60,H66,H76,H79)</f>
        <v>1682.76</v>
      </c>
      <c r="I51" s="200">
        <v>0</v>
      </c>
      <c r="J51" s="200">
        <f t="shared" si="6"/>
        <v>60</v>
      </c>
      <c r="K51" s="200">
        <f>E51-D51</f>
        <v>928</v>
      </c>
      <c r="L51" s="201">
        <f>IF(D51=0,0,K51/D51)</f>
        <v>0.15795744680851065</v>
      </c>
      <c r="M51" s="202" t="s">
        <v>141</v>
      </c>
      <c r="N51" s="202"/>
      <c r="O51" s="202"/>
      <c r="P51" s="202"/>
      <c r="Q51" s="203"/>
      <c r="R51" s="276"/>
      <c r="S51" s="226"/>
      <c r="T51" s="203"/>
      <c r="U51" s="554"/>
      <c r="V51" s="555"/>
      <c r="W51" s="203"/>
      <c r="X51" s="203"/>
      <c r="Y51" s="203"/>
      <c r="Z51" s="203"/>
      <c r="AA51" s="203"/>
      <c r="AB51" s="203"/>
      <c r="AC51" s="203">
        <f>SUM(AC52,AC55,AC60,AC66,AC76,AC79)</f>
        <v>6802960</v>
      </c>
      <c r="AD51" s="204" t="s">
        <v>25</v>
      </c>
      <c r="AE51" s="1"/>
    </row>
    <row r="52" spans="1:33" s="12" customFormat="1" ht="21" customHeight="1">
      <c r="A52" s="51"/>
      <c r="B52" s="52"/>
      <c r="C52" s="52" t="s">
        <v>96</v>
      </c>
      <c r="D52" s="133">
        <v>0</v>
      </c>
      <c r="E52" s="133">
        <f>F52+G52+H52+J52</f>
        <v>60</v>
      </c>
      <c r="F52" s="133">
        <v>0</v>
      </c>
      <c r="G52" s="133">
        <v>0</v>
      </c>
      <c r="H52" s="133">
        <v>0</v>
      </c>
      <c r="I52" s="133">
        <v>0</v>
      </c>
      <c r="J52" s="133">
        <f>AC53/1000</f>
        <v>60</v>
      </c>
      <c r="K52" s="133">
        <f>E52-D52</f>
        <v>60</v>
      </c>
      <c r="L52" s="87">
        <f>IF(D52=0,0,K52/D52)</f>
        <v>0</v>
      </c>
      <c r="M52" s="140" t="s">
        <v>41</v>
      </c>
      <c r="N52" s="38"/>
      <c r="O52" s="38"/>
      <c r="P52" s="38"/>
      <c r="Q52" s="38"/>
      <c r="R52" s="221"/>
      <c r="S52" s="39"/>
      <c r="T52" s="39"/>
      <c r="U52" s="39"/>
      <c r="V52" s="39"/>
      <c r="W52" s="39"/>
      <c r="X52" s="253" t="s">
        <v>137</v>
      </c>
      <c r="Y52" s="253"/>
      <c r="Z52" s="253"/>
      <c r="AA52" s="253"/>
      <c r="AB52" s="205"/>
      <c r="AC52" s="205">
        <f>AC53</f>
        <v>60000</v>
      </c>
      <c r="AD52" s="204" t="s">
        <v>25</v>
      </c>
      <c r="AE52" s="21"/>
      <c r="AF52" s="20"/>
      <c r="AG52" s="20"/>
    </row>
    <row r="53" spans="1:33" s="12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223" t="s">
        <v>142</v>
      </c>
      <c r="N53" s="56"/>
      <c r="O53" s="56"/>
      <c r="P53" s="56"/>
      <c r="Q53" s="376">
        <v>30000</v>
      </c>
      <c r="R53" s="376"/>
      <c r="S53" s="61" t="s">
        <v>25</v>
      </c>
      <c r="T53" s="61" t="s">
        <v>26</v>
      </c>
      <c r="U53" s="376">
        <v>1</v>
      </c>
      <c r="V53" s="61" t="s">
        <v>143</v>
      </c>
      <c r="W53" s="376" t="s">
        <v>26</v>
      </c>
      <c r="X53" s="376">
        <v>2</v>
      </c>
      <c r="Y53" s="376" t="s">
        <v>315</v>
      </c>
      <c r="Z53" s="376" t="s">
        <v>27</v>
      </c>
      <c r="AA53" s="382" t="s">
        <v>119</v>
      </c>
      <c r="AB53" s="376"/>
      <c r="AC53" s="376">
        <f>Q53*U53*X53</f>
        <v>60000</v>
      </c>
      <c r="AD53" s="64" t="s">
        <v>316</v>
      </c>
      <c r="AE53" s="21"/>
      <c r="AF53" s="20"/>
      <c r="AG53" s="20"/>
    </row>
    <row r="54" spans="1:33" s="12" customFormat="1" ht="21" customHeight="1">
      <c r="A54" s="51"/>
      <c r="B54" s="52"/>
      <c r="C54" s="52"/>
      <c r="D54" s="133"/>
      <c r="E54" s="133"/>
      <c r="F54" s="133"/>
      <c r="G54" s="133"/>
      <c r="H54" s="133"/>
      <c r="I54" s="133"/>
      <c r="J54" s="133"/>
      <c r="K54" s="133"/>
      <c r="L54" s="87"/>
      <c r="AD54" s="283"/>
      <c r="AE54" s="2"/>
    </row>
    <row r="55" spans="1:33" s="12" customFormat="1" ht="21" customHeight="1">
      <c r="A55" s="51"/>
      <c r="B55" s="52"/>
      <c r="C55" s="42" t="s">
        <v>42</v>
      </c>
      <c r="D55" s="137">
        <v>1859</v>
      </c>
      <c r="E55" s="137">
        <f>ROUND(AC55/1000,0)</f>
        <v>2000</v>
      </c>
      <c r="F55" s="137">
        <f>(AC56+AC57)/1000</f>
        <v>1500</v>
      </c>
      <c r="G55" s="137">
        <v>0</v>
      </c>
      <c r="H55" s="137">
        <f>SUM(AC58)/1000</f>
        <v>500</v>
      </c>
      <c r="I55" s="137">
        <v>0</v>
      </c>
      <c r="J55" s="137">
        <v>0</v>
      </c>
      <c r="K55" s="137">
        <f>E55-D55</f>
        <v>141</v>
      </c>
      <c r="L55" s="145">
        <f>IF(D55=0,0,K55/D55)</f>
        <v>7.5847229693383533E-2</v>
      </c>
      <c r="M55" s="121" t="s">
        <v>43</v>
      </c>
      <c r="N55" s="117"/>
      <c r="O55" s="117"/>
      <c r="P55" s="117"/>
      <c r="Q55" s="117"/>
      <c r="R55" s="225"/>
      <c r="S55" s="110"/>
      <c r="T55" s="110"/>
      <c r="U55" s="110"/>
      <c r="V55" s="110"/>
      <c r="W55" s="110"/>
      <c r="X55" s="253" t="s">
        <v>171</v>
      </c>
      <c r="Y55" s="203"/>
      <c r="Z55" s="203"/>
      <c r="AA55" s="203"/>
      <c r="AB55" s="205"/>
      <c r="AC55" s="205">
        <f>SUM(AC56:AC58)</f>
        <v>2000000</v>
      </c>
      <c r="AD55" s="204" t="s">
        <v>25</v>
      </c>
      <c r="AE55" s="1"/>
    </row>
    <row r="56" spans="1:33" s="12" customFormat="1" ht="21" customHeight="1">
      <c r="A56" s="51"/>
      <c r="B56" s="52"/>
      <c r="C56" s="52" t="s">
        <v>147</v>
      </c>
      <c r="D56" s="133"/>
      <c r="E56" s="133"/>
      <c r="F56" s="133"/>
      <c r="G56" s="133"/>
      <c r="H56" s="133"/>
      <c r="I56" s="133"/>
      <c r="J56" s="133"/>
      <c r="K56" s="133"/>
      <c r="L56" s="87"/>
      <c r="M56" s="190" t="s">
        <v>172</v>
      </c>
      <c r="N56" s="56"/>
      <c r="O56" s="56"/>
      <c r="P56" s="56"/>
      <c r="Q56" s="57"/>
      <c r="R56" s="278"/>
      <c r="S56" s="61"/>
      <c r="T56" s="57"/>
      <c r="U56" s="556"/>
      <c r="V56" s="557"/>
      <c r="W56" s="57"/>
      <c r="X56" s="109"/>
      <c r="Y56" s="109"/>
      <c r="Z56" s="109"/>
      <c r="AA56" s="109" t="s">
        <v>265</v>
      </c>
      <c r="AB56" s="109"/>
      <c r="AC56" s="109">
        <v>800000</v>
      </c>
      <c r="AD56" s="147" t="s">
        <v>25</v>
      </c>
      <c r="AE56" s="1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270" t="s">
        <v>208</v>
      </c>
      <c r="N57" s="252"/>
      <c r="O57" s="252"/>
      <c r="P57" s="252"/>
      <c r="Q57" s="251"/>
      <c r="R57" s="278"/>
      <c r="S57" s="61"/>
      <c r="T57" s="61"/>
      <c r="U57" s="251"/>
      <c r="V57" s="252"/>
      <c r="W57" s="251"/>
      <c r="X57" s="251"/>
      <c r="Y57" s="251"/>
      <c r="Z57" s="251"/>
      <c r="AA57" s="340" t="s">
        <v>265</v>
      </c>
      <c r="AB57" s="251"/>
      <c r="AC57" s="251">
        <v>700000</v>
      </c>
      <c r="AD57" s="64" t="s">
        <v>174</v>
      </c>
      <c r="AE57" s="21"/>
    </row>
    <row r="58" spans="1:33" s="12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M58" s="270" t="s">
        <v>209</v>
      </c>
      <c r="N58" s="270"/>
      <c r="O58" s="270"/>
      <c r="P58" s="270"/>
      <c r="Q58" s="269"/>
      <c r="R58" s="278"/>
      <c r="S58" s="61"/>
      <c r="T58" s="61"/>
      <c r="U58" s="269"/>
      <c r="V58" s="270"/>
      <c r="W58" s="269"/>
      <c r="X58" s="269"/>
      <c r="Y58" s="269"/>
      <c r="Z58" s="269"/>
      <c r="AA58" s="303" t="s">
        <v>228</v>
      </c>
      <c r="AB58" s="269"/>
      <c r="AC58" s="269">
        <v>500000</v>
      </c>
      <c r="AD58" s="64" t="s">
        <v>205</v>
      </c>
      <c r="AE58" s="21"/>
    </row>
    <row r="59" spans="1:33" s="12" customFormat="1" ht="21" customHeight="1">
      <c r="A59" s="51"/>
      <c r="B59" s="52"/>
      <c r="C59" s="66"/>
      <c r="D59" s="135"/>
      <c r="E59" s="135"/>
      <c r="F59" s="135"/>
      <c r="G59" s="135"/>
      <c r="H59" s="135"/>
      <c r="I59" s="135"/>
      <c r="J59" s="135"/>
      <c r="K59" s="135"/>
      <c r="L59" s="105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9"/>
      <c r="AD59" s="160"/>
      <c r="AE59" s="1"/>
    </row>
    <row r="60" spans="1:33" s="12" customFormat="1" ht="21" customHeight="1">
      <c r="A60" s="51"/>
      <c r="B60" s="52"/>
      <c r="C60" s="52" t="s">
        <v>40</v>
      </c>
      <c r="D60" s="133">
        <v>3680</v>
      </c>
      <c r="E60" s="133">
        <f>ROUND(AC60/1000,0)</f>
        <v>3680</v>
      </c>
      <c r="F60" s="133">
        <f>(AC62+AC61)/1000</f>
        <v>3200</v>
      </c>
      <c r="G60" s="133">
        <v>0</v>
      </c>
      <c r="H60" s="133">
        <f>(AC63+AC64)/1000</f>
        <v>480</v>
      </c>
      <c r="I60" s="133">
        <v>0</v>
      </c>
      <c r="J60" s="133">
        <v>0</v>
      </c>
      <c r="K60" s="133">
        <f>E60-D60</f>
        <v>0</v>
      </c>
      <c r="L60" s="87">
        <f>IF(D60=0,0,K60/D60)</f>
        <v>0</v>
      </c>
      <c r="M60" s="140" t="s">
        <v>44</v>
      </c>
      <c r="N60" s="38"/>
      <c r="O60" s="38"/>
      <c r="P60" s="38"/>
      <c r="Q60" s="38"/>
      <c r="R60" s="221"/>
      <c r="S60" s="39"/>
      <c r="T60" s="39"/>
      <c r="U60" s="39"/>
      <c r="V60" s="39"/>
      <c r="W60" s="39"/>
      <c r="X60" s="203" t="s">
        <v>137</v>
      </c>
      <c r="Y60" s="203"/>
      <c r="Z60" s="203"/>
      <c r="AA60" s="203"/>
      <c r="AB60" s="205"/>
      <c r="AC60" s="205">
        <f>SUM(AC61:AC64)</f>
        <v>3680000</v>
      </c>
      <c r="AD60" s="204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190" t="s">
        <v>221</v>
      </c>
      <c r="N61" s="56"/>
      <c r="O61" s="56"/>
      <c r="P61" s="56"/>
      <c r="Q61" s="155">
        <v>40000</v>
      </c>
      <c r="R61" s="155"/>
      <c r="S61" s="156" t="s">
        <v>25</v>
      </c>
      <c r="T61" s="156" t="s">
        <v>26</v>
      </c>
      <c r="U61" s="155">
        <v>10</v>
      </c>
      <c r="V61" s="154" t="s">
        <v>29</v>
      </c>
      <c r="W61" s="155" t="s">
        <v>27</v>
      </c>
      <c r="X61" s="57"/>
      <c r="Y61" s="57"/>
      <c r="Z61" s="152"/>
      <c r="AA61" s="303" t="s">
        <v>229</v>
      </c>
      <c r="AB61" s="57"/>
      <c r="AC61" s="57">
        <f>ROUNDUP(Q61*U61,1)</f>
        <v>400000</v>
      </c>
      <c r="AD61" s="64" t="s">
        <v>25</v>
      </c>
      <c r="AE61" s="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83" t="s">
        <v>222</v>
      </c>
      <c r="N62" s="181"/>
      <c r="O62" s="181"/>
      <c r="P62" s="181"/>
      <c r="Q62" s="222">
        <v>280000</v>
      </c>
      <c r="R62" s="278"/>
      <c r="S62" s="61" t="s">
        <v>57</v>
      </c>
      <c r="T62" s="61" t="s">
        <v>26</v>
      </c>
      <c r="U62" s="222">
        <v>10</v>
      </c>
      <c r="V62" s="223" t="s">
        <v>0</v>
      </c>
      <c r="W62" s="222" t="s">
        <v>27</v>
      </c>
      <c r="X62" s="222"/>
      <c r="Y62" s="222"/>
      <c r="Z62" s="222"/>
      <c r="AA62" s="303" t="s">
        <v>229</v>
      </c>
      <c r="AB62" s="222"/>
      <c r="AC62" s="222">
        <f>Q62*U62</f>
        <v>2800000</v>
      </c>
      <c r="AD62" s="64" t="s">
        <v>113</v>
      </c>
      <c r="AE62" s="1"/>
    </row>
    <row r="63" spans="1:33" s="12" customFormat="1" ht="21" customHeight="1">
      <c r="A63" s="51"/>
      <c r="B63" s="52"/>
      <c r="C63" s="52"/>
      <c r="D63" s="133"/>
      <c r="E63" s="133"/>
      <c r="F63" s="133"/>
      <c r="G63" s="133"/>
      <c r="H63" s="133"/>
      <c r="I63" s="133"/>
      <c r="J63" s="133"/>
      <c r="K63" s="133"/>
      <c r="L63" s="87"/>
      <c r="M63" s="296" t="s">
        <v>223</v>
      </c>
      <c r="N63" s="296"/>
      <c r="O63" s="296"/>
      <c r="P63" s="296"/>
      <c r="Q63" s="155">
        <v>40000</v>
      </c>
      <c r="R63" s="155"/>
      <c r="S63" s="156" t="s">
        <v>25</v>
      </c>
      <c r="T63" s="156" t="s">
        <v>26</v>
      </c>
      <c r="U63" s="155">
        <v>2</v>
      </c>
      <c r="V63" s="154" t="s">
        <v>29</v>
      </c>
      <c r="W63" s="155" t="s">
        <v>27</v>
      </c>
      <c r="X63" s="295"/>
      <c r="Y63" s="295"/>
      <c r="Z63" s="295"/>
      <c r="AA63" s="303" t="s">
        <v>228</v>
      </c>
      <c r="AB63" s="295"/>
      <c r="AC63" s="295">
        <f>ROUNDUP(Q63*U63,1)</f>
        <v>80000</v>
      </c>
      <c r="AD63" s="64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341" t="s">
        <v>224</v>
      </c>
      <c r="N64" s="296"/>
      <c r="O64" s="296"/>
      <c r="P64" s="296"/>
      <c r="Q64" s="295">
        <v>200000</v>
      </c>
      <c r="R64" s="295"/>
      <c r="S64" s="61" t="s">
        <v>57</v>
      </c>
      <c r="T64" s="61" t="s">
        <v>26</v>
      </c>
      <c r="U64" s="295">
        <v>2</v>
      </c>
      <c r="V64" s="296" t="s">
        <v>0</v>
      </c>
      <c r="W64" s="295" t="s">
        <v>27</v>
      </c>
      <c r="X64" s="295"/>
      <c r="Y64" s="295"/>
      <c r="Z64" s="295"/>
      <c r="AA64" s="303" t="s">
        <v>228</v>
      </c>
      <c r="AB64" s="295"/>
      <c r="AC64" s="295">
        <f>Q64*U64</f>
        <v>400000</v>
      </c>
      <c r="AD64" s="64" t="s">
        <v>57</v>
      </c>
      <c r="AE64" s="1"/>
    </row>
    <row r="65" spans="1:31" s="15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144"/>
      <c r="N65" s="56"/>
      <c r="O65" s="56"/>
      <c r="P65" s="56"/>
      <c r="Q65" s="57"/>
      <c r="R65" s="278"/>
      <c r="S65" s="61"/>
      <c r="T65" s="61"/>
      <c r="U65" s="57"/>
      <c r="V65" s="56"/>
      <c r="W65" s="57"/>
      <c r="X65" s="57"/>
      <c r="Y65" s="57"/>
      <c r="Z65" s="57"/>
      <c r="AA65" s="174"/>
      <c r="AB65" s="57"/>
      <c r="AC65" s="57"/>
      <c r="AD65" s="64"/>
      <c r="AE65" s="4"/>
    </row>
    <row r="66" spans="1:31" ht="21" customHeight="1">
      <c r="A66" s="51"/>
      <c r="B66" s="52"/>
      <c r="C66" s="42" t="s">
        <v>15</v>
      </c>
      <c r="D66" s="137">
        <v>336</v>
      </c>
      <c r="E66" s="137">
        <f>ROUND(AC66/1000,0)</f>
        <v>593</v>
      </c>
      <c r="F66" s="137">
        <f>(AC69+AC70+AC71+AC67+AC68)/1000</f>
        <v>310.2</v>
      </c>
      <c r="G66" s="137">
        <v>0</v>
      </c>
      <c r="H66" s="137">
        <f>(AC72+AC73+AC74)/1000</f>
        <v>282.76</v>
      </c>
      <c r="I66" s="137">
        <v>0</v>
      </c>
      <c r="J66" s="137">
        <v>0</v>
      </c>
      <c r="K66" s="227">
        <f>E66-D66</f>
        <v>257</v>
      </c>
      <c r="L66" s="145">
        <f>IF(D66=0,0,K66/D66)</f>
        <v>0.76488095238095233</v>
      </c>
      <c r="M66" s="121" t="s">
        <v>45</v>
      </c>
      <c r="N66" s="117"/>
      <c r="O66" s="117"/>
      <c r="P66" s="117"/>
      <c r="Q66" s="117"/>
      <c r="R66" s="225"/>
      <c r="S66" s="110"/>
      <c r="T66" s="110"/>
      <c r="U66" s="110"/>
      <c r="V66" s="110"/>
      <c r="W66" s="110"/>
      <c r="X66" s="203" t="s">
        <v>137</v>
      </c>
      <c r="Y66" s="203"/>
      <c r="Z66" s="203"/>
      <c r="AA66" s="203"/>
      <c r="AB66" s="205"/>
      <c r="AC66" s="205">
        <f>SUM(AC67:AC75)</f>
        <v>592960</v>
      </c>
      <c r="AD66" s="204" t="s">
        <v>25</v>
      </c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252" t="s">
        <v>175</v>
      </c>
      <c r="N67" s="161"/>
      <c r="O67" s="161"/>
      <c r="P67" s="161"/>
      <c r="Q67" s="155">
        <v>43200</v>
      </c>
      <c r="R67" s="155"/>
      <c r="S67" s="156" t="s">
        <v>25</v>
      </c>
      <c r="T67" s="156" t="s">
        <v>26</v>
      </c>
      <c r="U67" s="155">
        <v>1</v>
      </c>
      <c r="V67" s="154" t="s">
        <v>170</v>
      </c>
      <c r="W67" s="155" t="s">
        <v>27</v>
      </c>
      <c r="X67" s="57"/>
      <c r="Y67" s="57"/>
      <c r="Z67" s="56"/>
      <c r="AA67" s="341" t="s">
        <v>265</v>
      </c>
      <c r="AB67" s="57"/>
      <c r="AC67" s="57">
        <f>Q67*U67</f>
        <v>43200</v>
      </c>
      <c r="AD67" s="64" t="s">
        <v>174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62" t="s">
        <v>176</v>
      </c>
      <c r="N68" s="34"/>
      <c r="O68" s="34"/>
      <c r="P68" s="34"/>
      <c r="Q68" s="155">
        <v>73400</v>
      </c>
      <c r="R68" s="155"/>
      <c r="S68" s="156" t="s">
        <v>25</v>
      </c>
      <c r="T68" s="156" t="s">
        <v>26</v>
      </c>
      <c r="U68" s="155">
        <v>1</v>
      </c>
      <c r="V68" s="154" t="s">
        <v>170</v>
      </c>
      <c r="W68" s="155" t="s">
        <v>27</v>
      </c>
      <c r="X68" s="251"/>
      <c r="Y68" s="251"/>
      <c r="Z68" s="252"/>
      <c r="AA68" s="341" t="s">
        <v>265</v>
      </c>
      <c r="AB68" s="251"/>
      <c r="AC68" s="251">
        <f>Q68*U68</f>
        <v>73400</v>
      </c>
      <c r="AD68" s="64" t="s">
        <v>174</v>
      </c>
      <c r="AE68" s="1"/>
    </row>
    <row r="69" spans="1:31" s="12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252" t="s">
        <v>177</v>
      </c>
      <c r="N69" s="34"/>
      <c r="O69" s="34"/>
      <c r="P69" s="34"/>
      <c r="Q69" s="155">
        <v>110000</v>
      </c>
      <c r="R69" s="155"/>
      <c r="S69" s="156" t="s">
        <v>25</v>
      </c>
      <c r="T69" s="156" t="s">
        <v>26</v>
      </c>
      <c r="U69" s="155">
        <v>1</v>
      </c>
      <c r="V69" s="154" t="s">
        <v>170</v>
      </c>
      <c r="W69" s="155" t="s">
        <v>27</v>
      </c>
      <c r="X69" s="57"/>
      <c r="Y69" s="57"/>
      <c r="Z69" s="56"/>
      <c r="AA69" s="341" t="s">
        <v>265</v>
      </c>
      <c r="AB69" s="57"/>
      <c r="AC69" s="251">
        <f t="shared" ref="AC69:AC71" si="7">Q69*U69</f>
        <v>110000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252" t="s">
        <v>178</v>
      </c>
      <c r="N70" s="161"/>
      <c r="O70" s="161"/>
      <c r="P70" s="161"/>
      <c r="Q70" s="155">
        <v>55000</v>
      </c>
      <c r="R70" s="155"/>
      <c r="S70" s="156" t="s">
        <v>25</v>
      </c>
      <c r="T70" s="156" t="s">
        <v>26</v>
      </c>
      <c r="U70" s="155">
        <v>1</v>
      </c>
      <c r="V70" s="154" t="s">
        <v>170</v>
      </c>
      <c r="W70" s="155" t="s">
        <v>27</v>
      </c>
      <c r="X70" s="57"/>
      <c r="Y70" s="57"/>
      <c r="Z70" s="56"/>
      <c r="AA70" s="341" t="s">
        <v>265</v>
      </c>
      <c r="AB70" s="57"/>
      <c r="AC70" s="251">
        <f t="shared" si="7"/>
        <v>55000</v>
      </c>
      <c r="AD70" s="64" t="s">
        <v>25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52" t="s">
        <v>179</v>
      </c>
      <c r="N71" s="34"/>
      <c r="O71" s="34"/>
      <c r="P71" s="34"/>
      <c r="Q71" s="155">
        <v>28600</v>
      </c>
      <c r="R71" s="155"/>
      <c r="S71" s="156" t="s">
        <v>25</v>
      </c>
      <c r="T71" s="156" t="s">
        <v>26</v>
      </c>
      <c r="U71" s="155">
        <v>1</v>
      </c>
      <c r="V71" s="154" t="s">
        <v>170</v>
      </c>
      <c r="W71" s="155" t="s">
        <v>27</v>
      </c>
      <c r="X71" s="57"/>
      <c r="Y71" s="57"/>
      <c r="Z71" s="56"/>
      <c r="AA71" s="341" t="s">
        <v>265</v>
      </c>
      <c r="AB71" s="57"/>
      <c r="AC71" s="251">
        <f t="shared" si="7"/>
        <v>28600</v>
      </c>
      <c r="AD71" s="64" t="s">
        <v>25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294" t="s">
        <v>217</v>
      </c>
      <c r="N72" s="34"/>
      <c r="O72" s="34"/>
      <c r="P72" s="34"/>
      <c r="Q72" s="155">
        <v>25760</v>
      </c>
      <c r="R72" s="155"/>
      <c r="S72" s="156" t="s">
        <v>25</v>
      </c>
      <c r="T72" s="156" t="s">
        <v>26</v>
      </c>
      <c r="U72" s="155">
        <v>1</v>
      </c>
      <c r="V72" s="154" t="s">
        <v>75</v>
      </c>
      <c r="W72" s="155" t="s">
        <v>27</v>
      </c>
      <c r="X72" s="293"/>
      <c r="Y72" s="293"/>
      <c r="Z72" s="294"/>
      <c r="AA72" s="341" t="s">
        <v>318</v>
      </c>
      <c r="AB72" s="293"/>
      <c r="AC72" s="293">
        <f t="shared" ref="AC72" si="8">Q72*U72</f>
        <v>25760</v>
      </c>
      <c r="AD72" s="64" t="s">
        <v>67</v>
      </c>
      <c r="AE72" s="1"/>
    </row>
    <row r="73" spans="1:31" s="12" customFormat="1" ht="21" customHeight="1">
      <c r="A73" s="51"/>
      <c r="B73" s="347"/>
      <c r="C73" s="347"/>
      <c r="D73" s="133"/>
      <c r="E73" s="133"/>
      <c r="F73" s="133"/>
      <c r="G73" s="133"/>
      <c r="H73" s="133"/>
      <c r="I73" s="133"/>
      <c r="J73" s="133"/>
      <c r="K73" s="133"/>
      <c r="L73" s="87"/>
      <c r="M73" s="380" t="s">
        <v>322</v>
      </c>
      <c r="N73" s="161"/>
      <c r="O73" s="161"/>
      <c r="P73" s="161"/>
      <c r="Q73" s="369">
        <v>741000</v>
      </c>
      <c r="R73" s="161"/>
      <c r="S73" s="156" t="s">
        <v>25</v>
      </c>
      <c r="T73" s="156" t="s">
        <v>26</v>
      </c>
      <c r="U73" s="155">
        <v>1</v>
      </c>
      <c r="V73" s="154" t="s">
        <v>323</v>
      </c>
      <c r="W73" s="234"/>
      <c r="X73" s="234" t="s">
        <v>324</v>
      </c>
      <c r="Y73" s="155">
        <v>3</v>
      </c>
      <c r="Z73" s="155" t="s">
        <v>27</v>
      </c>
      <c r="AA73" s="379" t="s">
        <v>325</v>
      </c>
      <c r="AB73" s="92"/>
      <c r="AC73" s="379">
        <f>Q73/Y73</f>
        <v>247000</v>
      </c>
      <c r="AD73" s="64" t="s">
        <v>326</v>
      </c>
      <c r="AE73" s="1"/>
    </row>
    <row r="74" spans="1:31" s="12" customFormat="1" ht="21" customHeight="1">
      <c r="A74" s="51"/>
      <c r="B74" s="347"/>
      <c r="C74" s="347"/>
      <c r="D74" s="133"/>
      <c r="E74" s="133"/>
      <c r="F74" s="133"/>
      <c r="G74" s="133"/>
      <c r="H74" s="133"/>
      <c r="I74" s="133"/>
      <c r="J74" s="133"/>
      <c r="K74" s="133"/>
      <c r="L74" s="87"/>
      <c r="M74" s="380" t="s">
        <v>320</v>
      </c>
      <c r="N74" s="161"/>
      <c r="O74" s="161"/>
      <c r="P74" s="161"/>
      <c r="Q74" s="369">
        <v>10000</v>
      </c>
      <c r="R74" s="161"/>
      <c r="S74" s="156" t="s">
        <v>25</v>
      </c>
      <c r="T74" s="156" t="s">
        <v>26</v>
      </c>
      <c r="U74" s="155">
        <v>1</v>
      </c>
      <c r="V74" s="154" t="s">
        <v>321</v>
      </c>
      <c r="W74" s="234" t="s">
        <v>27</v>
      </c>
      <c r="X74" s="234"/>
      <c r="Y74" s="155"/>
      <c r="Z74" s="155"/>
      <c r="AA74" s="379" t="s">
        <v>297</v>
      </c>
      <c r="AB74" s="92"/>
      <c r="AC74" s="379">
        <v>10000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153"/>
      <c r="N75" s="161"/>
      <c r="O75" s="161"/>
      <c r="P75" s="161"/>
      <c r="Q75" s="369"/>
      <c r="R75" s="161"/>
      <c r="S75" s="156"/>
      <c r="T75" s="156"/>
      <c r="U75" s="155"/>
      <c r="V75" s="154"/>
      <c r="W75" s="234"/>
      <c r="X75" s="234"/>
      <c r="Y75" s="155"/>
      <c r="Z75" s="155"/>
      <c r="AA75" s="366"/>
      <c r="AB75" s="92"/>
      <c r="AC75" s="57"/>
      <c r="AD75" s="64"/>
      <c r="AE75" s="1"/>
    </row>
    <row r="76" spans="1:31" s="12" customFormat="1" ht="21" customHeight="1">
      <c r="A76" s="51"/>
      <c r="B76" s="52"/>
      <c r="C76" s="42" t="s">
        <v>46</v>
      </c>
      <c r="D76" s="137">
        <v>0</v>
      </c>
      <c r="E76" s="137">
        <f>ROUND(AC76/1000,0)</f>
        <v>320</v>
      </c>
      <c r="F76" s="137">
        <v>0</v>
      </c>
      <c r="G76" s="137">
        <v>0</v>
      </c>
      <c r="H76" s="137">
        <f>AC76/1000</f>
        <v>320</v>
      </c>
      <c r="I76" s="137">
        <v>0</v>
      </c>
      <c r="J76" s="137">
        <v>0</v>
      </c>
      <c r="K76" s="137">
        <f>E76-D76</f>
        <v>320</v>
      </c>
      <c r="L76" s="145">
        <f>IF(D76=0,0,K76/D76)</f>
        <v>0</v>
      </c>
      <c r="M76" s="121" t="s">
        <v>47</v>
      </c>
      <c r="N76" s="117"/>
      <c r="O76" s="117"/>
      <c r="P76" s="117"/>
      <c r="Q76" s="117"/>
      <c r="R76" s="225"/>
      <c r="S76" s="110"/>
      <c r="T76" s="110"/>
      <c r="U76" s="110"/>
      <c r="V76" s="110"/>
      <c r="W76" s="110"/>
      <c r="X76" s="203" t="s">
        <v>137</v>
      </c>
      <c r="Y76" s="203"/>
      <c r="Z76" s="203"/>
      <c r="AA76" s="203"/>
      <c r="AB76" s="205"/>
      <c r="AC76" s="205">
        <f>SUM(AC77:AC77)</f>
        <v>320000</v>
      </c>
      <c r="AD76" s="204" t="s">
        <v>25</v>
      </c>
      <c r="AE76" s="1"/>
    </row>
    <row r="77" spans="1:31" s="12" customFormat="1" ht="21" customHeight="1">
      <c r="A77" s="51"/>
      <c r="B77" s="52"/>
      <c r="C77" s="52"/>
      <c r="D77" s="133"/>
      <c r="E77" s="133"/>
      <c r="F77" s="133"/>
      <c r="G77" s="133"/>
      <c r="H77" s="133"/>
      <c r="I77" s="133"/>
      <c r="J77" s="133"/>
      <c r="K77" s="133"/>
      <c r="L77" s="87"/>
      <c r="M77" s="252" t="s">
        <v>180</v>
      </c>
      <c r="N77" s="56"/>
      <c r="O77" s="56"/>
      <c r="P77" s="56"/>
      <c r="Q77" s="155">
        <v>80000</v>
      </c>
      <c r="R77" s="155"/>
      <c r="S77" s="156" t="s">
        <v>25</v>
      </c>
      <c r="T77" s="156" t="s">
        <v>26</v>
      </c>
      <c r="U77" s="155">
        <v>12</v>
      </c>
      <c r="V77" s="154" t="s">
        <v>173</v>
      </c>
      <c r="W77" s="155" t="s">
        <v>27</v>
      </c>
      <c r="X77" s="234" t="s">
        <v>73</v>
      </c>
      <c r="Y77" s="92">
        <v>3</v>
      </c>
      <c r="Z77" s="155" t="s">
        <v>27</v>
      </c>
      <c r="AA77" s="57" t="s">
        <v>298</v>
      </c>
      <c r="AB77" s="57"/>
      <c r="AC77" s="57">
        <f>Q77*U77/Y77</f>
        <v>320000</v>
      </c>
      <c r="AD77" s="64" t="s">
        <v>25</v>
      </c>
      <c r="AE77" s="1"/>
    </row>
    <row r="78" spans="1:31" s="12" customFormat="1" ht="21" customHeight="1">
      <c r="A78" s="51"/>
      <c r="B78" s="52"/>
      <c r="C78" s="66"/>
      <c r="D78" s="135"/>
      <c r="E78" s="135"/>
      <c r="F78" s="135"/>
      <c r="G78" s="135"/>
      <c r="H78" s="135"/>
      <c r="I78" s="135"/>
      <c r="J78" s="135"/>
      <c r="K78" s="135"/>
      <c r="L78" s="105"/>
      <c r="M78" s="98"/>
      <c r="N78" s="98"/>
      <c r="O78" s="98"/>
      <c r="P78" s="98"/>
      <c r="Q78" s="97"/>
      <c r="R78" s="275"/>
      <c r="S78" s="106"/>
      <c r="T78" s="97"/>
      <c r="U78" s="552"/>
      <c r="V78" s="553"/>
      <c r="W78" s="97"/>
      <c r="X78" s="97"/>
      <c r="Y78" s="97"/>
      <c r="Z78" s="97"/>
      <c r="AA78" s="162"/>
      <c r="AB78" s="97"/>
      <c r="AC78" s="97"/>
      <c r="AD78" s="90"/>
      <c r="AE78" s="1"/>
    </row>
    <row r="79" spans="1:31" s="12" customFormat="1" ht="21" customHeight="1">
      <c r="A79" s="51"/>
      <c r="B79" s="52"/>
      <c r="C79" s="42" t="s">
        <v>98</v>
      </c>
      <c r="D79" s="137">
        <v>0</v>
      </c>
      <c r="E79" s="137">
        <f>ROUND(AC79/1000,0)</f>
        <v>150</v>
      </c>
      <c r="F79" s="137">
        <f>AC80/1000</f>
        <v>50</v>
      </c>
      <c r="G79" s="137">
        <v>0</v>
      </c>
      <c r="H79" s="137">
        <f>AC81/1000</f>
        <v>100</v>
      </c>
      <c r="I79" s="137">
        <v>0</v>
      </c>
      <c r="J79" s="137">
        <v>0</v>
      </c>
      <c r="K79" s="137">
        <f>E79-D79</f>
        <v>150</v>
      </c>
      <c r="L79" s="145">
        <f>IF(D79=0,0,K79/D79)</f>
        <v>0</v>
      </c>
      <c r="M79" s="140" t="s">
        <v>99</v>
      </c>
      <c r="N79" s="117"/>
      <c r="O79" s="117"/>
      <c r="P79" s="117"/>
      <c r="Q79" s="117"/>
      <c r="R79" s="225"/>
      <c r="S79" s="110"/>
      <c r="T79" s="110"/>
      <c r="U79" s="110"/>
      <c r="V79" s="110"/>
      <c r="W79" s="110"/>
      <c r="X79" s="203" t="s">
        <v>137</v>
      </c>
      <c r="Y79" s="203"/>
      <c r="Z79" s="203"/>
      <c r="AA79" s="203"/>
      <c r="AB79" s="205"/>
      <c r="AC79" s="205">
        <f>SUM(AC80:AC81)</f>
        <v>150000</v>
      </c>
      <c r="AD79" s="204" t="s">
        <v>25</v>
      </c>
      <c r="AE79" s="1"/>
    </row>
    <row r="80" spans="1:31" s="12" customFormat="1" ht="20.25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252" t="s">
        <v>327</v>
      </c>
      <c r="N80" s="153"/>
      <c r="O80" s="153"/>
      <c r="P80" s="153"/>
      <c r="Q80" s="141"/>
      <c r="R80" s="141"/>
      <c r="S80" s="152"/>
      <c r="T80" s="152"/>
      <c r="U80" s="152"/>
      <c r="V80" s="152"/>
      <c r="W80" s="152"/>
      <c r="X80" s="152"/>
      <c r="Y80" s="152"/>
      <c r="Z80" s="152"/>
      <c r="AA80" s="152" t="s">
        <v>292</v>
      </c>
      <c r="AB80" s="84"/>
      <c r="AC80" s="84">
        <v>50000</v>
      </c>
      <c r="AD80" s="64" t="s">
        <v>25</v>
      </c>
      <c r="AE80" s="2"/>
    </row>
    <row r="81" spans="1:31" s="12" customFormat="1" ht="20.25" customHeight="1">
      <c r="A81" s="51"/>
      <c r="B81" s="52"/>
      <c r="C81" s="53"/>
      <c r="D81" s="133"/>
      <c r="E81" s="133"/>
      <c r="F81" s="133"/>
      <c r="G81" s="133"/>
      <c r="H81" s="133"/>
      <c r="I81" s="133"/>
      <c r="J81" s="133"/>
      <c r="K81" s="133"/>
      <c r="L81" s="87"/>
      <c r="M81" s="88"/>
      <c r="N81" s="266"/>
      <c r="O81" s="266"/>
      <c r="P81" s="266"/>
      <c r="Q81" s="107"/>
      <c r="R81" s="107"/>
      <c r="S81" s="265"/>
      <c r="T81" s="265"/>
      <c r="U81" s="265"/>
      <c r="V81" s="265"/>
      <c r="W81" s="265"/>
      <c r="X81" s="265"/>
      <c r="Y81" s="265"/>
      <c r="Z81" s="265"/>
      <c r="AA81" s="265" t="s">
        <v>297</v>
      </c>
      <c r="AB81" s="89"/>
      <c r="AC81" s="89">
        <v>100000</v>
      </c>
      <c r="AD81" s="90" t="s">
        <v>25</v>
      </c>
      <c r="AE81" s="2"/>
    </row>
    <row r="82" spans="1:31" s="12" customFormat="1" ht="21" customHeight="1">
      <c r="A82" s="136" t="s">
        <v>48</v>
      </c>
      <c r="B82" s="551" t="s">
        <v>21</v>
      </c>
      <c r="C82" s="551"/>
      <c r="D82" s="230">
        <v>3500</v>
      </c>
      <c r="E82" s="230">
        <f>E83</f>
        <v>4940</v>
      </c>
      <c r="F82" s="230">
        <f>F83</f>
        <v>0</v>
      </c>
      <c r="G82" s="230">
        <f>G83</f>
        <v>2000</v>
      </c>
      <c r="H82" s="230">
        <f>H83</f>
        <v>2940</v>
      </c>
      <c r="I82" s="230">
        <v>0</v>
      </c>
      <c r="J82" s="230">
        <f t="shared" ref="J82" si="9">J83</f>
        <v>0</v>
      </c>
      <c r="K82" s="230">
        <f>E82-D82</f>
        <v>1440</v>
      </c>
      <c r="L82" s="196">
        <f>IF(D82=0,0,K82/D82)</f>
        <v>0.41142857142857142</v>
      </c>
      <c r="M82" s="357" t="s">
        <v>144</v>
      </c>
      <c r="N82" s="357"/>
      <c r="O82" s="357"/>
      <c r="P82" s="357"/>
      <c r="Q82" s="358"/>
      <c r="R82" s="358"/>
      <c r="S82" s="358"/>
      <c r="T82" s="358"/>
      <c r="U82" s="358"/>
      <c r="V82" s="358"/>
      <c r="W82" s="358"/>
      <c r="X82" s="358"/>
      <c r="Y82" s="358"/>
      <c r="Z82" s="358"/>
      <c r="AA82" s="358"/>
      <c r="AB82" s="358"/>
      <c r="AC82" s="358">
        <f>AC83</f>
        <v>4940000</v>
      </c>
      <c r="AD82" s="359" t="s">
        <v>25</v>
      </c>
      <c r="AE82" s="2"/>
    </row>
    <row r="83" spans="1:31" s="12" customFormat="1" ht="21" customHeight="1">
      <c r="A83" s="229" t="s">
        <v>151</v>
      </c>
      <c r="B83" s="52" t="s">
        <v>18</v>
      </c>
      <c r="C83" s="52" t="s">
        <v>145</v>
      </c>
      <c r="D83" s="133">
        <v>3500</v>
      </c>
      <c r="E83" s="133">
        <f>SUM(E84,E88,E93)</f>
        <v>4940</v>
      </c>
      <c r="F83" s="133">
        <f>F84+F88+F93</f>
        <v>0</v>
      </c>
      <c r="G83" s="133">
        <f>SUM(G84,G88,G93)</f>
        <v>2000</v>
      </c>
      <c r="H83" s="133">
        <f>SUM(H88,H93)</f>
        <v>2940</v>
      </c>
      <c r="I83" s="133">
        <v>0</v>
      </c>
      <c r="J83" s="133">
        <f t="shared" ref="J83" si="10">SUM(J84,J88,J93)</f>
        <v>0</v>
      </c>
      <c r="K83" s="133">
        <f>E83-D83</f>
        <v>1440</v>
      </c>
      <c r="L83" s="87">
        <f>IF(D83=0,0,K83/D83)</f>
        <v>0.41142857142857142</v>
      </c>
      <c r="M83" s="225" t="s">
        <v>146</v>
      </c>
      <c r="N83" s="117"/>
      <c r="O83" s="117"/>
      <c r="P83" s="117"/>
      <c r="Q83" s="117"/>
      <c r="R83" s="225"/>
      <c r="S83" s="110"/>
      <c r="T83" s="110"/>
      <c r="U83" s="110"/>
      <c r="V83" s="110"/>
      <c r="W83" s="110"/>
      <c r="X83" s="110"/>
      <c r="Y83" s="110"/>
      <c r="Z83" s="110"/>
      <c r="AA83" s="110"/>
      <c r="AB83" s="118"/>
      <c r="AC83" s="118">
        <f>SUM(AC84,AC88,AC93)</f>
        <v>4940000</v>
      </c>
      <c r="AD83" s="119" t="s">
        <v>25</v>
      </c>
      <c r="AE83" s="1"/>
    </row>
    <row r="84" spans="1:31" s="12" customFormat="1" ht="21" customHeight="1">
      <c r="A84" s="51"/>
      <c r="B84" s="52"/>
      <c r="C84" s="42" t="s">
        <v>146</v>
      </c>
      <c r="D84" s="227">
        <v>0</v>
      </c>
      <c r="E84" s="227">
        <v>0</v>
      </c>
      <c r="F84" s="227">
        <f>ROUND(AC85/1000,0)</f>
        <v>0</v>
      </c>
      <c r="G84" s="227">
        <v>0</v>
      </c>
      <c r="H84" s="227">
        <v>0</v>
      </c>
      <c r="I84" s="227">
        <v>0</v>
      </c>
      <c r="J84" s="227">
        <v>0</v>
      </c>
      <c r="K84" s="227">
        <f>E84-D84</f>
        <v>0</v>
      </c>
      <c r="L84" s="228">
        <f>IF(D84=0,0,K84/D84)</f>
        <v>0</v>
      </c>
      <c r="M84" s="121" t="s">
        <v>49</v>
      </c>
      <c r="N84" s="225"/>
      <c r="O84" s="225"/>
      <c r="P84" s="225"/>
      <c r="Q84" s="225"/>
      <c r="R84" s="225"/>
      <c r="S84" s="224"/>
      <c r="T84" s="224"/>
      <c r="U84" s="224"/>
      <c r="V84" s="224"/>
      <c r="W84" s="224"/>
      <c r="X84" s="203" t="s">
        <v>137</v>
      </c>
      <c r="Y84" s="203"/>
      <c r="Z84" s="203"/>
      <c r="AA84" s="203"/>
      <c r="AB84" s="205"/>
      <c r="AC84" s="205">
        <f>SUM(AC85:AC85)</f>
        <v>0</v>
      </c>
      <c r="AD84" s="204" t="s">
        <v>25</v>
      </c>
      <c r="AE84" s="1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306" t="s">
        <v>235</v>
      </c>
      <c r="N85" s="178"/>
      <c r="O85" s="178"/>
      <c r="P85" s="178"/>
      <c r="Q85" s="178"/>
      <c r="R85" s="221"/>
      <c r="S85" s="177"/>
      <c r="T85" s="177"/>
      <c r="U85" s="177"/>
      <c r="V85" s="177"/>
      <c r="W85" s="177"/>
      <c r="X85" s="177"/>
      <c r="Y85" s="177"/>
      <c r="Z85" s="177"/>
      <c r="AA85" s="179"/>
      <c r="AB85" s="58"/>
      <c r="AC85" s="84">
        <v>0</v>
      </c>
      <c r="AD85" s="64" t="s">
        <v>112</v>
      </c>
      <c r="AE85" s="2"/>
    </row>
    <row r="86" spans="1:31" s="12" customFormat="1" ht="21" customHeight="1">
      <c r="A86" s="51"/>
      <c r="B86" s="52"/>
      <c r="C86" s="52"/>
      <c r="D86" s="133"/>
      <c r="E86" s="133"/>
      <c r="F86" s="133"/>
      <c r="G86" s="133"/>
      <c r="H86" s="133"/>
      <c r="I86" s="133"/>
      <c r="J86" s="133"/>
      <c r="K86" s="133"/>
      <c r="L86" s="87"/>
      <c r="M86" s="282"/>
      <c r="N86" s="221"/>
      <c r="O86" s="221"/>
      <c r="P86" s="221"/>
      <c r="Q86" s="221"/>
      <c r="R86" s="221"/>
      <c r="S86" s="220"/>
      <c r="T86" s="220"/>
      <c r="U86" s="220"/>
      <c r="V86" s="220"/>
      <c r="W86" s="220"/>
      <c r="X86" s="220"/>
      <c r="Y86" s="220"/>
      <c r="Z86" s="220"/>
      <c r="AA86" s="281"/>
      <c r="AB86" s="58"/>
      <c r="AC86" s="84"/>
      <c r="AD86" s="64"/>
      <c r="AE86" s="2"/>
    </row>
    <row r="87" spans="1:31" s="12" customFormat="1" ht="21" customHeight="1">
      <c r="A87" s="51"/>
      <c r="B87" s="52"/>
      <c r="C87" s="52"/>
      <c r="D87" s="133"/>
      <c r="E87" s="133"/>
      <c r="F87" s="133"/>
      <c r="G87" s="133"/>
      <c r="H87" s="133"/>
      <c r="I87" s="133"/>
      <c r="J87" s="133"/>
      <c r="K87" s="133"/>
      <c r="L87" s="87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63"/>
      <c r="AD87" s="151"/>
      <c r="AE87" s="2"/>
    </row>
    <row r="88" spans="1:31" s="12" customFormat="1" ht="21" customHeight="1">
      <c r="A88" s="51"/>
      <c r="B88" s="52"/>
      <c r="C88" s="42" t="s">
        <v>19</v>
      </c>
      <c r="D88" s="137">
        <v>2200</v>
      </c>
      <c r="E88" s="137">
        <f>F88+G88+H88+J88</f>
        <v>4740</v>
      </c>
      <c r="F88" s="137"/>
      <c r="G88" s="137">
        <f>(AC89)/1000</f>
        <v>2000</v>
      </c>
      <c r="H88" s="137">
        <f>SUM(AC90:AC92)/1000</f>
        <v>2740</v>
      </c>
      <c r="I88" s="137">
        <v>0</v>
      </c>
      <c r="J88" s="137">
        <v>0</v>
      </c>
      <c r="K88" s="137">
        <f>E88-D88</f>
        <v>2540</v>
      </c>
      <c r="L88" s="145">
        <f>IF(D88=0,0,K88/D88)</f>
        <v>1.1545454545454545</v>
      </c>
      <c r="M88" s="121" t="s">
        <v>50</v>
      </c>
      <c r="N88" s="117"/>
      <c r="O88" s="117"/>
      <c r="P88" s="117"/>
      <c r="Q88" s="117"/>
      <c r="R88" s="225"/>
      <c r="S88" s="110"/>
      <c r="T88" s="110"/>
      <c r="U88" s="110"/>
      <c r="V88" s="110"/>
      <c r="W88" s="110"/>
      <c r="X88" s="203" t="s">
        <v>137</v>
      </c>
      <c r="Y88" s="203"/>
      <c r="Z88" s="203"/>
      <c r="AA88" s="203"/>
      <c r="AB88" s="205"/>
      <c r="AC88" s="205">
        <f>SUM(AC89:AC92)</f>
        <v>4740000</v>
      </c>
      <c r="AD88" s="204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326" t="s">
        <v>237</v>
      </c>
      <c r="N89" s="56"/>
      <c r="O89" s="56"/>
      <c r="P89" s="38"/>
      <c r="Q89" s="38"/>
      <c r="R89" s="221"/>
      <c r="S89" s="39"/>
      <c r="T89" s="39"/>
      <c r="U89" s="39"/>
      <c r="V89" s="39"/>
      <c r="W89" s="39"/>
      <c r="X89" s="39"/>
      <c r="Y89" s="39"/>
      <c r="Z89" s="39"/>
      <c r="AA89" s="340" t="s">
        <v>266</v>
      </c>
      <c r="AB89" s="58"/>
      <c r="AC89" s="84">
        <v>2000000</v>
      </c>
      <c r="AD89" s="64" t="s">
        <v>25</v>
      </c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385" t="s">
        <v>237</v>
      </c>
      <c r="N90" s="56"/>
      <c r="O90" s="56"/>
      <c r="P90" s="153"/>
      <c r="Q90" s="56"/>
      <c r="R90" s="279"/>
      <c r="S90" s="57"/>
      <c r="T90" s="39"/>
      <c r="U90" s="39"/>
      <c r="V90" s="39"/>
      <c r="W90" s="39"/>
      <c r="X90" s="39"/>
      <c r="Y90" s="39"/>
      <c r="Z90" s="39"/>
      <c r="AA90" s="325" t="s">
        <v>297</v>
      </c>
      <c r="AB90" s="58"/>
      <c r="AC90" s="84">
        <v>300000</v>
      </c>
      <c r="AD90" s="64" t="s">
        <v>25</v>
      </c>
      <c r="AE90" s="2"/>
    </row>
    <row r="91" spans="1:31" s="12" customFormat="1" ht="21" customHeight="1">
      <c r="A91" s="51"/>
      <c r="B91" s="347"/>
      <c r="C91" s="347"/>
      <c r="D91" s="133"/>
      <c r="E91" s="133"/>
      <c r="F91" s="133"/>
      <c r="G91" s="133"/>
      <c r="H91" s="133"/>
      <c r="I91" s="133"/>
      <c r="J91" s="133"/>
      <c r="K91" s="133"/>
      <c r="L91" s="87"/>
      <c r="M91" s="385" t="s">
        <v>300</v>
      </c>
      <c r="N91" s="385"/>
      <c r="O91" s="385"/>
      <c r="P91" s="385"/>
      <c r="Q91" s="385"/>
      <c r="R91" s="385"/>
      <c r="S91" s="384"/>
      <c r="T91" s="220"/>
      <c r="U91" s="220"/>
      <c r="V91" s="220"/>
      <c r="W91" s="220"/>
      <c r="X91" s="220"/>
      <c r="Y91" s="220"/>
      <c r="Z91" s="220"/>
      <c r="AA91" s="384" t="s">
        <v>297</v>
      </c>
      <c r="AB91" s="58"/>
      <c r="AC91" s="84">
        <v>1800000</v>
      </c>
      <c r="AD91" s="64" t="s">
        <v>25</v>
      </c>
      <c r="AE91" s="2"/>
    </row>
    <row r="92" spans="1:31" s="12" customFormat="1" ht="21" customHeight="1">
      <c r="A92" s="51"/>
      <c r="B92" s="52"/>
      <c r="C92" s="52"/>
      <c r="D92" s="133"/>
      <c r="E92" s="133"/>
      <c r="F92" s="133"/>
      <c r="G92" s="135"/>
      <c r="H92" s="133"/>
      <c r="I92" s="133"/>
      <c r="J92" s="133"/>
      <c r="K92" s="133"/>
      <c r="L92" s="87"/>
      <c r="M92" s="385" t="s">
        <v>299</v>
      </c>
      <c r="N92" s="385"/>
      <c r="O92" s="385"/>
      <c r="P92" s="385"/>
      <c r="Q92" s="385"/>
      <c r="R92" s="385"/>
      <c r="S92" s="384"/>
      <c r="T92" s="220"/>
      <c r="U92" s="220"/>
      <c r="V92" s="220"/>
      <c r="W92" s="220"/>
      <c r="X92" s="220"/>
      <c r="Y92" s="220"/>
      <c r="Z92" s="220"/>
      <c r="AA92" s="384" t="s">
        <v>297</v>
      </c>
      <c r="AB92" s="58"/>
      <c r="AC92" s="84">
        <v>640000</v>
      </c>
      <c r="AD92" s="64" t="s">
        <v>25</v>
      </c>
      <c r="AE92" s="2"/>
    </row>
    <row r="93" spans="1:31" s="12" customFormat="1" ht="21" customHeight="1">
      <c r="A93" s="51"/>
      <c r="B93" s="52"/>
      <c r="C93" s="42" t="s">
        <v>51</v>
      </c>
      <c r="D93" s="137">
        <v>1300</v>
      </c>
      <c r="E93" s="137">
        <f>F93+H93+J93+G93</f>
        <v>200</v>
      </c>
      <c r="F93" s="137"/>
      <c r="G93" s="301">
        <v>0</v>
      </c>
      <c r="H93" s="137">
        <f>AC94/1000</f>
        <v>200</v>
      </c>
      <c r="I93" s="137">
        <v>0</v>
      </c>
      <c r="J93" s="137">
        <v>0</v>
      </c>
      <c r="K93" s="137">
        <f>E93-D93</f>
        <v>-1100</v>
      </c>
      <c r="L93" s="145">
        <f>IF(D93=0,0,K93/D93)</f>
        <v>-0.84615384615384615</v>
      </c>
      <c r="M93" s="121" t="s">
        <v>52</v>
      </c>
      <c r="N93" s="117"/>
      <c r="O93" s="117"/>
      <c r="P93" s="117"/>
      <c r="Q93" s="117"/>
      <c r="R93" s="225"/>
      <c r="S93" s="110"/>
      <c r="T93" s="110"/>
      <c r="U93" s="110"/>
      <c r="V93" s="110"/>
      <c r="W93" s="110"/>
      <c r="X93" s="203" t="s">
        <v>137</v>
      </c>
      <c r="Y93" s="203"/>
      <c r="Z93" s="203"/>
      <c r="AA93" s="203"/>
      <c r="AB93" s="205"/>
      <c r="AC93" s="205">
        <f>SUM(AC94:AC94)</f>
        <v>200000</v>
      </c>
      <c r="AD93" s="204" t="s">
        <v>25</v>
      </c>
      <c r="AE93" s="1"/>
    </row>
    <row r="94" spans="1:31" s="1" customFormat="1" ht="21" customHeight="1">
      <c r="A94" s="51"/>
      <c r="B94" s="52"/>
      <c r="C94" s="52" t="s">
        <v>157</v>
      </c>
      <c r="D94" s="133"/>
      <c r="E94" s="133"/>
      <c r="F94" s="133"/>
      <c r="G94" s="133"/>
      <c r="H94" s="133"/>
      <c r="I94" s="133"/>
      <c r="J94" s="133"/>
      <c r="K94" s="133"/>
      <c r="L94" s="87"/>
      <c r="M94" s="341" t="s">
        <v>267</v>
      </c>
      <c r="N94" s="56"/>
      <c r="O94" s="56"/>
      <c r="P94" s="56"/>
      <c r="Q94" s="57"/>
      <c r="R94" s="278"/>
      <c r="S94" s="61"/>
      <c r="T94" s="61"/>
      <c r="U94" s="57"/>
      <c r="V94" s="56"/>
      <c r="W94" s="57"/>
      <c r="X94" s="57"/>
      <c r="Y94" s="57"/>
      <c r="Z94" s="57"/>
      <c r="AA94" s="340" t="s">
        <v>268</v>
      </c>
      <c r="AB94" s="57"/>
      <c r="AC94" s="222">
        <v>200000</v>
      </c>
      <c r="AD94" s="64" t="s">
        <v>25</v>
      </c>
      <c r="AE94" s="2"/>
    </row>
    <row r="95" spans="1:31" s="1" customFormat="1" ht="21" customHeight="1">
      <c r="A95" s="51"/>
      <c r="B95" s="52"/>
      <c r="C95" s="52"/>
      <c r="D95" s="133"/>
      <c r="E95" s="133"/>
      <c r="F95" s="133"/>
      <c r="G95" s="133"/>
      <c r="H95" s="133"/>
      <c r="I95" s="133"/>
      <c r="J95" s="133"/>
      <c r="K95" s="133"/>
      <c r="L95" s="87"/>
      <c r="M95" s="189"/>
      <c r="N95" s="56"/>
      <c r="O95" s="56"/>
      <c r="P95" s="56"/>
      <c r="Q95" s="57"/>
      <c r="R95" s="278"/>
      <c r="S95" s="61"/>
      <c r="T95" s="61"/>
      <c r="U95" s="57"/>
      <c r="V95" s="56"/>
      <c r="W95" s="57"/>
      <c r="X95" s="57"/>
      <c r="Y95" s="57"/>
      <c r="Z95" s="57"/>
      <c r="AA95" s="152"/>
      <c r="AB95" s="57"/>
      <c r="AC95" s="57"/>
      <c r="AD95" s="64"/>
      <c r="AE95" s="2"/>
    </row>
    <row r="96" spans="1:31" s="12" customFormat="1" ht="21" customHeight="1">
      <c r="A96" s="231" t="s">
        <v>20</v>
      </c>
      <c r="B96" s="567" t="s">
        <v>21</v>
      </c>
      <c r="C96" s="568"/>
      <c r="D96" s="232">
        <v>16958.97</v>
      </c>
      <c r="E96" s="232">
        <f>SUM(E97,E118)</f>
        <v>18519.195</v>
      </c>
      <c r="F96" s="232">
        <f>SUM(F97,F118)</f>
        <v>7594.99</v>
      </c>
      <c r="G96" s="232">
        <f>SUM(G97,G118)</f>
        <v>0</v>
      </c>
      <c r="H96" s="232">
        <f>SUM(H97,H118)</f>
        <v>8848.7639999999992</v>
      </c>
      <c r="I96" s="232">
        <f>I97</f>
        <v>1251.3710000000001</v>
      </c>
      <c r="J96" s="232">
        <f>SUM(J97,J118)</f>
        <v>424.07</v>
      </c>
      <c r="K96" s="232">
        <f>SUM(K97,K104,K108,K111,K115)</f>
        <v>2495.2249999999985</v>
      </c>
      <c r="L96" s="233">
        <f>IF(D96=0,0,K96/D96)</f>
        <v>0.14713305112279804</v>
      </c>
      <c r="M96" s="360" t="s">
        <v>148</v>
      </c>
      <c r="N96" s="360"/>
      <c r="O96" s="360"/>
      <c r="P96" s="360"/>
      <c r="Q96" s="360"/>
      <c r="R96" s="360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>
        <f>SUM(AC97,AC118)</f>
        <v>18519195</v>
      </c>
      <c r="AD96" s="362" t="s">
        <v>25</v>
      </c>
      <c r="AE96" s="14"/>
    </row>
    <row r="97" spans="1:31" s="12" customFormat="1" ht="21" customHeight="1">
      <c r="A97" s="52"/>
      <c r="B97" s="42" t="s">
        <v>104</v>
      </c>
      <c r="C97" s="42" t="s">
        <v>149</v>
      </c>
      <c r="D97" s="137">
        <v>12068.970000000001</v>
      </c>
      <c r="E97" s="137">
        <f>SUM(E98,E104,E108,E111,E115)</f>
        <v>13851.195</v>
      </c>
      <c r="F97" s="137">
        <f>SUM(F98,F104,F108,F111,F115)</f>
        <v>7594.99</v>
      </c>
      <c r="G97" s="137">
        <f>SUM(G98,G104,G108,G111,G115)</f>
        <v>0</v>
      </c>
      <c r="H97" s="137">
        <f>SUM(H98,H104,H108,H111,H115)</f>
        <v>4180.7640000000001</v>
      </c>
      <c r="I97" s="137">
        <f>I98</f>
        <v>1251.3710000000001</v>
      </c>
      <c r="J97" s="137">
        <f>SUM(J98,J104,J108,J111,J115)</f>
        <v>424.07</v>
      </c>
      <c r="K97" s="137">
        <f>E97-D97</f>
        <v>1782.2249999999985</v>
      </c>
      <c r="L97" s="145">
        <f>IF(D97=0,0,K97/D97)</f>
        <v>0.14767001657970799</v>
      </c>
      <c r="M97" s="117"/>
      <c r="N97" s="117"/>
      <c r="O97" s="117"/>
      <c r="P97" s="117"/>
      <c r="Q97" s="117"/>
      <c r="R97" s="225"/>
      <c r="S97" s="110"/>
      <c r="T97" s="110"/>
      <c r="U97" s="110"/>
      <c r="V97" s="110"/>
      <c r="W97" s="110"/>
      <c r="X97" s="110" t="s">
        <v>28</v>
      </c>
      <c r="Y97" s="110"/>
      <c r="Z97" s="110"/>
      <c r="AA97" s="110"/>
      <c r="AB97" s="118"/>
      <c r="AC97" s="118">
        <f>SUM(AC98,AC104,AC108,AC111,AC115)</f>
        <v>13851195</v>
      </c>
      <c r="AD97" s="119" t="s">
        <v>25</v>
      </c>
      <c r="AE97" s="1"/>
    </row>
    <row r="98" spans="1:31" s="12" customFormat="1" ht="21" customHeight="1">
      <c r="A98" s="52"/>
      <c r="B98" s="52"/>
      <c r="C98" s="42" t="s">
        <v>59</v>
      </c>
      <c r="D98" s="137">
        <v>10711.970000000001</v>
      </c>
      <c r="E98" s="137">
        <f>SUM(F98,G98,H98,J98,I98)</f>
        <v>11781.195</v>
      </c>
      <c r="F98" s="137">
        <f>SUM(AC99,AC101)/1000</f>
        <v>6639.99</v>
      </c>
      <c r="G98" s="137">
        <v>0</v>
      </c>
      <c r="H98" s="137">
        <f>(AC100)/1000</f>
        <v>3465.7640000000001</v>
      </c>
      <c r="I98" s="137">
        <f>AC102/1000</f>
        <v>1251.3710000000001</v>
      </c>
      <c r="J98" s="137">
        <f>AC103/1000</f>
        <v>424.07</v>
      </c>
      <c r="K98" s="137">
        <f>E98-D98</f>
        <v>1069.2249999999985</v>
      </c>
      <c r="L98" s="145">
        <f>IF(D98=0,0,K98/D98)</f>
        <v>9.9815906878006413E-2</v>
      </c>
      <c r="M98" s="121" t="s">
        <v>105</v>
      </c>
      <c r="N98" s="225"/>
      <c r="O98" s="225"/>
      <c r="P98" s="225"/>
      <c r="Q98" s="225"/>
      <c r="R98" s="225"/>
      <c r="S98" s="224"/>
      <c r="T98" s="224"/>
      <c r="U98" s="224"/>
      <c r="V98" s="224"/>
      <c r="W98" s="224"/>
      <c r="X98" s="203" t="s">
        <v>137</v>
      </c>
      <c r="Y98" s="203"/>
      <c r="Z98" s="203"/>
      <c r="AA98" s="203"/>
      <c r="AB98" s="205"/>
      <c r="AC98" s="205">
        <f>SUM(AC99:AC103)</f>
        <v>11781195</v>
      </c>
      <c r="AD98" s="204" t="s">
        <v>25</v>
      </c>
      <c r="AE98" s="1"/>
    </row>
    <row r="99" spans="1:31" s="12" customFormat="1" ht="21" customHeight="1">
      <c r="A99" s="52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252" t="s">
        <v>181</v>
      </c>
      <c r="N99" s="56"/>
      <c r="O99" s="57"/>
      <c r="P99" s="57"/>
      <c r="Q99" s="57"/>
      <c r="R99" s="278"/>
      <c r="S99" s="57"/>
      <c r="T99" s="61"/>
      <c r="U99" s="57"/>
      <c r="V99" s="57"/>
      <c r="W99" s="61"/>
      <c r="X99" s="57"/>
      <c r="Y99" s="57"/>
      <c r="Z99" s="63"/>
      <c r="AA99" s="57" t="s">
        <v>97</v>
      </c>
      <c r="AB99" s="84"/>
      <c r="AC99" s="84">
        <v>6239990</v>
      </c>
      <c r="AD99" s="64" t="s">
        <v>25</v>
      </c>
      <c r="AE99" s="2"/>
    </row>
    <row r="100" spans="1:31" s="12" customFormat="1" ht="21" customHeight="1">
      <c r="A100" s="52"/>
      <c r="B100" s="52"/>
      <c r="C100" s="52"/>
      <c r="D100" s="133"/>
      <c r="E100" s="133"/>
      <c r="F100" s="133"/>
      <c r="G100" s="133"/>
      <c r="H100" s="133"/>
      <c r="I100" s="133"/>
      <c r="J100" s="133"/>
      <c r="K100" s="133"/>
      <c r="L100" s="87"/>
      <c r="M100" s="189" t="s">
        <v>111</v>
      </c>
      <c r="N100" s="175"/>
      <c r="O100" s="175"/>
      <c r="P100" s="175"/>
      <c r="Q100" s="174"/>
      <c r="R100" s="278"/>
      <c r="S100" s="61"/>
      <c r="T100" s="61"/>
      <c r="U100" s="174"/>
      <c r="V100" s="174"/>
      <c r="W100" s="61"/>
      <c r="X100" s="174"/>
      <c r="Y100" s="174"/>
      <c r="Z100" s="173"/>
      <c r="AA100" s="174" t="s">
        <v>110</v>
      </c>
      <c r="AB100" s="174"/>
      <c r="AC100" s="174">
        <v>3465764</v>
      </c>
      <c r="AD100" s="157" t="s">
        <v>86</v>
      </c>
      <c r="AE100" s="2"/>
    </row>
    <row r="101" spans="1:31" s="12" customFormat="1" ht="21" customHeight="1">
      <c r="A101" s="52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264" t="s">
        <v>190</v>
      </c>
      <c r="N101" s="264"/>
      <c r="O101" s="264"/>
      <c r="P101" s="264"/>
      <c r="Q101" s="263"/>
      <c r="R101" s="278"/>
      <c r="S101" s="61"/>
      <c r="T101" s="61"/>
      <c r="U101" s="263"/>
      <c r="V101" s="263"/>
      <c r="W101" s="61"/>
      <c r="X101" s="263"/>
      <c r="Y101" s="263"/>
      <c r="Z101" s="234"/>
      <c r="AA101" s="340" t="s">
        <v>265</v>
      </c>
      <c r="AB101" s="263"/>
      <c r="AC101" s="263">
        <v>400000</v>
      </c>
      <c r="AD101" s="157" t="s">
        <v>191</v>
      </c>
      <c r="AE101" s="2"/>
    </row>
    <row r="102" spans="1:31" s="12" customFormat="1" ht="21" customHeight="1">
      <c r="A102" s="52"/>
      <c r="B102" s="52"/>
      <c r="C102" s="52"/>
      <c r="D102" s="133"/>
      <c r="E102" s="133"/>
      <c r="F102" s="133"/>
      <c r="G102" s="133"/>
      <c r="H102" s="133"/>
      <c r="I102" s="133"/>
      <c r="J102" s="133"/>
      <c r="K102" s="133"/>
      <c r="L102" s="87"/>
      <c r="M102" s="334" t="s">
        <v>303</v>
      </c>
      <c r="N102" s="282"/>
      <c r="O102" s="282"/>
      <c r="P102" s="282"/>
      <c r="Q102" s="333"/>
      <c r="R102" s="333"/>
      <c r="S102" s="333"/>
      <c r="T102" s="61"/>
      <c r="U102" s="333"/>
      <c r="V102" s="333"/>
      <c r="W102" s="61"/>
      <c r="X102" s="333"/>
      <c r="Y102" s="333"/>
      <c r="Z102" s="234"/>
      <c r="AA102" s="333" t="s">
        <v>258</v>
      </c>
      <c r="AB102" s="84"/>
      <c r="AC102" s="84">
        <v>1251371</v>
      </c>
      <c r="AD102" s="64" t="s">
        <v>25</v>
      </c>
      <c r="AE102" s="2"/>
    </row>
    <row r="103" spans="1:31" s="12" customFormat="1" ht="21" customHeight="1">
      <c r="A103" s="52"/>
      <c r="B103" s="52"/>
      <c r="C103" s="66"/>
      <c r="D103" s="135"/>
      <c r="E103" s="135"/>
      <c r="F103" s="135"/>
      <c r="G103" s="135"/>
      <c r="H103" s="135"/>
      <c r="I103" s="135"/>
      <c r="J103" s="135"/>
      <c r="K103" s="135"/>
      <c r="L103" s="105"/>
      <c r="M103" s="141" t="s">
        <v>304</v>
      </c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 t="s">
        <v>302</v>
      </c>
      <c r="AB103" s="141"/>
      <c r="AC103" s="163">
        <v>424070</v>
      </c>
      <c r="AD103" s="151" t="s">
        <v>296</v>
      </c>
      <c r="AE103" s="2"/>
    </row>
    <row r="104" spans="1:31" s="12" customFormat="1" ht="21" customHeight="1">
      <c r="A104" s="52"/>
      <c r="B104" s="52"/>
      <c r="C104" s="52" t="s">
        <v>106</v>
      </c>
      <c r="D104" s="133">
        <v>750</v>
      </c>
      <c r="E104" s="133">
        <f>SUM(F104,G104,H104,J104)</f>
        <v>950</v>
      </c>
      <c r="F104" s="133">
        <f>AC105/1000</f>
        <v>750</v>
      </c>
      <c r="G104" s="133">
        <v>0</v>
      </c>
      <c r="H104" s="133">
        <f>AC106/1000</f>
        <v>200</v>
      </c>
      <c r="I104" s="133">
        <v>0</v>
      </c>
      <c r="J104" s="133">
        <v>0</v>
      </c>
      <c r="K104" s="133">
        <f>E104-D104</f>
        <v>200</v>
      </c>
      <c r="L104" s="87">
        <f>IF(D104=0,0,K104/D104)</f>
        <v>0.26666666666666666</v>
      </c>
      <c r="M104" s="121" t="s">
        <v>107</v>
      </c>
      <c r="N104" s="117"/>
      <c r="O104" s="117"/>
      <c r="P104" s="117"/>
      <c r="Q104" s="117"/>
      <c r="R104" s="225"/>
      <c r="S104" s="110"/>
      <c r="T104" s="110"/>
      <c r="U104" s="110"/>
      <c r="V104" s="110"/>
      <c r="W104" s="110"/>
      <c r="X104" s="203" t="s">
        <v>137</v>
      </c>
      <c r="Y104" s="203"/>
      <c r="Z104" s="203"/>
      <c r="AA104" s="203"/>
      <c r="AB104" s="205"/>
      <c r="AC104" s="205">
        <f>SUM(AC105:AC106)</f>
        <v>950000</v>
      </c>
      <c r="AD104" s="204" t="s">
        <v>25</v>
      </c>
      <c r="AE104" s="1"/>
    </row>
    <row r="105" spans="1:31" s="12" customFormat="1" ht="21" customHeight="1">
      <c r="A105" s="52"/>
      <c r="B105" s="52"/>
      <c r="C105" s="52" t="s">
        <v>150</v>
      </c>
      <c r="D105" s="133"/>
      <c r="E105" s="133"/>
      <c r="F105" s="133"/>
      <c r="G105" s="133"/>
      <c r="H105" s="133"/>
      <c r="I105" s="133"/>
      <c r="J105" s="133"/>
      <c r="K105" s="133"/>
      <c r="L105" s="87"/>
      <c r="M105" s="252" t="s">
        <v>182</v>
      </c>
      <c r="N105" s="56"/>
      <c r="O105" s="56"/>
      <c r="P105" s="56"/>
      <c r="Q105" s="57"/>
      <c r="R105" s="278"/>
      <c r="S105" s="61"/>
      <c r="T105" s="61"/>
      <c r="U105" s="57"/>
      <c r="V105" s="57"/>
      <c r="W105" s="57"/>
      <c r="X105" s="57"/>
      <c r="Y105" s="57"/>
      <c r="Z105" s="57"/>
      <c r="AA105" s="303" t="s">
        <v>229</v>
      </c>
      <c r="AB105" s="57"/>
      <c r="AC105" s="57">
        <v>750000</v>
      </c>
      <c r="AD105" s="64" t="s">
        <v>86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270"/>
      <c r="N106" s="270"/>
      <c r="O106" s="270"/>
      <c r="P106" s="270"/>
      <c r="Q106" s="269"/>
      <c r="R106" s="278"/>
      <c r="S106" s="61"/>
      <c r="T106" s="61"/>
      <c r="U106" s="269"/>
      <c r="V106" s="269"/>
      <c r="W106" s="269"/>
      <c r="X106" s="269"/>
      <c r="Y106" s="269"/>
      <c r="Z106" s="269"/>
      <c r="AA106" s="269" t="s">
        <v>318</v>
      </c>
      <c r="AB106" s="269"/>
      <c r="AC106" s="269">
        <v>200000</v>
      </c>
      <c r="AD106" s="64" t="s">
        <v>296</v>
      </c>
      <c r="AE106" s="2"/>
    </row>
    <row r="107" spans="1:31" s="12" customFormat="1" ht="21" customHeight="1">
      <c r="A107" s="52"/>
      <c r="B107" s="52"/>
      <c r="C107" s="52"/>
      <c r="D107" s="133"/>
      <c r="E107" s="133"/>
      <c r="F107" s="133"/>
      <c r="G107" s="133"/>
      <c r="H107" s="133"/>
      <c r="I107" s="133"/>
      <c r="J107" s="133"/>
      <c r="K107" s="133"/>
      <c r="L107" s="87"/>
      <c r="M107" s="187"/>
      <c r="N107" s="98"/>
      <c r="O107" s="98"/>
      <c r="P107" s="98"/>
      <c r="Q107" s="97"/>
      <c r="R107" s="275"/>
      <c r="S107" s="106"/>
      <c r="T107" s="61"/>
      <c r="U107" s="89"/>
      <c r="V107" s="97"/>
      <c r="W107" s="97"/>
      <c r="X107" s="97"/>
      <c r="Y107" s="97"/>
      <c r="Z107" s="97"/>
      <c r="AA107" s="180"/>
      <c r="AB107" s="97"/>
      <c r="AC107" s="97"/>
      <c r="AD107" s="90"/>
      <c r="AE107" s="1"/>
    </row>
    <row r="108" spans="1:31" s="12" customFormat="1" ht="21" customHeight="1">
      <c r="A108" s="52"/>
      <c r="B108" s="52"/>
      <c r="C108" s="42" t="s">
        <v>101</v>
      </c>
      <c r="D108" s="137">
        <v>320</v>
      </c>
      <c r="E108" s="137">
        <f>AC108/1000</f>
        <v>720</v>
      </c>
      <c r="F108" s="137">
        <v>0</v>
      </c>
      <c r="G108" s="137">
        <v>0</v>
      </c>
      <c r="H108" s="137">
        <f>AC109/1000</f>
        <v>320</v>
      </c>
      <c r="I108" s="137">
        <f>AC110/1000</f>
        <v>400</v>
      </c>
      <c r="J108" s="137">
        <v>0</v>
      </c>
      <c r="K108" s="137">
        <f>E108-D108</f>
        <v>400</v>
      </c>
      <c r="L108" s="145">
        <f>IF(D108=0,0,K108/D108)</f>
        <v>1.25</v>
      </c>
      <c r="M108" s="121" t="s">
        <v>132</v>
      </c>
      <c r="N108" s="202"/>
      <c r="O108" s="117"/>
      <c r="P108" s="117"/>
      <c r="Q108" s="117"/>
      <c r="R108" s="225"/>
      <c r="S108" s="110"/>
      <c r="T108" s="110"/>
      <c r="U108" s="110"/>
      <c r="V108" s="224"/>
      <c r="W108" s="224"/>
      <c r="X108" s="203" t="s">
        <v>137</v>
      </c>
      <c r="Y108" s="203"/>
      <c r="Z108" s="203"/>
      <c r="AA108" s="203"/>
      <c r="AB108" s="205"/>
      <c r="AC108" s="205">
        <f>SUM(AC109:AC110)</f>
        <v>720000</v>
      </c>
      <c r="AD108" s="204" t="s">
        <v>25</v>
      </c>
      <c r="AE108" s="1"/>
    </row>
    <row r="109" spans="1:31" s="12" customFormat="1" ht="21" customHeight="1">
      <c r="A109" s="52"/>
      <c r="B109" s="52"/>
      <c r="C109" s="52"/>
      <c r="D109" s="133"/>
      <c r="E109" s="133"/>
      <c r="F109" s="133"/>
      <c r="G109" s="133"/>
      <c r="H109" s="133"/>
      <c r="I109" s="133"/>
      <c r="J109" s="133"/>
      <c r="K109" s="133"/>
      <c r="L109" s="87"/>
      <c r="M109" s="252" t="s">
        <v>183</v>
      </c>
      <c r="N109" s="56"/>
      <c r="O109" s="57"/>
      <c r="P109" s="57"/>
      <c r="Q109" s="57">
        <v>80000</v>
      </c>
      <c r="R109" s="278"/>
      <c r="S109" s="57" t="s">
        <v>86</v>
      </c>
      <c r="T109" s="56" t="s">
        <v>87</v>
      </c>
      <c r="U109" s="57">
        <v>4</v>
      </c>
      <c r="V109" s="251" t="s">
        <v>184</v>
      </c>
      <c r="W109" s="252" t="s">
        <v>185</v>
      </c>
      <c r="X109" s="57"/>
      <c r="Y109" s="57"/>
      <c r="Z109" s="57"/>
      <c r="AA109" s="303" t="s">
        <v>228</v>
      </c>
      <c r="AB109" s="84"/>
      <c r="AC109" s="84">
        <f>Q109*U109</f>
        <v>320000</v>
      </c>
      <c r="AD109" s="64" t="s">
        <v>25</v>
      </c>
      <c r="AE109" s="1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12"/>
      <c r="N110" s="56"/>
      <c r="O110" s="57"/>
      <c r="P110" s="57"/>
      <c r="Q110" s="57">
        <v>100000</v>
      </c>
      <c r="R110" s="278"/>
      <c r="S110" s="366" t="s">
        <v>57</v>
      </c>
      <c r="T110" s="367" t="s">
        <v>58</v>
      </c>
      <c r="U110" s="366">
        <v>4</v>
      </c>
      <c r="V110" s="366" t="s">
        <v>56</v>
      </c>
      <c r="W110" s="367" t="s">
        <v>53</v>
      </c>
      <c r="X110" s="57"/>
      <c r="Y110" s="57"/>
      <c r="Z110" s="57"/>
      <c r="AA110" s="211" t="s">
        <v>301</v>
      </c>
      <c r="AB110" s="84"/>
      <c r="AC110" s="84">
        <f>Q110*U110</f>
        <v>400000</v>
      </c>
      <c r="AD110" s="64" t="s">
        <v>25</v>
      </c>
      <c r="AE110" s="1"/>
    </row>
    <row r="111" spans="1:31" s="12" customFormat="1" ht="21" customHeight="1">
      <c r="A111" s="52"/>
      <c r="B111" s="52"/>
      <c r="C111" s="42" t="s">
        <v>102</v>
      </c>
      <c r="D111" s="137">
        <v>197</v>
      </c>
      <c r="E111" s="137">
        <f>F111+G111+H111+J111</f>
        <v>310</v>
      </c>
      <c r="F111" s="137">
        <f>AC112/1000</f>
        <v>160</v>
      </c>
      <c r="G111" s="137">
        <v>0</v>
      </c>
      <c r="H111" s="137">
        <f>AC113/1000</f>
        <v>150</v>
      </c>
      <c r="I111" s="137">
        <v>0</v>
      </c>
      <c r="J111" s="137">
        <v>0</v>
      </c>
      <c r="K111" s="137">
        <f>E111-D111</f>
        <v>113</v>
      </c>
      <c r="L111" s="145">
        <f>IF(D111=0,0,K111/D111)</f>
        <v>0.57360406091370564</v>
      </c>
      <c r="M111" s="121" t="s">
        <v>133</v>
      </c>
      <c r="N111" s="202"/>
      <c r="O111" s="210"/>
      <c r="P111" s="210"/>
      <c r="Q111" s="210"/>
      <c r="R111" s="225"/>
      <c r="S111" s="209"/>
      <c r="T111" s="209"/>
      <c r="U111" s="209"/>
      <c r="V111" s="224"/>
      <c r="W111" s="224"/>
      <c r="X111" s="203" t="s">
        <v>137</v>
      </c>
      <c r="Y111" s="203"/>
      <c r="Z111" s="203"/>
      <c r="AA111" s="203"/>
      <c r="AB111" s="205"/>
      <c r="AC111" s="205">
        <f>SUM(AC112:AC113)</f>
        <v>310000</v>
      </c>
      <c r="AD111" s="204" t="s">
        <v>25</v>
      </c>
      <c r="AE111" s="1"/>
    </row>
    <row r="112" spans="1:31" s="15" customFormat="1" ht="21" customHeight="1">
      <c r="A112" s="52"/>
      <c r="B112" s="52"/>
      <c r="C112" s="52"/>
      <c r="D112" s="133"/>
      <c r="E112" s="133"/>
      <c r="F112" s="133"/>
      <c r="G112" s="133"/>
      <c r="H112" s="133"/>
      <c r="I112" s="133"/>
      <c r="J112" s="133"/>
      <c r="K112" s="133"/>
      <c r="L112" s="87"/>
      <c r="M112" s="252" t="s">
        <v>186</v>
      </c>
      <c r="N112" s="56"/>
      <c r="O112" s="57"/>
      <c r="P112" s="57"/>
      <c r="Q112" s="57">
        <v>40000</v>
      </c>
      <c r="R112" s="278"/>
      <c r="S112" s="57" t="s">
        <v>86</v>
      </c>
      <c r="T112" s="56" t="s">
        <v>87</v>
      </c>
      <c r="U112" s="57">
        <v>1</v>
      </c>
      <c r="V112" s="57" t="s">
        <v>100</v>
      </c>
      <c r="W112" s="56" t="s">
        <v>87</v>
      </c>
      <c r="X112" s="57">
        <v>4</v>
      </c>
      <c r="Y112" s="57" t="s">
        <v>88</v>
      </c>
      <c r="Z112" s="57" t="s">
        <v>89</v>
      </c>
      <c r="AA112" s="303" t="s">
        <v>229</v>
      </c>
      <c r="AB112" s="84"/>
      <c r="AC112" s="84">
        <f>Q112*U112*X112</f>
        <v>160000</v>
      </c>
      <c r="AD112" s="64" t="s">
        <v>25</v>
      </c>
      <c r="AE112" s="5"/>
    </row>
    <row r="113" spans="1:31" s="15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2" t="s">
        <v>187</v>
      </c>
      <c r="N113" s="56"/>
      <c r="O113" s="56"/>
      <c r="P113" s="56"/>
      <c r="Q113" s="211"/>
      <c r="R113" s="278"/>
      <c r="S113" s="61"/>
      <c r="T113" s="61"/>
      <c r="U113" s="211"/>
      <c r="V113" s="211"/>
      <c r="W113" s="206"/>
      <c r="X113" s="164"/>
      <c r="Y113" s="92"/>
      <c r="Z113" s="218"/>
      <c r="AA113" s="303" t="s">
        <v>228</v>
      </c>
      <c r="AB113" s="57"/>
      <c r="AC113" s="57">
        <v>150000</v>
      </c>
      <c r="AD113" s="64" t="s">
        <v>25</v>
      </c>
      <c r="AE113" s="5"/>
    </row>
    <row r="114" spans="1:31" s="12" customFormat="1" ht="21" customHeight="1">
      <c r="A114" s="52"/>
      <c r="B114" s="52"/>
      <c r="C114" s="66"/>
      <c r="D114" s="192"/>
      <c r="E114" s="192"/>
      <c r="F114" s="192"/>
      <c r="G114" s="192"/>
      <c r="H114" s="192"/>
      <c r="I114" s="192"/>
      <c r="J114" s="192"/>
      <c r="K114" s="166"/>
      <c r="L114" s="105"/>
      <c r="M114" s="165"/>
      <c r="N114" s="165"/>
      <c r="O114" s="165"/>
      <c r="P114" s="165"/>
      <c r="Q114" s="165"/>
      <c r="R114" s="165"/>
      <c r="S114" s="167"/>
      <c r="T114" s="57"/>
      <c r="U114" s="63"/>
      <c r="V114" s="57"/>
      <c r="W114" s="57"/>
      <c r="X114" s="57"/>
      <c r="Y114" s="57"/>
      <c r="Z114" s="57"/>
      <c r="AA114" s="57"/>
      <c r="AB114" s="57"/>
      <c r="AC114" s="57"/>
      <c r="AD114" s="64"/>
      <c r="AE114" s="1"/>
    </row>
    <row r="115" spans="1:31" s="12" customFormat="1" ht="21" customHeight="1">
      <c r="A115" s="52"/>
      <c r="B115" s="52"/>
      <c r="C115" s="52" t="s">
        <v>103</v>
      </c>
      <c r="D115" s="133">
        <v>90</v>
      </c>
      <c r="E115" s="133">
        <f>SUM(F115,G115,H115,J115)</f>
        <v>90</v>
      </c>
      <c r="F115" s="133">
        <f>AC116/1000</f>
        <v>45</v>
      </c>
      <c r="G115" s="133">
        <v>0</v>
      </c>
      <c r="H115" s="133">
        <f>AC117/1000</f>
        <v>45</v>
      </c>
      <c r="I115" s="133">
        <v>0</v>
      </c>
      <c r="J115" s="133">
        <v>0</v>
      </c>
      <c r="K115" s="133">
        <f>E115-D115</f>
        <v>0</v>
      </c>
      <c r="L115" s="87">
        <f>IF(D115=0,0,K115/D115)</f>
        <v>0</v>
      </c>
      <c r="M115" s="121" t="s">
        <v>108</v>
      </c>
      <c r="N115" s="117"/>
      <c r="O115" s="117"/>
      <c r="P115" s="117"/>
      <c r="Q115" s="117"/>
      <c r="R115" s="225"/>
      <c r="S115" s="110"/>
      <c r="T115" s="110"/>
      <c r="U115" s="110"/>
      <c r="V115" s="110"/>
      <c r="W115" s="110"/>
      <c r="X115" s="203" t="s">
        <v>137</v>
      </c>
      <c r="Y115" s="203"/>
      <c r="Z115" s="203"/>
      <c r="AA115" s="203"/>
      <c r="AB115" s="205"/>
      <c r="AC115" s="205">
        <f>SUM(AC116:AC117)</f>
        <v>90000</v>
      </c>
      <c r="AD115" s="204" t="s">
        <v>25</v>
      </c>
      <c r="AE115" s="1"/>
    </row>
    <row r="116" spans="1:31" s="12" customFormat="1" ht="21" customHeight="1">
      <c r="A116" s="52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252" t="s">
        <v>188</v>
      </c>
      <c r="N116" s="56"/>
      <c r="O116" s="56"/>
      <c r="P116" s="56"/>
      <c r="Q116" s="222">
        <v>15000</v>
      </c>
      <c r="R116" s="278"/>
      <c r="S116" s="61" t="s">
        <v>57</v>
      </c>
      <c r="T116" s="61" t="s">
        <v>26</v>
      </c>
      <c r="U116" s="222">
        <v>3</v>
      </c>
      <c r="V116" s="222" t="s">
        <v>0</v>
      </c>
      <c r="W116" s="219"/>
      <c r="X116" s="164"/>
      <c r="Y116" s="92"/>
      <c r="Z116" s="218" t="s">
        <v>53</v>
      </c>
      <c r="AA116" s="303" t="s">
        <v>229</v>
      </c>
      <c r="AB116" s="222"/>
      <c r="AC116" s="222">
        <f>ROUNDUP(Q116*U116,1)</f>
        <v>45000</v>
      </c>
      <c r="AD116" s="64" t="s">
        <v>25</v>
      </c>
      <c r="AE116" s="1"/>
    </row>
    <row r="117" spans="1:31" s="12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56"/>
      <c r="N117" s="56"/>
      <c r="O117" s="56"/>
      <c r="P117" s="56"/>
      <c r="Q117" s="57">
        <v>15000</v>
      </c>
      <c r="R117" s="278"/>
      <c r="S117" s="61" t="s">
        <v>25</v>
      </c>
      <c r="T117" s="56" t="s">
        <v>26</v>
      </c>
      <c r="U117" s="57">
        <v>3</v>
      </c>
      <c r="V117" s="56" t="s">
        <v>29</v>
      </c>
      <c r="W117" s="57"/>
      <c r="X117" s="57"/>
      <c r="Y117" s="57"/>
      <c r="Z117" s="57" t="s">
        <v>27</v>
      </c>
      <c r="AA117" s="57" t="s">
        <v>319</v>
      </c>
      <c r="AB117" s="57"/>
      <c r="AC117" s="57">
        <v>45000</v>
      </c>
      <c r="AD117" s="64" t="s">
        <v>25</v>
      </c>
      <c r="AE117" s="1"/>
    </row>
    <row r="118" spans="1:31" s="12" customFormat="1" ht="21" customHeight="1">
      <c r="A118" s="52"/>
      <c r="B118" s="42" t="s">
        <v>109</v>
      </c>
      <c r="C118" s="199" t="s">
        <v>145</v>
      </c>
      <c r="D118" s="200">
        <v>4890</v>
      </c>
      <c r="E118" s="200">
        <f>E119</f>
        <v>4668</v>
      </c>
      <c r="F118" s="200">
        <f t="shared" ref="F118:J118" si="11">F119</f>
        <v>0</v>
      </c>
      <c r="G118" s="200">
        <f t="shared" si="11"/>
        <v>0</v>
      </c>
      <c r="H118" s="200">
        <f>H119</f>
        <v>4668</v>
      </c>
      <c r="I118" s="200">
        <f>I119</f>
        <v>0</v>
      </c>
      <c r="J118" s="200">
        <f t="shared" si="11"/>
        <v>0</v>
      </c>
      <c r="K118" s="200">
        <f>E118-D118</f>
        <v>-222</v>
      </c>
      <c r="L118" s="201">
        <f>IF(D118=0,0,K118/D118)</f>
        <v>-4.5398773006134971E-2</v>
      </c>
      <c r="M118" s="202"/>
      <c r="N118" s="202"/>
      <c r="O118" s="202"/>
      <c r="P118" s="202"/>
      <c r="Q118" s="202"/>
      <c r="R118" s="277"/>
      <c r="S118" s="203"/>
      <c r="T118" s="203"/>
      <c r="U118" s="203"/>
      <c r="V118" s="203"/>
      <c r="W118" s="203"/>
      <c r="X118" s="203" t="s">
        <v>28</v>
      </c>
      <c r="Y118" s="203"/>
      <c r="Z118" s="203"/>
      <c r="AA118" s="203"/>
      <c r="AB118" s="205"/>
      <c r="AC118" s="205">
        <f>AC119</f>
        <v>4668000</v>
      </c>
      <c r="AD118" s="204" t="s">
        <v>25</v>
      </c>
      <c r="AE118" s="1"/>
    </row>
    <row r="119" spans="1:31" s="12" customFormat="1" ht="26.25" customHeight="1">
      <c r="A119" s="52"/>
      <c r="B119" s="52" t="s">
        <v>129</v>
      </c>
      <c r="C119" s="52" t="s">
        <v>128</v>
      </c>
      <c r="D119" s="137">
        <v>4890</v>
      </c>
      <c r="E119" s="137">
        <f>SUM(F119+G119+H119+I119+J119)</f>
        <v>4668</v>
      </c>
      <c r="F119" s="137">
        <v>0</v>
      </c>
      <c r="G119" s="137">
        <v>0</v>
      </c>
      <c r="H119" s="137">
        <f>SUM(AC122,AC129,AC148,AC123,AC132,AC138,AC139,AC140,AC145,AC141,AC135,AC124,AC125,AC126,AC150)/1000</f>
        <v>4668</v>
      </c>
      <c r="I119" s="137"/>
      <c r="J119" s="137">
        <v>0</v>
      </c>
      <c r="K119" s="137">
        <f>E119-D119</f>
        <v>-222</v>
      </c>
      <c r="L119" s="145">
        <f>IF(D119=0,0,K119/D119)</f>
        <v>-4.5398773006134971E-2</v>
      </c>
      <c r="M119" s="123" t="s">
        <v>130</v>
      </c>
      <c r="N119" s="140"/>
      <c r="O119" s="38"/>
      <c r="P119" s="34"/>
      <c r="Q119" s="34"/>
      <c r="R119" s="34"/>
      <c r="S119" s="34"/>
      <c r="T119" s="34"/>
      <c r="U119" s="34"/>
      <c r="V119" s="224"/>
      <c r="W119" s="224"/>
      <c r="X119" s="203" t="s">
        <v>137</v>
      </c>
      <c r="Y119" s="124"/>
      <c r="Z119" s="124"/>
      <c r="AA119" s="124"/>
      <c r="AB119" s="142"/>
      <c r="AC119" s="142">
        <f>SUM(AC121,AC128,AC137,AC143,AC131,AC134,AC147,AC150)</f>
        <v>4668000</v>
      </c>
      <c r="AD119" s="143" t="s">
        <v>25</v>
      </c>
      <c r="AE119" s="1"/>
    </row>
    <row r="120" spans="1:31" s="16" customFormat="1" ht="24" customHeight="1">
      <c r="A120" s="52"/>
      <c r="B120" s="52"/>
      <c r="C120" s="52" t="s">
        <v>129</v>
      </c>
      <c r="D120" s="133"/>
      <c r="E120" s="133"/>
      <c r="F120" s="133"/>
      <c r="G120" s="133"/>
      <c r="H120" s="133"/>
      <c r="I120" s="133"/>
      <c r="J120" s="133"/>
      <c r="K120" s="133"/>
      <c r="L120" s="87"/>
      <c r="M120" s="212"/>
      <c r="N120" s="56"/>
      <c r="O120" s="56"/>
      <c r="P120" s="56"/>
      <c r="Q120" s="56"/>
      <c r="R120" s="279"/>
      <c r="S120" s="57"/>
      <c r="T120" s="57"/>
      <c r="U120" s="57"/>
      <c r="V120" s="57"/>
      <c r="W120" s="57"/>
      <c r="X120" s="168"/>
      <c r="Y120" s="168"/>
      <c r="Z120" s="168"/>
      <c r="AA120" s="168"/>
      <c r="AB120" s="169"/>
      <c r="AC120" s="169"/>
      <c r="AD120" s="64"/>
      <c r="AE120" s="17"/>
    </row>
    <row r="121" spans="1:31" s="16" customFormat="1" ht="24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88" t="s">
        <v>242</v>
      </c>
      <c r="N121" s="208"/>
      <c r="O121" s="212"/>
      <c r="P121" s="212"/>
      <c r="Q121" s="212"/>
      <c r="R121" s="279"/>
      <c r="S121" s="211"/>
      <c r="T121" s="211"/>
      <c r="U121" s="211"/>
      <c r="V121" s="207" t="s">
        <v>131</v>
      </c>
      <c r="W121" s="207"/>
      <c r="X121" s="207"/>
      <c r="Y121" s="207"/>
      <c r="Z121" s="207"/>
      <c r="AA121" s="207"/>
      <c r="AB121" s="89"/>
      <c r="AC121" s="89">
        <f>SUM(AC122:AC126)</f>
        <v>2670000</v>
      </c>
      <c r="AD121" s="90" t="s">
        <v>25</v>
      </c>
      <c r="AE121" s="17"/>
    </row>
    <row r="122" spans="1:31" s="16" customFormat="1" ht="24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332" t="s">
        <v>239</v>
      </c>
      <c r="N122" s="212"/>
      <c r="O122" s="212"/>
      <c r="P122" s="212"/>
      <c r="Q122" s="251">
        <v>10000</v>
      </c>
      <c r="R122" s="278"/>
      <c r="S122" s="251" t="s">
        <v>57</v>
      </c>
      <c r="T122" s="252" t="s">
        <v>58</v>
      </c>
      <c r="U122" s="251">
        <v>4</v>
      </c>
      <c r="V122" s="251" t="s">
        <v>75</v>
      </c>
      <c r="W122" s="252" t="s">
        <v>58</v>
      </c>
      <c r="X122" s="251">
        <v>4</v>
      </c>
      <c r="Y122" s="251" t="s">
        <v>56</v>
      </c>
      <c r="Z122" s="251" t="s">
        <v>53</v>
      </c>
      <c r="AA122" s="331" t="s">
        <v>259</v>
      </c>
      <c r="AB122" s="84"/>
      <c r="AC122" s="84">
        <f>Q122*U122*X122</f>
        <v>160000</v>
      </c>
      <c r="AD122" s="64" t="s">
        <v>25</v>
      </c>
      <c r="AE122" s="17"/>
    </row>
    <row r="123" spans="1:31" s="16" customFormat="1" ht="24" customHeight="1">
      <c r="A123" s="52"/>
      <c r="B123" s="52"/>
      <c r="C123" s="52"/>
      <c r="D123" s="133"/>
      <c r="E123" s="133"/>
      <c r="F123" s="133"/>
      <c r="G123" s="133"/>
      <c r="H123" s="133"/>
      <c r="I123" s="133"/>
      <c r="J123" s="133"/>
      <c r="K123" s="133"/>
      <c r="L123" s="87"/>
      <c r="M123" s="332" t="s">
        <v>240</v>
      </c>
      <c r="N123" s="294"/>
      <c r="O123" s="294"/>
      <c r="P123" s="294"/>
      <c r="Q123" s="293">
        <v>10000</v>
      </c>
      <c r="R123" s="293"/>
      <c r="S123" s="293" t="s">
        <v>57</v>
      </c>
      <c r="T123" s="294" t="s">
        <v>58</v>
      </c>
      <c r="U123" s="293">
        <v>3</v>
      </c>
      <c r="V123" s="293" t="s">
        <v>75</v>
      </c>
      <c r="W123" s="294" t="s">
        <v>58</v>
      </c>
      <c r="X123" s="293">
        <v>5</v>
      </c>
      <c r="Y123" s="293" t="s">
        <v>56</v>
      </c>
      <c r="Z123" s="293" t="s">
        <v>53</v>
      </c>
      <c r="AA123" s="333" t="s">
        <v>110</v>
      </c>
      <c r="AB123" s="84"/>
      <c r="AC123" s="84">
        <f t="shared" ref="AC123:AC125" si="12">Q123*U123*X123</f>
        <v>150000</v>
      </c>
      <c r="AD123" s="64" t="s">
        <v>25</v>
      </c>
      <c r="AE123" s="17"/>
    </row>
    <row r="124" spans="1:31" s="16" customFormat="1" ht="24" customHeight="1">
      <c r="A124" s="52"/>
      <c r="B124" s="52"/>
      <c r="C124" s="52"/>
      <c r="D124" s="133"/>
      <c r="E124" s="133"/>
      <c r="F124" s="133"/>
      <c r="G124" s="133"/>
      <c r="H124" s="133"/>
      <c r="I124" s="133"/>
      <c r="J124" s="133"/>
      <c r="K124" s="133"/>
      <c r="L124" s="87"/>
      <c r="M124" s="367" t="s">
        <v>311</v>
      </c>
      <c r="N124" s="367"/>
      <c r="O124" s="367"/>
      <c r="P124" s="367"/>
      <c r="Q124" s="366">
        <v>10000</v>
      </c>
      <c r="R124" s="366"/>
      <c r="S124" s="366" t="s">
        <v>57</v>
      </c>
      <c r="T124" s="367" t="s">
        <v>58</v>
      </c>
      <c r="U124" s="366">
        <v>4</v>
      </c>
      <c r="V124" s="366" t="s">
        <v>75</v>
      </c>
      <c r="W124" s="367" t="s">
        <v>58</v>
      </c>
      <c r="X124" s="366">
        <v>4</v>
      </c>
      <c r="Y124" s="366" t="s">
        <v>56</v>
      </c>
      <c r="Z124" s="366" t="s">
        <v>53</v>
      </c>
      <c r="AA124" s="366" t="s">
        <v>259</v>
      </c>
      <c r="AB124" s="84"/>
      <c r="AC124" s="84">
        <f t="shared" si="12"/>
        <v>160000</v>
      </c>
      <c r="AD124" s="64" t="s">
        <v>25</v>
      </c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367" t="s">
        <v>241</v>
      </c>
      <c r="N125" s="367"/>
      <c r="O125" s="367"/>
      <c r="P125" s="367"/>
      <c r="Q125" s="366">
        <v>50000</v>
      </c>
      <c r="R125" s="366"/>
      <c r="S125" s="366" t="s">
        <v>57</v>
      </c>
      <c r="T125" s="367" t="s">
        <v>58</v>
      </c>
      <c r="U125" s="366">
        <v>1</v>
      </c>
      <c r="V125" s="366" t="s">
        <v>75</v>
      </c>
      <c r="W125" s="367" t="s">
        <v>58</v>
      </c>
      <c r="X125" s="366">
        <v>4</v>
      </c>
      <c r="Y125" s="366" t="s">
        <v>56</v>
      </c>
      <c r="Z125" s="366" t="s">
        <v>53</v>
      </c>
      <c r="AA125" s="366" t="s">
        <v>307</v>
      </c>
      <c r="AB125" s="84"/>
      <c r="AC125" s="84">
        <f t="shared" si="12"/>
        <v>200000</v>
      </c>
      <c r="AD125" s="64" t="s">
        <v>25</v>
      </c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170" t="s">
        <v>328</v>
      </c>
      <c r="N126" s="170"/>
      <c r="O126" s="170"/>
      <c r="P126" s="170"/>
      <c r="Q126" s="379">
        <v>1000000</v>
      </c>
      <c r="R126" s="170"/>
      <c r="S126" s="383" t="s">
        <v>326</v>
      </c>
      <c r="T126" s="61" t="s">
        <v>26</v>
      </c>
      <c r="U126" s="170">
        <v>2</v>
      </c>
      <c r="V126" s="170" t="s">
        <v>329</v>
      </c>
      <c r="W126" s="170"/>
      <c r="X126" s="170"/>
      <c r="Y126" s="170"/>
      <c r="Z126" s="170" t="s">
        <v>330</v>
      </c>
      <c r="AA126" s="170" t="s">
        <v>325</v>
      </c>
      <c r="AB126" s="170"/>
      <c r="AC126" s="171">
        <f>Q126*U126</f>
        <v>2000000</v>
      </c>
      <c r="AD126" s="172" t="s">
        <v>326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153"/>
      <c r="N127" s="153"/>
      <c r="O127" s="153"/>
      <c r="P127" s="153"/>
      <c r="Q127" s="152"/>
      <c r="R127" s="278"/>
      <c r="S127" s="152"/>
      <c r="T127" s="153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64"/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88" t="s">
        <v>243</v>
      </c>
      <c r="N128" s="140"/>
      <c r="O128" s="213"/>
      <c r="P128" s="34"/>
      <c r="Q128" s="34"/>
      <c r="R128" s="34"/>
      <c r="S128" s="34"/>
      <c r="T128" s="34"/>
      <c r="U128" s="34"/>
      <c r="V128" s="207" t="s">
        <v>131</v>
      </c>
      <c r="W128" s="207"/>
      <c r="X128" s="207"/>
      <c r="Y128" s="207"/>
      <c r="Z128" s="207"/>
      <c r="AA128" s="207"/>
      <c r="AB128" s="89"/>
      <c r="AC128" s="89">
        <f>SUM(AC129:AC129)</f>
        <v>0</v>
      </c>
      <c r="AD128" s="90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332" t="s">
        <v>244</v>
      </c>
      <c r="N129" s="212"/>
      <c r="O129" s="212"/>
      <c r="P129" s="212"/>
      <c r="Q129" s="251">
        <v>0</v>
      </c>
      <c r="R129" s="278"/>
      <c r="S129" s="61" t="s">
        <v>57</v>
      </c>
      <c r="T129" s="61" t="s">
        <v>26</v>
      </c>
      <c r="U129" s="251">
        <v>2</v>
      </c>
      <c r="V129" s="251" t="s">
        <v>184</v>
      </c>
      <c r="W129" s="234"/>
      <c r="X129" s="164"/>
      <c r="Y129" s="92"/>
      <c r="Z129" s="218" t="s">
        <v>53</v>
      </c>
      <c r="AA129" s="331" t="s">
        <v>259</v>
      </c>
      <c r="AB129" s="251"/>
      <c r="AC129" s="251">
        <f>Q129*U129</f>
        <v>0</v>
      </c>
      <c r="AD129" s="64" t="s">
        <v>25</v>
      </c>
      <c r="AE129" s="17"/>
    </row>
    <row r="130" spans="1:31" s="16" customFormat="1" ht="24" customHeight="1">
      <c r="A130" s="328"/>
      <c r="B130" s="328"/>
      <c r="C130" s="328"/>
      <c r="D130" s="133"/>
      <c r="E130" s="133"/>
      <c r="F130" s="133"/>
      <c r="G130" s="133"/>
      <c r="H130" s="133"/>
      <c r="I130" s="133"/>
      <c r="J130" s="133"/>
      <c r="K130" s="133"/>
      <c r="L130" s="87"/>
      <c r="M130" s="332"/>
      <c r="N130" s="332"/>
      <c r="O130" s="332"/>
      <c r="P130" s="332"/>
      <c r="Q130" s="331"/>
      <c r="R130" s="331"/>
      <c r="S130" s="61"/>
      <c r="T130" s="61"/>
      <c r="U130" s="331"/>
      <c r="V130" s="331"/>
      <c r="W130" s="234"/>
      <c r="X130" s="164"/>
      <c r="Y130" s="92"/>
      <c r="Z130" s="218"/>
      <c r="AA130" s="331"/>
      <c r="AB130" s="331"/>
      <c r="AC130" s="331"/>
      <c r="AD130" s="64"/>
      <c r="AE130" s="17"/>
    </row>
    <row r="131" spans="1:31" s="16" customFormat="1" ht="24" customHeight="1">
      <c r="A131" s="328"/>
      <c r="B131" s="328"/>
      <c r="C131" s="328"/>
      <c r="D131" s="133"/>
      <c r="E131" s="133"/>
      <c r="F131" s="133"/>
      <c r="G131" s="133"/>
      <c r="H131" s="133"/>
      <c r="I131" s="133"/>
      <c r="J131" s="133"/>
      <c r="K131" s="133"/>
      <c r="L131" s="87"/>
      <c r="M131" s="88" t="s">
        <v>245</v>
      </c>
      <c r="N131" s="330"/>
      <c r="O131" s="332"/>
      <c r="P131" s="332"/>
      <c r="Q131" s="332"/>
      <c r="R131" s="332"/>
      <c r="S131" s="331"/>
      <c r="T131" s="331"/>
      <c r="U131" s="331"/>
      <c r="V131" s="329" t="s">
        <v>131</v>
      </c>
      <c r="W131" s="329"/>
      <c r="X131" s="329"/>
      <c r="Y131" s="329"/>
      <c r="Z131" s="329"/>
      <c r="AA131" s="329"/>
      <c r="AB131" s="89"/>
      <c r="AC131" s="89">
        <f>SUM(AC132)</f>
        <v>268000</v>
      </c>
      <c r="AD131" s="90" t="s">
        <v>25</v>
      </c>
      <c r="AE131" s="17"/>
    </row>
    <row r="132" spans="1:31" s="16" customFormat="1" ht="24" customHeight="1">
      <c r="A132" s="328"/>
      <c r="B132" s="328"/>
      <c r="C132" s="328"/>
      <c r="D132" s="133"/>
      <c r="E132" s="133"/>
      <c r="F132" s="133"/>
      <c r="G132" s="133"/>
      <c r="H132" s="133"/>
      <c r="I132" s="133"/>
      <c r="J132" s="133"/>
      <c r="K132" s="133"/>
      <c r="L132" s="87"/>
      <c r="M132" s="332" t="s">
        <v>246</v>
      </c>
      <c r="N132" s="332"/>
      <c r="O132" s="332"/>
      <c r="P132" s="332"/>
      <c r="Q132" s="331">
        <v>6700</v>
      </c>
      <c r="R132" s="331"/>
      <c r="S132" s="61" t="s">
        <v>57</v>
      </c>
      <c r="T132" s="61" t="s">
        <v>26</v>
      </c>
      <c r="U132" s="331">
        <v>10</v>
      </c>
      <c r="V132" s="331" t="s">
        <v>75</v>
      </c>
      <c r="W132" s="375" t="s">
        <v>58</v>
      </c>
      <c r="X132" s="374">
        <v>4</v>
      </c>
      <c r="Y132" s="374" t="s">
        <v>56</v>
      </c>
      <c r="Z132" s="218" t="s">
        <v>53</v>
      </c>
      <c r="AA132" s="333" t="s">
        <v>263</v>
      </c>
      <c r="AB132" s="331"/>
      <c r="AC132" s="331">
        <f>Q132*U132*X132</f>
        <v>268000</v>
      </c>
      <c r="AD132" s="64" t="s">
        <v>25</v>
      </c>
      <c r="AE132" s="17"/>
    </row>
    <row r="133" spans="1:31" s="16" customFormat="1" ht="24" customHeight="1">
      <c r="A133" s="328"/>
      <c r="B133" s="328"/>
      <c r="C133" s="328"/>
      <c r="D133" s="133"/>
      <c r="E133" s="133"/>
      <c r="F133" s="133"/>
      <c r="G133" s="133"/>
      <c r="H133" s="133"/>
      <c r="I133" s="133"/>
      <c r="J133" s="133"/>
      <c r="K133" s="133"/>
      <c r="L133" s="87"/>
      <c r="M133" s="332"/>
      <c r="N133" s="332"/>
      <c r="O133" s="332"/>
      <c r="P133" s="332"/>
      <c r="Q133" s="331"/>
      <c r="R133" s="331"/>
      <c r="S133" s="61"/>
      <c r="T133" s="61"/>
      <c r="U133" s="331"/>
      <c r="V133" s="331"/>
      <c r="W133" s="234"/>
      <c r="X133" s="164"/>
      <c r="Y133" s="92"/>
      <c r="Z133" s="218"/>
      <c r="AA133" s="331"/>
      <c r="AB133" s="331"/>
      <c r="AC133" s="331"/>
      <c r="AD133" s="64"/>
      <c r="AE133" s="17"/>
    </row>
    <row r="134" spans="1:31" s="16" customFormat="1" ht="24" customHeight="1">
      <c r="A134" s="328"/>
      <c r="B134" s="328"/>
      <c r="C134" s="328"/>
      <c r="D134" s="133"/>
      <c r="E134" s="133"/>
      <c r="F134" s="133"/>
      <c r="G134" s="133"/>
      <c r="H134" s="133"/>
      <c r="I134" s="133"/>
      <c r="J134" s="133"/>
      <c r="K134" s="133"/>
      <c r="L134" s="87"/>
      <c r="M134" s="88" t="s">
        <v>247</v>
      </c>
      <c r="N134" s="330"/>
      <c r="O134" s="332"/>
      <c r="P134" s="332"/>
      <c r="Q134" s="332"/>
      <c r="R134" s="332"/>
      <c r="S134" s="331"/>
      <c r="T134" s="331"/>
      <c r="U134" s="331"/>
      <c r="V134" s="329" t="s">
        <v>131</v>
      </c>
      <c r="W134" s="329"/>
      <c r="X134" s="329"/>
      <c r="Y134" s="329"/>
      <c r="Z134" s="329"/>
      <c r="AA134" s="329"/>
      <c r="AB134" s="89"/>
      <c r="AC134" s="89">
        <f>SUM(AC135)</f>
        <v>120000</v>
      </c>
      <c r="AD134" s="90" t="s">
        <v>25</v>
      </c>
      <c r="AE134" s="17"/>
    </row>
    <row r="135" spans="1:31" s="16" customFormat="1" ht="24" customHeight="1">
      <c r="A135" s="328"/>
      <c r="B135" s="328"/>
      <c r="C135" s="328"/>
      <c r="D135" s="133"/>
      <c r="E135" s="133"/>
      <c r="F135" s="133"/>
      <c r="G135" s="133"/>
      <c r="H135" s="133"/>
      <c r="I135" s="133"/>
      <c r="J135" s="133"/>
      <c r="K135" s="133"/>
      <c r="L135" s="87"/>
      <c r="M135" s="332" t="s">
        <v>248</v>
      </c>
      <c r="N135" s="332"/>
      <c r="O135" s="332"/>
      <c r="P135" s="332"/>
      <c r="Q135" s="331">
        <v>30000</v>
      </c>
      <c r="R135" s="331"/>
      <c r="S135" s="331" t="s">
        <v>57</v>
      </c>
      <c r="T135" s="332" t="s">
        <v>58</v>
      </c>
      <c r="U135" s="373">
        <v>4</v>
      </c>
      <c r="V135" s="373" t="s">
        <v>56</v>
      </c>
      <c r="W135" s="332"/>
      <c r="X135" s="331"/>
      <c r="Y135" s="331"/>
      <c r="Z135" s="331" t="s">
        <v>53</v>
      </c>
      <c r="AA135" s="331" t="s">
        <v>298</v>
      </c>
      <c r="AB135" s="84"/>
      <c r="AC135" s="84">
        <f>Q135*U135</f>
        <v>120000</v>
      </c>
      <c r="AD135" s="64" t="s">
        <v>25</v>
      </c>
      <c r="AE135" s="17"/>
    </row>
    <row r="136" spans="1:31" s="16" customFormat="1" ht="24" customHeight="1">
      <c r="A136" s="328"/>
      <c r="B136" s="328"/>
      <c r="C136" s="328"/>
      <c r="D136" s="133"/>
      <c r="E136" s="133"/>
      <c r="F136" s="133"/>
      <c r="G136" s="133"/>
      <c r="H136" s="133"/>
      <c r="I136" s="133"/>
      <c r="J136" s="133"/>
      <c r="K136" s="133"/>
      <c r="L136" s="87"/>
      <c r="M136" s="332"/>
      <c r="N136" s="332"/>
      <c r="O136" s="332"/>
      <c r="P136" s="332"/>
      <c r="Q136" s="331"/>
      <c r="R136" s="331"/>
      <c r="S136" s="61"/>
      <c r="T136" s="61"/>
      <c r="U136" s="331"/>
      <c r="V136" s="331"/>
      <c r="W136" s="234"/>
      <c r="X136" s="164"/>
      <c r="Y136" s="92"/>
      <c r="Z136" s="218"/>
      <c r="AA136" s="331"/>
      <c r="AB136" s="331"/>
      <c r="AC136" s="331"/>
      <c r="AD136" s="64"/>
      <c r="AE136" s="17"/>
    </row>
    <row r="137" spans="1:31" s="16" customFormat="1" ht="24" customHeight="1">
      <c r="A137" s="52"/>
      <c r="B137" s="52"/>
      <c r="C137" s="52"/>
      <c r="D137" s="133"/>
      <c r="E137" s="133"/>
      <c r="F137" s="133"/>
      <c r="G137" s="133"/>
      <c r="H137" s="133"/>
      <c r="I137" s="133"/>
      <c r="J137" s="133"/>
      <c r="K137" s="133"/>
      <c r="L137" s="87"/>
      <c r="M137" s="88" t="s">
        <v>249</v>
      </c>
      <c r="N137" s="140"/>
      <c r="O137" s="213"/>
      <c r="P137" s="34"/>
      <c r="Q137" s="34"/>
      <c r="R137" s="34"/>
      <c r="S137" s="34"/>
      <c r="T137" s="34"/>
      <c r="U137" s="34"/>
      <c r="V137" s="207" t="s">
        <v>131</v>
      </c>
      <c r="W137" s="207"/>
      <c r="X137" s="207"/>
      <c r="Y137" s="207"/>
      <c r="Z137" s="207"/>
      <c r="AA137" s="207"/>
      <c r="AB137" s="89"/>
      <c r="AC137" s="89">
        <f>SUM(AC138:AC141)</f>
        <v>1360000</v>
      </c>
      <c r="AD137" s="90" t="s">
        <v>25</v>
      </c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170" t="s">
        <v>250</v>
      </c>
      <c r="N138" s="170"/>
      <c r="O138" s="170"/>
      <c r="P138" s="170"/>
      <c r="Q138" s="251">
        <v>20000</v>
      </c>
      <c r="R138" s="278"/>
      <c r="S138" s="61" t="s">
        <v>57</v>
      </c>
      <c r="T138" s="61" t="s">
        <v>26</v>
      </c>
      <c r="U138" s="251">
        <v>4</v>
      </c>
      <c r="V138" s="251" t="s">
        <v>184</v>
      </c>
      <c r="W138" s="234"/>
      <c r="X138" s="164"/>
      <c r="Y138" s="92"/>
      <c r="Z138" s="218" t="s">
        <v>53</v>
      </c>
      <c r="AA138" s="331" t="s">
        <v>259</v>
      </c>
      <c r="AB138" s="251"/>
      <c r="AC138" s="251">
        <f>Q138*U138</f>
        <v>80000</v>
      </c>
      <c r="AD138" s="64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170" t="s">
        <v>251</v>
      </c>
      <c r="N139" s="170"/>
      <c r="O139" s="170"/>
      <c r="P139" s="170"/>
      <c r="Q139" s="251">
        <v>150000</v>
      </c>
      <c r="R139" s="278"/>
      <c r="S139" s="61" t="s">
        <v>57</v>
      </c>
      <c r="T139" s="61" t="s">
        <v>26</v>
      </c>
      <c r="U139" s="251">
        <v>4</v>
      </c>
      <c r="V139" s="331" t="s">
        <v>56</v>
      </c>
      <c r="W139" s="234"/>
      <c r="X139" s="164"/>
      <c r="Y139" s="92"/>
      <c r="Z139" s="218" t="s">
        <v>53</v>
      </c>
      <c r="AA139" s="331" t="s">
        <v>259</v>
      </c>
      <c r="AB139" s="251"/>
      <c r="AC139" s="251">
        <f>Q139*U139</f>
        <v>600000</v>
      </c>
      <c r="AD139" s="64" t="s">
        <v>25</v>
      </c>
      <c r="AE139" s="17"/>
    </row>
    <row r="140" spans="1:31" s="16" customFormat="1" ht="24" customHeight="1">
      <c r="A140" s="52"/>
      <c r="B140" s="52"/>
      <c r="C140" s="52"/>
      <c r="D140" s="133"/>
      <c r="E140" s="133"/>
      <c r="F140" s="133"/>
      <c r="G140" s="133"/>
      <c r="H140" s="133"/>
      <c r="I140" s="133"/>
      <c r="J140" s="133"/>
      <c r="K140" s="133"/>
      <c r="L140" s="87"/>
      <c r="M140" s="170" t="s">
        <v>312</v>
      </c>
      <c r="N140" s="170"/>
      <c r="O140" s="170"/>
      <c r="P140" s="170"/>
      <c r="Q140" s="331">
        <v>150000</v>
      </c>
      <c r="R140" s="331"/>
      <c r="S140" s="61" t="s">
        <v>57</v>
      </c>
      <c r="T140" s="61" t="s">
        <v>26</v>
      </c>
      <c r="U140" s="331">
        <v>4</v>
      </c>
      <c r="V140" s="331" t="s">
        <v>56</v>
      </c>
      <c r="W140" s="234"/>
      <c r="X140" s="164"/>
      <c r="Y140" s="92"/>
      <c r="Z140" s="218" t="s">
        <v>53</v>
      </c>
      <c r="AA140" s="331" t="s">
        <v>259</v>
      </c>
      <c r="AB140" s="331"/>
      <c r="AC140" s="331">
        <f>Q140*U140</f>
        <v>600000</v>
      </c>
      <c r="AD140" s="64" t="s">
        <v>25</v>
      </c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170" t="s">
        <v>252</v>
      </c>
      <c r="N141" s="170"/>
      <c r="O141" s="170"/>
      <c r="P141" s="170"/>
      <c r="Q141" s="300">
        <v>20000</v>
      </c>
      <c r="R141" s="170"/>
      <c r="S141" s="170" t="s">
        <v>203</v>
      </c>
      <c r="T141" s="61" t="s">
        <v>26</v>
      </c>
      <c r="U141" s="170">
        <v>4</v>
      </c>
      <c r="V141" s="170" t="s">
        <v>56</v>
      </c>
      <c r="W141" s="170"/>
      <c r="X141" s="170"/>
      <c r="Y141" s="170"/>
      <c r="Z141" s="170" t="s">
        <v>207</v>
      </c>
      <c r="AA141" s="170" t="s">
        <v>110</v>
      </c>
      <c r="AB141" s="170"/>
      <c r="AC141" s="171">
        <f>Q141*U141</f>
        <v>80000</v>
      </c>
      <c r="AD141" s="172" t="s">
        <v>205</v>
      </c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1"/>
      <c r="AD142" s="172"/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88" t="s">
        <v>255</v>
      </c>
      <c r="N143" s="140"/>
      <c r="O143" s="213"/>
      <c r="P143" s="34"/>
      <c r="Q143" s="34"/>
      <c r="R143" s="34"/>
      <c r="S143" s="34"/>
      <c r="T143" s="34"/>
      <c r="U143" s="34"/>
      <c r="V143" s="207" t="s">
        <v>131</v>
      </c>
      <c r="W143" s="207"/>
      <c r="X143" s="207"/>
      <c r="Y143" s="207"/>
      <c r="Z143" s="207"/>
      <c r="AA143" s="207"/>
      <c r="AB143" s="89"/>
      <c r="AC143" s="89">
        <f>SUM(AC145)</f>
        <v>80000</v>
      </c>
      <c r="AD143" s="90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70" t="s">
        <v>256</v>
      </c>
      <c r="N144" s="170"/>
      <c r="O144" s="170"/>
      <c r="P144" s="170"/>
      <c r="Q144" s="293">
        <v>50000</v>
      </c>
      <c r="R144" s="293"/>
      <c r="S144" s="293" t="s">
        <v>57</v>
      </c>
      <c r="T144" s="294" t="s">
        <v>58</v>
      </c>
      <c r="U144" s="293">
        <v>4</v>
      </c>
      <c r="V144" s="293" t="s">
        <v>56</v>
      </c>
      <c r="W144" s="294" t="s">
        <v>58</v>
      </c>
      <c r="X144" s="293">
        <v>4</v>
      </c>
      <c r="Y144" s="293" t="s">
        <v>75</v>
      </c>
      <c r="Z144" s="293" t="s">
        <v>53</v>
      </c>
      <c r="AA144" s="371" t="s">
        <v>261</v>
      </c>
      <c r="AB144" s="372"/>
      <c r="AC144" s="372">
        <f>Q144*U144</f>
        <v>200000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70" t="s">
        <v>257</v>
      </c>
      <c r="N145" s="170"/>
      <c r="O145" s="170"/>
      <c r="P145" s="170"/>
      <c r="Q145" s="331">
        <v>10000</v>
      </c>
      <c r="R145" s="331"/>
      <c r="S145" s="61" t="s">
        <v>57</v>
      </c>
      <c r="T145" s="61" t="s">
        <v>26</v>
      </c>
      <c r="U145" s="331">
        <v>4</v>
      </c>
      <c r="V145" s="331" t="s">
        <v>56</v>
      </c>
      <c r="W145" s="380" t="s">
        <v>58</v>
      </c>
      <c r="X145" s="379">
        <v>2</v>
      </c>
      <c r="Y145" s="379" t="s">
        <v>75</v>
      </c>
      <c r="Z145" s="218" t="s">
        <v>53</v>
      </c>
      <c r="AA145" s="331" t="s">
        <v>259</v>
      </c>
      <c r="AB145" s="331"/>
      <c r="AC145" s="331">
        <f>Q145*U145*X145</f>
        <v>80000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1"/>
      <c r="AD146" s="172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88" t="s">
        <v>253</v>
      </c>
      <c r="N147" s="140"/>
      <c r="O147" s="221"/>
      <c r="P147" s="34"/>
      <c r="Q147" s="34"/>
      <c r="R147" s="34"/>
      <c r="S147" s="34"/>
      <c r="T147" s="34"/>
      <c r="U147" s="34"/>
      <c r="V147" s="329" t="s">
        <v>131</v>
      </c>
      <c r="W147" s="329"/>
      <c r="X147" s="329"/>
      <c r="Y147" s="329"/>
      <c r="Z147" s="329"/>
      <c r="AA147" s="329"/>
      <c r="AB147" s="89"/>
      <c r="AC147" s="89">
        <f>SUM(AC148)</f>
        <v>80000</v>
      </c>
      <c r="AD147" s="90" t="s">
        <v>25</v>
      </c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332" t="s">
        <v>254</v>
      </c>
      <c r="N148" s="332"/>
      <c r="O148" s="332"/>
      <c r="P148" s="332"/>
      <c r="Q148" s="331">
        <v>10000</v>
      </c>
      <c r="R148" s="331"/>
      <c r="S148" s="331" t="s">
        <v>57</v>
      </c>
      <c r="T148" s="332" t="s">
        <v>58</v>
      </c>
      <c r="U148" s="331">
        <v>2</v>
      </c>
      <c r="V148" s="331" t="s">
        <v>75</v>
      </c>
      <c r="W148" s="332" t="s">
        <v>58</v>
      </c>
      <c r="X148" s="331">
        <v>4</v>
      </c>
      <c r="Y148" s="331" t="s">
        <v>56</v>
      </c>
      <c r="Z148" s="331" t="s">
        <v>53</v>
      </c>
      <c r="AA148" s="331" t="s">
        <v>259</v>
      </c>
      <c r="AB148" s="84"/>
      <c r="AC148" s="84">
        <f t="shared" ref="AC148" si="13">Q148*U148*X148</f>
        <v>80000</v>
      </c>
      <c r="AD148" s="64" t="s">
        <v>25</v>
      </c>
      <c r="AE148" s="17"/>
    </row>
    <row r="149" spans="1:31" s="16" customFormat="1" ht="24" customHeight="1">
      <c r="A149" s="347"/>
      <c r="B149" s="347"/>
      <c r="C149" s="53"/>
      <c r="D149" s="133"/>
      <c r="E149" s="133"/>
      <c r="F149" s="133"/>
      <c r="G149" s="133"/>
      <c r="H149" s="133"/>
      <c r="I149" s="133"/>
      <c r="J149" s="133"/>
      <c r="K149" s="133"/>
      <c r="L149" s="87"/>
      <c r="M149" s="380"/>
      <c r="N149" s="380"/>
      <c r="O149" s="380"/>
      <c r="P149" s="380"/>
      <c r="Q149" s="379"/>
      <c r="R149" s="379"/>
      <c r="S149" s="379"/>
      <c r="T149" s="380"/>
      <c r="U149" s="379"/>
      <c r="V149" s="379"/>
      <c r="W149" s="380"/>
      <c r="X149" s="379"/>
      <c r="Y149" s="379"/>
      <c r="Z149" s="379"/>
      <c r="AA149" s="379"/>
      <c r="AB149" s="84"/>
      <c r="AC149" s="84"/>
      <c r="AD149" s="64"/>
      <c r="AE149" s="17"/>
    </row>
    <row r="150" spans="1:31" s="16" customFormat="1" ht="24" customHeight="1">
      <c r="A150" s="347"/>
      <c r="B150" s="347"/>
      <c r="C150" s="53"/>
      <c r="D150" s="133"/>
      <c r="E150" s="133"/>
      <c r="F150" s="133"/>
      <c r="G150" s="133"/>
      <c r="H150" s="133"/>
      <c r="I150" s="133"/>
      <c r="J150" s="133"/>
      <c r="K150" s="133"/>
      <c r="L150" s="87"/>
      <c r="M150" s="380" t="s">
        <v>332</v>
      </c>
      <c r="N150" s="380"/>
      <c r="O150" s="380"/>
      <c r="P150" s="380"/>
      <c r="Q150" s="379"/>
      <c r="R150" s="379"/>
      <c r="S150" s="379"/>
      <c r="T150" s="380"/>
      <c r="U150" s="379"/>
      <c r="V150" s="377" t="s">
        <v>331</v>
      </c>
      <c r="W150" s="378"/>
      <c r="X150" s="377"/>
      <c r="Y150" s="377"/>
      <c r="Z150" s="377"/>
      <c r="AA150" s="377"/>
      <c r="AB150" s="89"/>
      <c r="AC150" s="89">
        <f>AC151+AC152</f>
        <v>90000</v>
      </c>
      <c r="AD150" s="90" t="s">
        <v>25</v>
      </c>
      <c r="AE150" s="17"/>
    </row>
    <row r="151" spans="1:31" s="16" customFormat="1" ht="24" customHeight="1">
      <c r="A151" s="347"/>
      <c r="B151" s="347"/>
      <c r="C151" s="53"/>
      <c r="D151" s="133"/>
      <c r="E151" s="133"/>
      <c r="F151" s="133"/>
      <c r="G151" s="133"/>
      <c r="H151" s="133"/>
      <c r="I151" s="133"/>
      <c r="J151" s="133"/>
      <c r="K151" s="133"/>
      <c r="L151" s="87"/>
      <c r="M151" s="380" t="s">
        <v>333</v>
      </c>
      <c r="N151" s="380"/>
      <c r="O151" s="380"/>
      <c r="P151" s="380"/>
      <c r="Q151" s="379">
        <v>50000</v>
      </c>
      <c r="R151" s="379"/>
      <c r="S151" s="379" t="s">
        <v>25</v>
      </c>
      <c r="T151" s="380" t="s">
        <v>26</v>
      </c>
      <c r="U151" s="379">
        <v>1</v>
      </c>
      <c r="V151" s="379" t="s">
        <v>321</v>
      </c>
      <c r="W151" s="380"/>
      <c r="X151" s="379"/>
      <c r="Y151" s="379"/>
      <c r="Z151" s="379" t="s">
        <v>27</v>
      </c>
      <c r="AA151" s="379" t="s">
        <v>297</v>
      </c>
      <c r="AB151" s="84"/>
      <c r="AC151" s="84">
        <f>Q151*U151</f>
        <v>50000</v>
      </c>
      <c r="AD151" s="64" t="s">
        <v>25</v>
      </c>
      <c r="AE151" s="17"/>
    </row>
    <row r="152" spans="1:31" s="16" customFormat="1" ht="24" customHeight="1">
      <c r="A152" s="347"/>
      <c r="B152" s="347"/>
      <c r="C152" s="53"/>
      <c r="D152" s="133"/>
      <c r="E152" s="133"/>
      <c r="F152" s="133"/>
      <c r="G152" s="133"/>
      <c r="H152" s="133"/>
      <c r="I152" s="133"/>
      <c r="J152" s="133"/>
      <c r="K152" s="133"/>
      <c r="L152" s="87"/>
      <c r="M152" s="380" t="s">
        <v>334</v>
      </c>
      <c r="N152" s="380"/>
      <c r="O152" s="380"/>
      <c r="P152" s="380"/>
      <c r="Q152" s="379">
        <v>40000</v>
      </c>
      <c r="R152" s="379"/>
      <c r="S152" s="379" t="s">
        <v>25</v>
      </c>
      <c r="T152" s="380" t="s">
        <v>26</v>
      </c>
      <c r="U152" s="379">
        <v>1</v>
      </c>
      <c r="V152" s="379" t="s">
        <v>321</v>
      </c>
      <c r="W152" s="380"/>
      <c r="X152" s="379"/>
      <c r="Y152" s="379"/>
      <c r="Z152" s="379" t="s">
        <v>27</v>
      </c>
      <c r="AA152" s="379" t="s">
        <v>297</v>
      </c>
      <c r="AB152" s="84"/>
      <c r="AC152" s="84">
        <v>40000</v>
      </c>
      <c r="AD152" s="64" t="s">
        <v>25</v>
      </c>
      <c r="AE152" s="17"/>
    </row>
    <row r="153" spans="1:31" s="16" customFormat="1" ht="24" customHeight="1">
      <c r="A153" s="66"/>
      <c r="B153" s="66"/>
      <c r="C153" s="134"/>
      <c r="D153" s="135"/>
      <c r="E153" s="135"/>
      <c r="F153" s="135"/>
      <c r="G153" s="135"/>
      <c r="H153" s="135"/>
      <c r="I153" s="135"/>
      <c r="J153" s="135"/>
      <c r="K153" s="133"/>
      <c r="L153" s="87"/>
      <c r="M153" s="56"/>
      <c r="N153" s="56"/>
      <c r="O153" s="56"/>
      <c r="P153" s="56"/>
      <c r="Q153" s="56"/>
      <c r="R153" s="279"/>
      <c r="S153" s="57"/>
      <c r="T153" s="57"/>
      <c r="U153" s="57"/>
      <c r="V153" s="57"/>
      <c r="W153" s="57"/>
      <c r="X153" s="168"/>
      <c r="Y153" s="168"/>
      <c r="Z153" s="168"/>
      <c r="AA153" s="168"/>
      <c r="AB153" s="169"/>
      <c r="AC153" s="57"/>
      <c r="AD153" s="64"/>
      <c r="AE153" s="17"/>
    </row>
    <row r="154" spans="1:31" s="12" customFormat="1" ht="21" customHeight="1">
      <c r="A154" s="136" t="s">
        <v>152</v>
      </c>
      <c r="B154" s="565" t="s">
        <v>21</v>
      </c>
      <c r="C154" s="566"/>
      <c r="D154" s="200">
        <v>203</v>
      </c>
      <c r="E154" s="200">
        <f>SUM(E155)</f>
        <v>207.131</v>
      </c>
      <c r="F154" s="200">
        <f t="shared" ref="F154:J154" si="14">SUM(F155)</f>
        <v>7.1310000000000002</v>
      </c>
      <c r="G154" s="200">
        <f t="shared" si="14"/>
        <v>200</v>
      </c>
      <c r="H154" s="200">
        <f t="shared" si="14"/>
        <v>0</v>
      </c>
      <c r="I154" s="200">
        <v>0</v>
      </c>
      <c r="J154" s="200">
        <f t="shared" si="14"/>
        <v>0</v>
      </c>
      <c r="K154" s="200">
        <f>E154-D154</f>
        <v>4.1310000000000002</v>
      </c>
      <c r="L154" s="201">
        <f>IF(D154=0,0,K154/D154)</f>
        <v>2.0349753694581283E-2</v>
      </c>
      <c r="M154" s="363" t="s">
        <v>155</v>
      </c>
      <c r="N154" s="364"/>
      <c r="O154" s="364"/>
      <c r="P154" s="364"/>
      <c r="Q154" s="365"/>
      <c r="R154" s="365"/>
      <c r="S154" s="365"/>
      <c r="T154" s="365"/>
      <c r="U154" s="365"/>
      <c r="V154" s="365"/>
      <c r="W154" s="365"/>
      <c r="X154" s="365"/>
      <c r="Y154" s="365"/>
      <c r="Z154" s="365"/>
      <c r="AA154" s="365"/>
      <c r="AB154" s="365"/>
      <c r="AC154" s="365">
        <f>SUM(AC155)</f>
        <v>207131</v>
      </c>
      <c r="AD154" s="204" t="s">
        <v>25</v>
      </c>
      <c r="AE154" s="1"/>
    </row>
    <row r="155" spans="1:31" s="12" customFormat="1" ht="21" customHeight="1">
      <c r="A155" s="229" t="s">
        <v>154</v>
      </c>
      <c r="B155" s="52" t="s">
        <v>152</v>
      </c>
      <c r="C155" s="52" t="s">
        <v>152</v>
      </c>
      <c r="D155" s="133">
        <v>203</v>
      </c>
      <c r="E155" s="133">
        <f>AC155/1000</f>
        <v>207.131</v>
      </c>
      <c r="F155" s="133">
        <f>SUM(AC156)/1000</f>
        <v>7.1310000000000002</v>
      </c>
      <c r="G155" s="133">
        <f>AC157/1000</f>
        <v>200</v>
      </c>
      <c r="H155" s="133">
        <v>0</v>
      </c>
      <c r="I155" s="133">
        <v>0</v>
      </c>
      <c r="J155" s="133">
        <v>0</v>
      </c>
      <c r="K155" s="133">
        <f>E155-D155</f>
        <v>4.1310000000000002</v>
      </c>
      <c r="L155" s="87">
        <f>IF(D155=0,0,K155/D155)</f>
        <v>2.0349753694581283E-2</v>
      </c>
      <c r="M155" s="140" t="s">
        <v>156</v>
      </c>
      <c r="N155" s="38"/>
      <c r="O155" s="38"/>
      <c r="P155" s="38"/>
      <c r="Q155" s="38"/>
      <c r="R155" s="221"/>
      <c r="S155" s="39"/>
      <c r="T155" s="39"/>
      <c r="U155" s="39"/>
      <c r="V155" s="39"/>
      <c r="W155" s="39"/>
      <c r="X155" s="203" t="s">
        <v>137</v>
      </c>
      <c r="Y155" s="124"/>
      <c r="Z155" s="124"/>
      <c r="AA155" s="124"/>
      <c r="AB155" s="142"/>
      <c r="AC155" s="142">
        <f>SUM(AC156:AC157)</f>
        <v>207131</v>
      </c>
      <c r="AD155" s="143" t="s">
        <v>25</v>
      </c>
      <c r="AE155" s="1"/>
    </row>
    <row r="156" spans="1:31" ht="21" customHeight="1">
      <c r="A156" s="51"/>
      <c r="B156" s="52" t="s">
        <v>153</v>
      </c>
      <c r="C156" s="52" t="s">
        <v>153</v>
      </c>
      <c r="D156" s="133"/>
      <c r="E156" s="133"/>
      <c r="F156" s="133"/>
      <c r="G156" s="133"/>
      <c r="H156" s="133"/>
      <c r="I156" s="133"/>
      <c r="J156" s="133"/>
      <c r="K156" s="133"/>
      <c r="L156" s="87"/>
      <c r="M156" s="341" t="s">
        <v>189</v>
      </c>
      <c r="N156" s="282"/>
      <c r="O156" s="282"/>
      <c r="P156" s="282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>
        <v>7131</v>
      </c>
      <c r="AD156" s="64" t="s">
        <v>25</v>
      </c>
    </row>
    <row r="157" spans="1:31" ht="21" customHeight="1" thickBot="1">
      <c r="A157" s="287"/>
      <c r="B157" s="288"/>
      <c r="C157" s="288"/>
      <c r="D157" s="289"/>
      <c r="E157" s="289"/>
      <c r="F157" s="289"/>
      <c r="G157" s="289"/>
      <c r="H157" s="289"/>
      <c r="I157" s="289"/>
      <c r="J157" s="289"/>
      <c r="K157" s="289"/>
      <c r="L157" s="290"/>
      <c r="M157" s="335" t="s">
        <v>269</v>
      </c>
      <c r="N157" s="336"/>
      <c r="O157" s="336"/>
      <c r="P157" s="336"/>
      <c r="Q157" s="337"/>
      <c r="R157" s="337"/>
      <c r="S157" s="337"/>
      <c r="T157" s="337"/>
      <c r="U157" s="337"/>
      <c r="V157" s="337"/>
      <c r="W157" s="337"/>
      <c r="X157" s="337"/>
      <c r="Y157" s="337"/>
      <c r="Z157" s="337"/>
      <c r="AA157" s="337"/>
      <c r="AB157" s="337"/>
      <c r="AC157" s="337">
        <v>200000</v>
      </c>
      <c r="AD157" s="338" t="s">
        <v>262</v>
      </c>
    </row>
    <row r="159" spans="1:31" ht="21" customHeight="1">
      <c r="E159" s="564"/>
      <c r="F159" s="564"/>
      <c r="G159" s="564"/>
      <c r="H159" s="564"/>
      <c r="J159" s="564"/>
      <c r="K159" s="564"/>
    </row>
  </sheetData>
  <mergeCells count="17">
    <mergeCell ref="E159:F159"/>
    <mergeCell ref="G159:H159"/>
    <mergeCell ref="J159:K159"/>
    <mergeCell ref="B154:C154"/>
    <mergeCell ref="B96:C96"/>
    <mergeCell ref="B82:C82"/>
    <mergeCell ref="U78:V78"/>
    <mergeCell ref="U51:V51"/>
    <mergeCell ref="U56:V56"/>
    <mergeCell ref="M2:AD3"/>
    <mergeCell ref="A1:C1"/>
    <mergeCell ref="B5:C5"/>
    <mergeCell ref="A4:C4"/>
    <mergeCell ref="K2:L2"/>
    <mergeCell ref="A2:C2"/>
    <mergeCell ref="D2:D3"/>
    <mergeCell ref="E2:J2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&amp;R&amp;10장애인공동생활가정 바르나바의 집</oddFooter>
    <evenFooter>&amp;R장애인공동생활가정 바르나바의집</evenFooter>
    <firstFooter>&amp;R&amp;10장애인공동생활가정 바르나바의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tabSelected="1" topLeftCell="A4" workbookViewId="0">
      <selection activeCell="K7" sqref="K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572" t="s">
        <v>381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</row>
    <row r="2" spans="1:14" ht="34.5" customHeight="1">
      <c r="A2" s="573" t="s">
        <v>382</v>
      </c>
      <c r="B2" s="574"/>
      <c r="C2" s="575"/>
      <c r="D2" s="576" t="s">
        <v>383</v>
      </c>
      <c r="E2" s="575"/>
      <c r="F2" s="577" t="s">
        <v>384</v>
      </c>
      <c r="G2" s="579" t="s">
        <v>385</v>
      </c>
      <c r="H2" s="580"/>
      <c r="I2" s="580"/>
      <c r="J2" s="580"/>
      <c r="K2" s="583" t="s">
        <v>386</v>
      </c>
      <c r="L2" s="408"/>
      <c r="M2" s="408"/>
      <c r="N2" s="408"/>
    </row>
    <row r="3" spans="1:14" ht="35.25" customHeight="1" thickBot="1">
      <c r="A3" s="409" t="s">
        <v>387</v>
      </c>
      <c r="B3" s="410" t="s">
        <v>388</v>
      </c>
      <c r="C3" s="411" t="s">
        <v>389</v>
      </c>
      <c r="D3" s="412" t="s">
        <v>390</v>
      </c>
      <c r="E3" s="412" t="s">
        <v>391</v>
      </c>
      <c r="F3" s="578"/>
      <c r="G3" s="581"/>
      <c r="H3" s="582"/>
      <c r="I3" s="582"/>
      <c r="J3" s="582"/>
      <c r="K3" s="584"/>
      <c r="L3" s="408"/>
      <c r="M3" s="408"/>
      <c r="N3" s="408"/>
    </row>
    <row r="4" spans="1:14" ht="36.75" customHeight="1" thickBot="1">
      <c r="A4" s="569" t="s">
        <v>392</v>
      </c>
      <c r="B4" s="570"/>
      <c r="C4" s="571"/>
      <c r="D4" s="413">
        <f>SUM(D5:D18)</f>
        <v>64289000</v>
      </c>
      <c r="E4" s="414">
        <f>SUM(E5:E18)</f>
        <v>67450096</v>
      </c>
      <c r="F4" s="415">
        <f t="shared" ref="F4:F18" si="0">E4-D4</f>
        <v>3161096</v>
      </c>
      <c r="G4" s="416"/>
      <c r="H4" s="416"/>
      <c r="I4" s="416"/>
      <c r="J4" s="416"/>
      <c r="K4" s="417"/>
      <c r="L4" s="408"/>
      <c r="M4" s="408"/>
      <c r="N4" s="408"/>
    </row>
    <row r="5" spans="1:14" ht="46.5" customHeight="1" thickBot="1">
      <c r="A5" s="418" t="s">
        <v>393</v>
      </c>
      <c r="B5" s="419" t="s">
        <v>393</v>
      </c>
      <c r="C5" s="420" t="s">
        <v>393</v>
      </c>
      <c r="D5" s="421">
        <v>7200000</v>
      </c>
      <c r="E5" s="422">
        <v>7200000</v>
      </c>
      <c r="F5" s="423">
        <f t="shared" si="0"/>
        <v>0</v>
      </c>
      <c r="G5" s="424">
        <v>250000</v>
      </c>
      <c r="H5" s="425">
        <v>25</v>
      </c>
      <c r="I5" s="426">
        <v>12</v>
      </c>
      <c r="J5" s="427">
        <f>G5*H5*I5</f>
        <v>75000000</v>
      </c>
      <c r="K5" s="428" t="s">
        <v>469</v>
      </c>
    </row>
    <row r="6" spans="1:14" ht="46.5" customHeight="1">
      <c r="A6" s="429" t="s">
        <v>394</v>
      </c>
      <c r="B6" s="430" t="s">
        <v>395</v>
      </c>
      <c r="C6" s="431" t="s">
        <v>396</v>
      </c>
      <c r="D6" s="432">
        <v>48125000</v>
      </c>
      <c r="E6" s="433">
        <f>세입!AB10</f>
        <v>48125000</v>
      </c>
      <c r="F6" s="434">
        <f t="shared" si="0"/>
        <v>0</v>
      </c>
      <c r="G6" s="320"/>
      <c r="H6" s="320"/>
      <c r="I6" s="320"/>
      <c r="J6" s="320"/>
      <c r="K6" s="435" t="s">
        <v>397</v>
      </c>
    </row>
    <row r="7" spans="1:14" ht="55.5" customHeight="1">
      <c r="A7" s="436"/>
      <c r="B7" s="437"/>
      <c r="C7" s="438" t="s">
        <v>398</v>
      </c>
      <c r="D7" s="432">
        <v>1550000</v>
      </c>
      <c r="E7" s="433">
        <f>세입!AB12</f>
        <v>1200000</v>
      </c>
      <c r="F7" s="434">
        <f t="shared" si="0"/>
        <v>-350000</v>
      </c>
      <c r="G7" s="320"/>
      <c r="H7" s="320"/>
      <c r="I7" s="320"/>
      <c r="J7" s="320"/>
      <c r="K7" s="439" t="s">
        <v>470</v>
      </c>
    </row>
    <row r="8" spans="1:14" ht="46.5" customHeight="1">
      <c r="A8" s="436"/>
      <c r="B8" s="437"/>
      <c r="C8" s="438" t="s">
        <v>399</v>
      </c>
      <c r="D8" s="432">
        <v>1000000</v>
      </c>
      <c r="E8" s="433">
        <f>세입!AB11</f>
        <v>2000000</v>
      </c>
      <c r="F8" s="434">
        <f t="shared" si="0"/>
        <v>1000000</v>
      </c>
      <c r="G8" s="320"/>
      <c r="H8" s="320"/>
      <c r="I8" s="320"/>
      <c r="J8" s="320"/>
      <c r="K8" s="440" t="s">
        <v>400</v>
      </c>
    </row>
    <row r="9" spans="1:14" ht="46.5" customHeight="1" thickBot="1">
      <c r="A9" s="436"/>
      <c r="B9" s="441" t="s">
        <v>401</v>
      </c>
      <c r="C9" s="438" t="s">
        <v>402</v>
      </c>
      <c r="D9" s="432">
        <v>200000</v>
      </c>
      <c r="E9" s="433">
        <f>세입!AB15</f>
        <v>200000</v>
      </c>
      <c r="F9" s="434">
        <f t="shared" si="0"/>
        <v>0</v>
      </c>
      <c r="G9" s="320"/>
      <c r="H9" s="320"/>
      <c r="I9" s="320"/>
      <c r="J9" s="320"/>
      <c r="K9" s="435" t="s">
        <v>397</v>
      </c>
    </row>
    <row r="10" spans="1:14" ht="55.5" customHeight="1">
      <c r="A10" s="442" t="s">
        <v>403</v>
      </c>
      <c r="B10" s="443" t="s">
        <v>403</v>
      </c>
      <c r="C10" s="444" t="s">
        <v>404</v>
      </c>
      <c r="D10" s="445">
        <v>0</v>
      </c>
      <c r="E10" s="446">
        <v>0</v>
      </c>
      <c r="F10" s="447">
        <f t="shared" si="0"/>
        <v>0</v>
      </c>
      <c r="G10" s="448"/>
      <c r="H10" s="448"/>
      <c r="I10" s="448"/>
      <c r="J10" s="448"/>
      <c r="K10" s="449" t="s">
        <v>397</v>
      </c>
    </row>
    <row r="11" spans="1:14" ht="35.25" customHeight="1" thickBot="1">
      <c r="A11" s="450"/>
      <c r="B11" s="451"/>
      <c r="C11" s="452" t="s">
        <v>405</v>
      </c>
      <c r="D11" s="453">
        <v>200000</v>
      </c>
      <c r="E11" s="454">
        <f>세입!AB18</f>
        <v>750000</v>
      </c>
      <c r="F11" s="455">
        <f t="shared" si="0"/>
        <v>550000</v>
      </c>
      <c r="G11" s="456"/>
      <c r="H11" s="456"/>
      <c r="I11" s="456"/>
      <c r="J11" s="456"/>
      <c r="K11" s="457" t="s">
        <v>461</v>
      </c>
    </row>
    <row r="12" spans="1:14" ht="57" customHeight="1" thickBot="1">
      <c r="A12" s="458" t="s">
        <v>406</v>
      </c>
      <c r="B12" s="419" t="s">
        <v>407</v>
      </c>
      <c r="C12" s="420" t="s">
        <v>408</v>
      </c>
      <c r="D12" s="421">
        <v>0</v>
      </c>
      <c r="E12" s="459">
        <v>0</v>
      </c>
      <c r="F12" s="423">
        <f t="shared" si="0"/>
        <v>0</v>
      </c>
      <c r="G12" s="460"/>
      <c r="H12" s="460"/>
      <c r="I12" s="460"/>
      <c r="J12" s="460"/>
      <c r="K12" s="428" t="s">
        <v>397</v>
      </c>
    </row>
    <row r="13" spans="1:14" ht="40.5" customHeight="1">
      <c r="A13" s="461" t="s">
        <v>409</v>
      </c>
      <c r="B13" s="462" t="s">
        <v>410</v>
      </c>
      <c r="C13" s="463" t="s">
        <v>411</v>
      </c>
      <c r="D13" s="464">
        <v>5000000</v>
      </c>
      <c r="E13" s="465">
        <f>세입!AB24</f>
        <v>6363524</v>
      </c>
      <c r="F13" s="466">
        <f t="shared" si="0"/>
        <v>1363524</v>
      </c>
      <c r="G13" s="320"/>
      <c r="H13" s="320"/>
      <c r="I13" s="320"/>
      <c r="J13" s="320"/>
      <c r="K13" s="467" t="s">
        <v>412</v>
      </c>
    </row>
    <row r="14" spans="1:14" ht="40.5" customHeight="1">
      <c r="A14" s="436"/>
      <c r="B14" s="468"/>
      <c r="C14" s="438" t="s">
        <v>413</v>
      </c>
      <c r="D14" s="432">
        <v>203000</v>
      </c>
      <c r="E14" s="433">
        <f>세입!AB22+세입!AB23</f>
        <v>207131</v>
      </c>
      <c r="F14" s="434">
        <f t="shared" si="0"/>
        <v>4131</v>
      </c>
      <c r="G14" s="320"/>
      <c r="H14" s="320"/>
      <c r="I14" s="320"/>
      <c r="J14" s="320"/>
      <c r="K14" s="469" t="s">
        <v>412</v>
      </c>
    </row>
    <row r="15" spans="1:14" ht="40.5" customHeight="1">
      <c r="A15" s="436"/>
      <c r="B15" s="468"/>
      <c r="C15" s="438" t="s">
        <v>414</v>
      </c>
      <c r="D15" s="432">
        <v>0</v>
      </c>
      <c r="E15" s="433">
        <f>세입!AB25</f>
        <v>484070</v>
      </c>
      <c r="F15" s="434">
        <f t="shared" si="0"/>
        <v>484070</v>
      </c>
      <c r="G15" s="320"/>
      <c r="H15" s="320"/>
      <c r="I15" s="320"/>
      <c r="J15" s="320"/>
      <c r="K15" s="469" t="s">
        <v>412</v>
      </c>
    </row>
    <row r="16" spans="1:14" ht="40.5" customHeight="1">
      <c r="A16" s="436"/>
      <c r="B16" s="470"/>
      <c r="C16" s="438" t="s">
        <v>415</v>
      </c>
      <c r="D16" s="432">
        <v>0</v>
      </c>
      <c r="E16" s="433">
        <v>0</v>
      </c>
      <c r="F16" s="434">
        <f t="shared" si="0"/>
        <v>0</v>
      </c>
      <c r="G16" s="320"/>
      <c r="H16" s="320"/>
      <c r="I16" s="320"/>
      <c r="J16" s="320"/>
      <c r="K16" s="469" t="s">
        <v>412</v>
      </c>
    </row>
    <row r="17" spans="1:11" ht="44.25" customHeight="1" thickBot="1">
      <c r="A17" s="450"/>
      <c r="B17" s="471" t="s">
        <v>416</v>
      </c>
      <c r="C17" s="452" t="s">
        <v>417</v>
      </c>
      <c r="D17" s="453">
        <v>800000</v>
      </c>
      <c r="E17" s="472">
        <f>세입!AB26</f>
        <v>900371</v>
      </c>
      <c r="F17" s="455">
        <f t="shared" si="0"/>
        <v>100371</v>
      </c>
      <c r="G17" s="321"/>
      <c r="H17" s="321"/>
      <c r="I17" s="321"/>
      <c r="J17" s="321"/>
      <c r="K17" s="473" t="s">
        <v>412</v>
      </c>
    </row>
    <row r="18" spans="1:11" ht="46.5" customHeight="1" thickBot="1">
      <c r="A18" s="418" t="s">
        <v>418</v>
      </c>
      <c r="B18" s="419" t="s">
        <v>418</v>
      </c>
      <c r="C18" s="420" t="s">
        <v>418</v>
      </c>
      <c r="D18" s="421">
        <v>11000</v>
      </c>
      <c r="E18" s="422">
        <f>세입!AB27</f>
        <v>20000</v>
      </c>
      <c r="F18" s="423">
        <f t="shared" si="0"/>
        <v>9000</v>
      </c>
      <c r="G18" s="424">
        <v>250000</v>
      </c>
      <c r="H18" s="425">
        <v>25</v>
      </c>
      <c r="I18" s="426">
        <v>12</v>
      </c>
      <c r="J18" s="427">
        <f>G18*H18*I18</f>
        <v>75000000</v>
      </c>
      <c r="K18" s="428" t="s">
        <v>462</v>
      </c>
    </row>
    <row r="19" spans="1:11" ht="46.5" customHeight="1">
      <c r="D19" s="474"/>
      <c r="E19" s="474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zoomScaleNormal="100" workbookViewId="0">
      <selection activeCell="K5" sqref="K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572" t="s">
        <v>419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</row>
    <row r="2" spans="1:14" ht="46.5" customHeight="1">
      <c r="A2" s="573" t="s">
        <v>382</v>
      </c>
      <c r="B2" s="574"/>
      <c r="C2" s="575"/>
      <c r="D2" s="576" t="s">
        <v>383</v>
      </c>
      <c r="E2" s="575"/>
      <c r="F2" s="577" t="s">
        <v>384</v>
      </c>
      <c r="G2" s="579" t="s">
        <v>385</v>
      </c>
      <c r="H2" s="580"/>
      <c r="I2" s="580"/>
      <c r="J2" s="580"/>
      <c r="K2" s="583" t="s">
        <v>386</v>
      </c>
      <c r="L2" s="408"/>
      <c r="M2" s="408"/>
      <c r="N2" s="408"/>
    </row>
    <row r="3" spans="1:14" ht="46.5" customHeight="1" thickBot="1">
      <c r="A3" s="409" t="s">
        <v>387</v>
      </c>
      <c r="B3" s="410" t="s">
        <v>388</v>
      </c>
      <c r="C3" s="411" t="s">
        <v>389</v>
      </c>
      <c r="D3" s="412" t="s">
        <v>390</v>
      </c>
      <c r="E3" s="412" t="s">
        <v>391</v>
      </c>
      <c r="F3" s="578"/>
      <c r="G3" s="581"/>
      <c r="H3" s="582"/>
      <c r="I3" s="582"/>
      <c r="J3" s="582"/>
      <c r="K3" s="584"/>
      <c r="L3" s="408"/>
      <c r="M3" s="408"/>
      <c r="N3" s="408"/>
    </row>
    <row r="4" spans="1:14" ht="46.5" customHeight="1" thickBot="1">
      <c r="A4" s="569" t="s">
        <v>392</v>
      </c>
      <c r="B4" s="570"/>
      <c r="C4" s="571"/>
      <c r="D4" s="413">
        <f>SUM(D5:D29)</f>
        <v>64289000</v>
      </c>
      <c r="E4" s="413">
        <f>SUM(E5:E29)</f>
        <v>67450096</v>
      </c>
      <c r="F4" s="415">
        <f t="shared" ref="F4:F29" si="0">E4-D4</f>
        <v>3161096</v>
      </c>
      <c r="G4" s="416"/>
      <c r="H4" s="416"/>
      <c r="I4" s="416"/>
      <c r="J4" s="416"/>
      <c r="K4" s="417"/>
      <c r="L4" s="408"/>
      <c r="M4" s="408"/>
      <c r="N4" s="408"/>
    </row>
    <row r="5" spans="1:14" ht="50.1" customHeight="1">
      <c r="A5" s="475" t="s">
        <v>420</v>
      </c>
      <c r="B5" s="476" t="s">
        <v>421</v>
      </c>
      <c r="C5" s="477" t="s">
        <v>422</v>
      </c>
      <c r="D5" s="445">
        <v>23658000</v>
      </c>
      <c r="E5" s="478">
        <f>세출!AC7</f>
        <v>23411000</v>
      </c>
      <c r="F5" s="447">
        <f t="shared" si="0"/>
        <v>-247000</v>
      </c>
      <c r="G5" s="479"/>
      <c r="H5" s="479"/>
      <c r="I5" s="479"/>
      <c r="J5" s="479"/>
      <c r="K5" s="449" t="s">
        <v>463</v>
      </c>
    </row>
    <row r="6" spans="1:14" ht="50.1" customHeight="1">
      <c r="A6" s="429"/>
      <c r="B6" s="462"/>
      <c r="C6" s="480" t="s">
        <v>423</v>
      </c>
      <c r="D6" s="464">
        <v>0</v>
      </c>
      <c r="E6" s="465">
        <v>0</v>
      </c>
      <c r="F6" s="434">
        <v>0</v>
      </c>
      <c r="G6" s="320"/>
      <c r="H6" s="320"/>
      <c r="I6" s="320"/>
      <c r="J6" s="320"/>
      <c r="K6" s="440" t="s">
        <v>424</v>
      </c>
    </row>
    <row r="7" spans="1:14" ht="50.1" customHeight="1">
      <c r="A7" s="436"/>
      <c r="B7" s="462"/>
      <c r="C7" s="431" t="s">
        <v>425</v>
      </c>
      <c r="D7" s="432">
        <v>8152450</v>
      </c>
      <c r="E7" s="433">
        <f>세출!AC11</f>
        <v>7741250</v>
      </c>
      <c r="F7" s="434">
        <f t="shared" si="0"/>
        <v>-411200</v>
      </c>
      <c r="G7" s="320"/>
      <c r="H7" s="320"/>
      <c r="I7" s="320"/>
      <c r="J7" s="320"/>
      <c r="K7" s="435" t="s">
        <v>463</v>
      </c>
    </row>
    <row r="8" spans="1:14" ht="50.1" customHeight="1">
      <c r="A8" s="436"/>
      <c r="B8" s="468"/>
      <c r="C8" s="438" t="s">
        <v>426</v>
      </c>
      <c r="D8" s="432">
        <v>2650800</v>
      </c>
      <c r="E8" s="433">
        <f>세출!AC27</f>
        <v>2596020</v>
      </c>
      <c r="F8" s="434">
        <f t="shared" si="0"/>
        <v>-54780</v>
      </c>
      <c r="G8" s="320"/>
      <c r="H8" s="320"/>
      <c r="I8" s="320"/>
      <c r="J8" s="320"/>
      <c r="K8" s="435" t="s">
        <v>463</v>
      </c>
    </row>
    <row r="9" spans="1:14" ht="50.1" customHeight="1">
      <c r="A9" s="436"/>
      <c r="B9" s="468"/>
      <c r="C9" s="438" t="s">
        <v>427</v>
      </c>
      <c r="D9" s="432">
        <v>2980730</v>
      </c>
      <c r="E9" s="433">
        <f>세출!AC31</f>
        <v>2932540</v>
      </c>
      <c r="F9" s="434">
        <f t="shared" si="0"/>
        <v>-48190</v>
      </c>
      <c r="G9" s="320"/>
      <c r="H9" s="320"/>
      <c r="I9" s="320"/>
      <c r="J9" s="320"/>
      <c r="K9" s="435" t="s">
        <v>463</v>
      </c>
    </row>
    <row r="10" spans="1:14" ht="46.5" customHeight="1">
      <c r="A10" s="436"/>
      <c r="B10" s="441"/>
      <c r="C10" s="438" t="s">
        <v>428</v>
      </c>
      <c r="D10" s="432">
        <v>200000</v>
      </c>
      <c r="E10" s="433">
        <f>세출!AC38</f>
        <v>200000</v>
      </c>
      <c r="F10" s="434">
        <f t="shared" si="0"/>
        <v>0</v>
      </c>
      <c r="G10" s="320"/>
      <c r="H10" s="320"/>
      <c r="I10" s="320"/>
      <c r="J10" s="320"/>
      <c r="K10" s="435" t="s">
        <v>397</v>
      </c>
    </row>
    <row r="11" spans="1:14" ht="50.1" customHeight="1">
      <c r="A11" s="436"/>
      <c r="B11" s="481" t="s">
        <v>429</v>
      </c>
      <c r="C11" s="438" t="s">
        <v>430</v>
      </c>
      <c r="D11" s="432">
        <v>100000</v>
      </c>
      <c r="E11" s="433">
        <f>세출!AC42</f>
        <v>50000</v>
      </c>
      <c r="F11" s="434">
        <f t="shared" si="0"/>
        <v>-50000</v>
      </c>
      <c r="G11" s="320"/>
      <c r="H11" s="320"/>
      <c r="I11" s="320"/>
      <c r="J11" s="320"/>
      <c r="K11" s="435" t="s">
        <v>464</v>
      </c>
    </row>
    <row r="12" spans="1:14" ht="50.1" customHeight="1">
      <c r="A12" s="436"/>
      <c r="B12" s="482"/>
      <c r="C12" s="483" t="s">
        <v>431</v>
      </c>
      <c r="D12" s="484">
        <v>10000</v>
      </c>
      <c r="E12" s="485">
        <f>세출!AC47</f>
        <v>50000</v>
      </c>
      <c r="F12" s="486">
        <f t="shared" si="0"/>
        <v>40000</v>
      </c>
      <c r="G12" s="320"/>
      <c r="H12" s="320"/>
      <c r="I12" s="320"/>
      <c r="J12" s="320"/>
      <c r="K12" s="487" t="s">
        <v>432</v>
      </c>
    </row>
    <row r="13" spans="1:14" ht="50.1" customHeight="1">
      <c r="A13" s="436"/>
      <c r="B13" s="481" t="s">
        <v>433</v>
      </c>
      <c r="C13" s="483" t="s">
        <v>434</v>
      </c>
      <c r="D13" s="484">
        <v>0</v>
      </c>
      <c r="E13" s="485">
        <f>세출!AC53</f>
        <v>60000</v>
      </c>
      <c r="F13" s="486">
        <f t="shared" si="0"/>
        <v>60000</v>
      </c>
      <c r="G13" s="320"/>
      <c r="H13" s="320"/>
      <c r="I13" s="320"/>
      <c r="J13" s="320"/>
      <c r="K13" s="487" t="s">
        <v>435</v>
      </c>
    </row>
    <row r="14" spans="1:14" ht="50.1" customHeight="1">
      <c r="A14" s="436"/>
      <c r="B14" s="441"/>
      <c r="C14" s="483" t="s">
        <v>436</v>
      </c>
      <c r="D14" s="484">
        <v>1859090</v>
      </c>
      <c r="E14" s="485">
        <f>세출!AC55</f>
        <v>2000000</v>
      </c>
      <c r="F14" s="486">
        <f t="shared" si="0"/>
        <v>140910</v>
      </c>
      <c r="G14" s="320"/>
      <c r="H14" s="320"/>
      <c r="I14" s="320"/>
      <c r="J14" s="320"/>
      <c r="K14" s="487" t="s">
        <v>437</v>
      </c>
    </row>
    <row r="15" spans="1:14" ht="50.1" customHeight="1">
      <c r="A15" s="436"/>
      <c r="B15" s="441"/>
      <c r="C15" s="483" t="s">
        <v>438</v>
      </c>
      <c r="D15" s="484">
        <v>3680000</v>
      </c>
      <c r="E15" s="485">
        <f>세출!AC60</f>
        <v>3680000</v>
      </c>
      <c r="F15" s="486">
        <f t="shared" si="0"/>
        <v>0</v>
      </c>
      <c r="G15" s="320"/>
      <c r="H15" s="320"/>
      <c r="I15" s="320"/>
      <c r="J15" s="320"/>
      <c r="K15" s="487" t="s">
        <v>465</v>
      </c>
    </row>
    <row r="16" spans="1:14" ht="50.1" customHeight="1">
      <c r="A16" s="436"/>
      <c r="B16" s="441"/>
      <c r="C16" s="483" t="s">
        <v>439</v>
      </c>
      <c r="D16" s="484">
        <v>335960</v>
      </c>
      <c r="E16" s="485">
        <f>세출!AC66</f>
        <v>592960</v>
      </c>
      <c r="F16" s="486">
        <f t="shared" si="0"/>
        <v>257000</v>
      </c>
      <c r="G16" s="320"/>
      <c r="H16" s="320"/>
      <c r="I16" s="320"/>
      <c r="J16" s="320"/>
      <c r="K16" s="487" t="s">
        <v>440</v>
      </c>
    </row>
    <row r="17" spans="1:11" ht="50.1" customHeight="1">
      <c r="A17" s="436"/>
      <c r="B17" s="441"/>
      <c r="C17" s="483" t="s">
        <v>441</v>
      </c>
      <c r="D17" s="484">
        <v>0</v>
      </c>
      <c r="E17" s="485">
        <f>세출!AC76</f>
        <v>320000</v>
      </c>
      <c r="F17" s="486">
        <f t="shared" si="0"/>
        <v>320000</v>
      </c>
      <c r="G17" s="320"/>
      <c r="H17" s="320"/>
      <c r="I17" s="320"/>
      <c r="J17" s="320"/>
      <c r="K17" s="487" t="s">
        <v>442</v>
      </c>
    </row>
    <row r="18" spans="1:11" ht="50.1" customHeight="1" thickBot="1">
      <c r="A18" s="450"/>
      <c r="B18" s="321"/>
      <c r="C18" s="452" t="s">
        <v>443</v>
      </c>
      <c r="D18" s="453">
        <v>0</v>
      </c>
      <c r="E18" s="472">
        <f>세출!AC79</f>
        <v>150000</v>
      </c>
      <c r="F18" s="455">
        <f t="shared" si="0"/>
        <v>150000</v>
      </c>
      <c r="G18" s="321"/>
      <c r="H18" s="321"/>
      <c r="I18" s="321"/>
      <c r="J18" s="321"/>
      <c r="K18" s="488" t="s">
        <v>444</v>
      </c>
    </row>
    <row r="19" spans="1:11" ht="48.75" customHeight="1">
      <c r="A19" s="475" t="s">
        <v>445</v>
      </c>
      <c r="B19" s="476" t="s">
        <v>446</v>
      </c>
      <c r="C19" s="444" t="s">
        <v>446</v>
      </c>
      <c r="D19" s="445">
        <v>0</v>
      </c>
      <c r="E19" s="446">
        <f>세출!AC84</f>
        <v>0</v>
      </c>
      <c r="F19" s="489">
        <f t="shared" si="0"/>
        <v>0</v>
      </c>
      <c r="G19" s="448"/>
      <c r="H19" s="448"/>
      <c r="I19" s="448"/>
      <c r="J19" s="448"/>
      <c r="K19" s="449" t="s">
        <v>465</v>
      </c>
    </row>
    <row r="20" spans="1:11" ht="48.75" customHeight="1">
      <c r="A20" s="490"/>
      <c r="B20" s="462"/>
      <c r="C20" s="438" t="s">
        <v>447</v>
      </c>
      <c r="D20" s="432">
        <v>2200000</v>
      </c>
      <c r="E20" s="491">
        <f>세출!AC88</f>
        <v>4740000</v>
      </c>
      <c r="F20" s="466">
        <f t="shared" si="0"/>
        <v>2540000</v>
      </c>
      <c r="G20" s="492"/>
      <c r="H20" s="492"/>
      <c r="I20" s="492"/>
      <c r="J20" s="492"/>
      <c r="K20" s="435" t="s">
        <v>466</v>
      </c>
    </row>
    <row r="21" spans="1:11" ht="48.75" customHeight="1" thickBot="1">
      <c r="A21" s="493"/>
      <c r="B21" s="494"/>
      <c r="C21" s="495" t="s">
        <v>448</v>
      </c>
      <c r="D21" s="496">
        <v>1300000</v>
      </c>
      <c r="E21" s="497">
        <f>세출!AC93</f>
        <v>200000</v>
      </c>
      <c r="F21" s="498">
        <f t="shared" si="0"/>
        <v>-1100000</v>
      </c>
      <c r="G21" s="321"/>
      <c r="H21" s="321"/>
      <c r="I21" s="321"/>
      <c r="J21" s="321"/>
      <c r="K21" s="499" t="s">
        <v>467</v>
      </c>
    </row>
    <row r="22" spans="1:11" ht="46.5" customHeight="1">
      <c r="A22" s="442" t="s">
        <v>449</v>
      </c>
      <c r="B22" s="443" t="s">
        <v>433</v>
      </c>
      <c r="C22" s="444" t="s">
        <v>450</v>
      </c>
      <c r="D22" s="445">
        <v>10711970</v>
      </c>
      <c r="E22" s="478">
        <f>세출!AC98</f>
        <v>11781195</v>
      </c>
      <c r="F22" s="447">
        <f t="shared" si="0"/>
        <v>1069225</v>
      </c>
      <c r="G22" s="479"/>
      <c r="H22" s="479"/>
      <c r="I22" s="479"/>
      <c r="J22" s="479"/>
      <c r="K22" s="449" t="s">
        <v>451</v>
      </c>
    </row>
    <row r="23" spans="1:11" ht="46.5" customHeight="1">
      <c r="A23" s="436"/>
      <c r="B23" s="468"/>
      <c r="C23" s="438" t="s">
        <v>452</v>
      </c>
      <c r="D23" s="432">
        <v>750000</v>
      </c>
      <c r="E23" s="433">
        <f>세출!AC104</f>
        <v>950000</v>
      </c>
      <c r="F23" s="434">
        <f t="shared" si="0"/>
        <v>200000</v>
      </c>
      <c r="G23" s="320"/>
      <c r="H23" s="320"/>
      <c r="I23" s="320"/>
      <c r="J23" s="320"/>
      <c r="K23" s="435" t="s">
        <v>453</v>
      </c>
    </row>
    <row r="24" spans="1:11" ht="46.5" customHeight="1">
      <c r="A24" s="436"/>
      <c r="B24" s="468"/>
      <c r="C24" s="438" t="s">
        <v>454</v>
      </c>
      <c r="D24" s="432">
        <v>320000</v>
      </c>
      <c r="E24" s="433">
        <f>세출!AC108</f>
        <v>720000</v>
      </c>
      <c r="F24" s="434">
        <f t="shared" si="0"/>
        <v>400000</v>
      </c>
      <c r="G24" s="320"/>
      <c r="H24" s="320"/>
      <c r="I24" s="320"/>
      <c r="J24" s="320"/>
      <c r="K24" s="469" t="s">
        <v>397</v>
      </c>
    </row>
    <row r="25" spans="1:11" ht="62.25" customHeight="1">
      <c r="A25" s="436"/>
      <c r="B25" s="468"/>
      <c r="C25" s="438" t="s">
        <v>455</v>
      </c>
      <c r="D25" s="432">
        <v>197000</v>
      </c>
      <c r="E25" s="433">
        <f>세출!AC111</f>
        <v>310000</v>
      </c>
      <c r="F25" s="434">
        <f t="shared" si="0"/>
        <v>113000</v>
      </c>
      <c r="G25" s="320"/>
      <c r="H25" s="320"/>
      <c r="I25" s="320"/>
      <c r="J25" s="320"/>
      <c r="K25" s="435" t="s">
        <v>456</v>
      </c>
    </row>
    <row r="26" spans="1:11" ht="46.5" customHeight="1">
      <c r="A26" s="436"/>
      <c r="B26" s="468"/>
      <c r="C26" s="438" t="s">
        <v>457</v>
      </c>
      <c r="D26" s="432">
        <v>90000</v>
      </c>
      <c r="E26" s="433">
        <f>세출!AC115</f>
        <v>90000</v>
      </c>
      <c r="F26" s="434">
        <f t="shared" si="0"/>
        <v>0</v>
      </c>
      <c r="G26" s="320"/>
      <c r="H26" s="320"/>
      <c r="I26" s="320"/>
      <c r="J26" s="320"/>
      <c r="K26" s="469" t="s">
        <v>465</v>
      </c>
    </row>
    <row r="27" spans="1:11" ht="78.75" customHeight="1" thickBot="1">
      <c r="A27" s="450"/>
      <c r="B27" s="471" t="s">
        <v>458</v>
      </c>
      <c r="C27" s="500" t="s">
        <v>458</v>
      </c>
      <c r="D27" s="453">
        <v>4890000</v>
      </c>
      <c r="E27" s="472">
        <f>세출!AC119</f>
        <v>4668000</v>
      </c>
      <c r="F27" s="455">
        <f t="shared" si="0"/>
        <v>-222000</v>
      </c>
      <c r="G27" s="321"/>
      <c r="H27" s="321"/>
      <c r="I27" s="321"/>
      <c r="J27" s="321"/>
      <c r="K27" s="488" t="s">
        <v>468</v>
      </c>
    </row>
    <row r="28" spans="1:11" ht="46.5" customHeight="1" thickBot="1">
      <c r="A28" s="418" t="s">
        <v>459</v>
      </c>
      <c r="B28" s="419" t="s">
        <v>459</v>
      </c>
      <c r="C28" s="420" t="s">
        <v>459</v>
      </c>
      <c r="D28" s="421">
        <v>203000</v>
      </c>
      <c r="E28" s="422">
        <f>세출!AC154</f>
        <v>207131</v>
      </c>
      <c r="F28" s="423">
        <f t="shared" si="0"/>
        <v>4131</v>
      </c>
      <c r="G28" s="460"/>
      <c r="H28" s="460"/>
      <c r="I28" s="460"/>
      <c r="J28" s="460"/>
      <c r="K28" s="501" t="s">
        <v>412</v>
      </c>
    </row>
    <row r="29" spans="1:11" ht="46.5" customHeight="1" thickBot="1">
      <c r="A29" s="418" t="s">
        <v>460</v>
      </c>
      <c r="B29" s="419" t="s">
        <v>460</v>
      </c>
      <c r="C29" s="420" t="s">
        <v>460</v>
      </c>
      <c r="D29" s="421">
        <v>0</v>
      </c>
      <c r="E29" s="422">
        <v>0</v>
      </c>
      <c r="F29" s="423">
        <f t="shared" si="0"/>
        <v>0</v>
      </c>
      <c r="G29" s="460"/>
      <c r="H29" s="460"/>
      <c r="I29" s="460"/>
      <c r="J29" s="460"/>
      <c r="K29" s="501" t="s">
        <v>424</v>
      </c>
    </row>
    <row r="30" spans="1:11" ht="46.5" customHeight="1">
      <c r="D30" s="474"/>
      <c r="E30" s="474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사무실 1</cp:lastModifiedBy>
  <cp:revision>65</cp:revision>
  <cp:lastPrinted>2015-03-26T07:04:44Z</cp:lastPrinted>
  <dcterms:created xsi:type="dcterms:W3CDTF">2003-12-18T04:11:57Z</dcterms:created>
  <dcterms:modified xsi:type="dcterms:W3CDTF">2015-04-04T03:02:02Z</dcterms:modified>
</cp:coreProperties>
</file>