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16\"/>
    </mc:Choice>
  </mc:AlternateContent>
  <bookViews>
    <workbookView xWindow="-15" yWindow="-15" windowWidth="9615" windowHeight="11745"/>
  </bookViews>
  <sheets>
    <sheet name="세입세출총괄표" sheetId="18" r:id="rId1"/>
    <sheet name="세입" sheetId="4" r:id="rId2"/>
    <sheet name="세출" sheetId="5" r:id="rId3"/>
    <sheet name="추경세입명세서" sheetId="30" r:id="rId4"/>
    <sheet name="추경세출명세서" sheetId="31" r:id="rId5"/>
    <sheet name="보조금" sheetId="27" r:id="rId6"/>
    <sheet name="운영비배정" sheetId="28" r:id="rId7"/>
    <sheet name="보조금 배정표" sheetId="29" r:id="rId8"/>
  </sheets>
  <externalReferences>
    <externalReference r:id="rId9"/>
    <externalReference r:id="rId10"/>
  </externalReferences>
  <definedNames>
    <definedName name="_xlnm.Print_Area" localSheetId="1">세입!$A$1:$X$91</definedName>
    <definedName name="_xlnm.Print_Titles" localSheetId="5">보조금!$1:$3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AD133" i="5" l="1"/>
  <c r="AD84" i="5"/>
  <c r="AD77" i="5"/>
  <c r="AD25" i="5"/>
  <c r="W60" i="4"/>
  <c r="W54" i="4"/>
  <c r="L219" i="5"/>
  <c r="K219" i="5"/>
  <c r="J219" i="5"/>
  <c r="I219" i="5"/>
  <c r="AD219" i="5"/>
  <c r="AD60" i="5" l="1"/>
  <c r="J58" i="5" s="1"/>
  <c r="W69" i="4"/>
  <c r="F30" i="31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F7" i="31"/>
  <c r="F6" i="31"/>
  <c r="F5" i="31"/>
  <c r="E4" i="31"/>
  <c r="D4" i="31"/>
  <c r="J24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J5" i="30"/>
  <c r="F5" i="30"/>
  <c r="E4" i="30"/>
  <c r="D4" i="30"/>
  <c r="W25" i="4"/>
  <c r="F13" i="18"/>
  <c r="F164" i="5"/>
  <c r="G164" i="5"/>
  <c r="H164" i="5"/>
  <c r="K164" i="5"/>
  <c r="L164" i="5"/>
  <c r="D164" i="5"/>
  <c r="AD203" i="5"/>
  <c r="AD202" i="5" s="1"/>
  <c r="AD141" i="5"/>
  <c r="AD190" i="5"/>
  <c r="AD186" i="5"/>
  <c r="AD185" i="5"/>
  <c r="AD184" i="5"/>
  <c r="AD170" i="5"/>
  <c r="K132" i="5"/>
  <c r="AD134" i="5"/>
  <c r="J64" i="5"/>
  <c r="I36" i="5"/>
  <c r="I202" i="5" l="1"/>
  <c r="I164" i="5" s="1"/>
  <c r="F4" i="31"/>
  <c r="F4" i="30"/>
  <c r="E202" i="5"/>
  <c r="M202" i="5" s="1"/>
  <c r="N202" i="5" s="1"/>
  <c r="J76" i="5"/>
  <c r="AD78" i="5"/>
  <c r="F76" i="5" s="1"/>
  <c r="I121" i="5"/>
  <c r="F132" i="5"/>
  <c r="F3" i="29"/>
  <c r="F4" i="29"/>
  <c r="F5" i="29"/>
  <c r="F6" i="29"/>
  <c r="F7" i="29"/>
  <c r="F8" i="29"/>
  <c r="F9" i="29"/>
  <c r="F10" i="29"/>
  <c r="F11" i="29"/>
  <c r="F12" i="29"/>
  <c r="F13" i="29"/>
  <c r="B15" i="29"/>
  <c r="C15" i="29"/>
  <c r="D15" i="29"/>
  <c r="E15" i="29"/>
  <c r="F17" i="29"/>
  <c r="F18" i="29"/>
  <c r="F19" i="29"/>
  <c r="F20" i="29"/>
  <c r="F21" i="29"/>
  <c r="F22" i="29"/>
  <c r="F23" i="29"/>
  <c r="F24" i="29"/>
  <c r="F25" i="29"/>
  <c r="F26" i="29"/>
  <c r="F27" i="29"/>
  <c r="B28" i="29"/>
  <c r="C28" i="29"/>
  <c r="D28" i="29"/>
  <c r="E28" i="29"/>
  <c r="W64" i="4"/>
  <c r="E30" i="29" l="1"/>
  <c r="B30" i="29"/>
  <c r="D30" i="29"/>
  <c r="G15" i="29"/>
  <c r="F28" i="29"/>
  <c r="G28" i="29"/>
  <c r="F15" i="29"/>
  <c r="C30" i="29"/>
  <c r="AD199" i="5"/>
  <c r="AD196" i="5"/>
  <c r="AD194" i="5"/>
  <c r="AD189" i="5"/>
  <c r="AD183" i="5"/>
  <c r="AD180" i="5"/>
  <c r="AD177" i="5"/>
  <c r="AD176" i="5"/>
  <c r="AD175" i="5"/>
  <c r="AD173" i="5"/>
  <c r="AD169" i="5"/>
  <c r="AD168" i="5"/>
  <c r="AD167" i="5"/>
  <c r="AD166" i="5"/>
  <c r="AD161" i="5"/>
  <c r="AD152" i="5"/>
  <c r="I150" i="5" s="1"/>
  <c r="J141" i="5"/>
  <c r="I141" i="5"/>
  <c r="F141" i="5"/>
  <c r="AD132" i="5"/>
  <c r="L132" i="5"/>
  <c r="I132" i="5"/>
  <c r="AD113" i="5"/>
  <c r="AD114" i="5"/>
  <c r="J112" i="5" s="1"/>
  <c r="AD103" i="5"/>
  <c r="AD101" i="5"/>
  <c r="AD99" i="5"/>
  <c r="AD97" i="5"/>
  <c r="AD95" i="5"/>
  <c r="AD93" i="5"/>
  <c r="AD91" i="5"/>
  <c r="AD89" i="5"/>
  <c r="E216" i="5"/>
  <c r="E121" i="5"/>
  <c r="E118" i="5"/>
  <c r="E67" i="5"/>
  <c r="J69" i="5"/>
  <c r="E69" i="5" s="1"/>
  <c r="I14" i="5"/>
  <c r="AD157" i="5"/>
  <c r="J154" i="5" s="1"/>
  <c r="AD151" i="5"/>
  <c r="F150" i="5" s="1"/>
  <c r="AD61" i="5"/>
  <c r="I58" i="5" s="1"/>
  <c r="AD59" i="5"/>
  <c r="H58" i="5" s="1"/>
  <c r="I32" i="5"/>
  <c r="AD30" i="5"/>
  <c r="AD29" i="5"/>
  <c r="AD24" i="5"/>
  <c r="AD21" i="5"/>
  <c r="AD20" i="5"/>
  <c r="AD17" i="5"/>
  <c r="AD16" i="5"/>
  <c r="AD9" i="5"/>
  <c r="AD8" i="5"/>
  <c r="W89" i="4"/>
  <c r="W81" i="4"/>
  <c r="W19" i="4"/>
  <c r="AD165" i="5" l="1"/>
  <c r="J165" i="5"/>
  <c r="F30" i="29"/>
  <c r="F160" i="5"/>
  <c r="AD88" i="5"/>
  <c r="J88" i="5" s="1"/>
  <c r="E58" i="5"/>
  <c r="AD58" i="5"/>
  <c r="AD28" i="5"/>
  <c r="G14" i="5" s="1"/>
  <c r="AD15" i="5"/>
  <c r="AD23" i="5"/>
  <c r="AD7" i="5"/>
  <c r="F7" i="5" s="1"/>
  <c r="E7" i="5" s="1"/>
  <c r="I27" i="18"/>
  <c r="I25" i="18"/>
  <c r="I23" i="18"/>
  <c r="I16" i="18"/>
  <c r="I12" i="18"/>
  <c r="I8" i="18"/>
  <c r="D22" i="18"/>
  <c r="D20" i="18"/>
  <c r="D18" i="18"/>
  <c r="D15" i="18"/>
  <c r="D10" i="18"/>
  <c r="D8" i="18"/>
  <c r="J132" i="5"/>
  <c r="AD174" i="5"/>
  <c r="J172" i="5" s="1"/>
  <c r="AD200" i="5"/>
  <c r="AD198" i="5" s="1"/>
  <c r="J192" i="5"/>
  <c r="E192" i="5" s="1"/>
  <c r="AD192" i="5"/>
  <c r="J188" i="5"/>
  <c r="AD188" i="5"/>
  <c r="J182" i="5"/>
  <c r="AD182" i="5"/>
  <c r="J179" i="5"/>
  <c r="E179" i="5" s="1"/>
  <c r="I7" i="18" l="1"/>
  <c r="AD172" i="5"/>
  <c r="M192" i="5"/>
  <c r="N192" i="5" s="1"/>
  <c r="E188" i="5"/>
  <c r="E165" i="5"/>
  <c r="E182" i="5"/>
  <c r="M182" i="5" s="1"/>
  <c r="N182" i="5" s="1"/>
  <c r="J198" i="5"/>
  <c r="E198" i="5" s="1"/>
  <c r="M198" i="5" s="1"/>
  <c r="N198" i="5" s="1"/>
  <c r="J164" i="5" l="1"/>
  <c r="M165" i="5"/>
  <c r="N165" i="5" s="1"/>
  <c r="E172" i="5"/>
  <c r="E164" i="5" s="1"/>
  <c r="O45" i="28"/>
  <c r="G41" i="27" l="1"/>
  <c r="G29" i="27"/>
  <c r="K42" i="27"/>
  <c r="E42" i="27" s="1"/>
  <c r="F41" i="27"/>
  <c r="E41" i="27"/>
  <c r="G42" i="27" l="1"/>
  <c r="F42" i="27"/>
  <c r="D42" i="27" s="1"/>
  <c r="D41" i="27"/>
  <c r="U41" i="27" s="1"/>
  <c r="AD127" i="5" l="1"/>
  <c r="I124" i="5" s="1"/>
  <c r="F112" i="5"/>
  <c r="AD76" i="5"/>
  <c r="J160" i="5" l="1"/>
  <c r="E160" i="5" s="1"/>
  <c r="AD160" i="5"/>
  <c r="E76" i="5"/>
  <c r="O48" i="28" l="1"/>
  <c r="O41" i="28"/>
  <c r="O42" i="28"/>
  <c r="O43" i="28"/>
  <c r="O44" i="28"/>
  <c r="O46" i="28"/>
  <c r="O9" i="28"/>
  <c r="O10" i="28"/>
  <c r="O11" i="28"/>
  <c r="O12" i="28"/>
  <c r="O13" i="28"/>
  <c r="O14" i="28"/>
  <c r="O15" i="28"/>
  <c r="O16" i="28"/>
  <c r="O17" i="28"/>
  <c r="O18" i="28"/>
  <c r="O19" i="28"/>
  <c r="O20" i="28"/>
  <c r="O21" i="28"/>
  <c r="O22" i="28"/>
  <c r="O23" i="28"/>
  <c r="O24" i="28"/>
  <c r="O25" i="28"/>
  <c r="O26" i="28"/>
  <c r="O27" i="28"/>
  <c r="O28" i="28"/>
  <c r="O29" i="28"/>
  <c r="O30" i="28"/>
  <c r="O31" i="28"/>
  <c r="O32" i="28"/>
  <c r="O33" i="28"/>
  <c r="O34" i="28"/>
  <c r="O35" i="28"/>
  <c r="O36" i="28"/>
  <c r="O37" i="28"/>
  <c r="O38" i="28"/>
  <c r="O39" i="28"/>
  <c r="O40" i="28"/>
  <c r="O8" i="28"/>
  <c r="N47" i="28"/>
  <c r="N49" i="28" s="1"/>
  <c r="L47" i="28"/>
  <c r="L49" i="28" s="1"/>
  <c r="M47" i="28"/>
  <c r="M49" i="28" s="1"/>
  <c r="K47" i="28"/>
  <c r="K49" i="28" s="1"/>
  <c r="D47" i="28"/>
  <c r="D49" i="28" s="1"/>
  <c r="E47" i="28"/>
  <c r="E49" i="28" s="1"/>
  <c r="F47" i="28"/>
  <c r="F49" i="28" s="1"/>
  <c r="G47" i="28"/>
  <c r="G49" i="28" s="1"/>
  <c r="H47" i="28"/>
  <c r="H49" i="28" s="1"/>
  <c r="I47" i="28"/>
  <c r="I49" i="28" s="1"/>
  <c r="J47" i="28"/>
  <c r="J49" i="28" s="1"/>
  <c r="C47" i="28"/>
  <c r="C49" i="28" s="1"/>
  <c r="O47" i="28" l="1"/>
  <c r="W34" i="4"/>
  <c r="W33" i="4" s="1"/>
  <c r="D7" i="18"/>
  <c r="E150" i="5"/>
  <c r="H206" i="5"/>
  <c r="F206" i="5"/>
  <c r="AD206" i="5"/>
  <c r="K7" i="27"/>
  <c r="E7" i="27" s="1"/>
  <c r="W57" i="4" l="1"/>
  <c r="K21" i="27"/>
  <c r="G21" i="27" s="1"/>
  <c r="E10" i="27"/>
  <c r="J27" i="18" l="1"/>
  <c r="J25" i="18"/>
  <c r="J23" i="18"/>
  <c r="J16" i="18"/>
  <c r="J12" i="18"/>
  <c r="J8" i="18"/>
  <c r="K26" i="18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22" i="18"/>
  <c r="E20" i="18"/>
  <c r="E18" i="18"/>
  <c r="E15" i="18"/>
  <c r="E10" i="18"/>
  <c r="E8" i="18"/>
  <c r="K16" i="18" l="1"/>
  <c r="J7" i="18"/>
  <c r="E7" i="18"/>
  <c r="AD109" i="5"/>
  <c r="J107" i="5" s="1"/>
  <c r="E141" i="5"/>
  <c r="M172" i="5" l="1"/>
  <c r="N172" i="5" s="1"/>
  <c r="K19" i="27"/>
  <c r="M31" i="27"/>
  <c r="M35" i="27" s="1"/>
  <c r="K35" i="27" s="1"/>
  <c r="M13" i="27"/>
  <c r="K20" i="27"/>
  <c r="E20" i="27" s="1"/>
  <c r="K37" i="27"/>
  <c r="F37" i="27" s="1"/>
  <c r="K39" i="27"/>
  <c r="F39" i="27" s="1"/>
  <c r="K45" i="27"/>
  <c r="G45" i="27" s="1"/>
  <c r="K23" i="27"/>
  <c r="G23" i="27" s="1"/>
  <c r="K24" i="27"/>
  <c r="E24" i="27" s="1"/>
  <c r="K25" i="27"/>
  <c r="F25" i="27" s="1"/>
  <c r="K22" i="27"/>
  <c r="F22" i="27" s="1"/>
  <c r="F21" i="27"/>
  <c r="F7" i="27"/>
  <c r="K6" i="27"/>
  <c r="E6" i="27" s="1"/>
  <c r="E8" i="27"/>
  <c r="F8" i="27"/>
  <c r="G8" i="27"/>
  <c r="E9" i="27"/>
  <c r="F9" i="27"/>
  <c r="G9" i="27"/>
  <c r="F10" i="27"/>
  <c r="G10" i="27"/>
  <c r="E11" i="27"/>
  <c r="F11" i="27"/>
  <c r="G11" i="27"/>
  <c r="E12" i="27"/>
  <c r="F12" i="27"/>
  <c r="G12" i="27"/>
  <c r="E21" i="27"/>
  <c r="F23" i="27"/>
  <c r="E26" i="27"/>
  <c r="F26" i="27"/>
  <c r="G26" i="27"/>
  <c r="E27" i="27"/>
  <c r="F27" i="27"/>
  <c r="G27" i="27"/>
  <c r="E28" i="27"/>
  <c r="F28" i="27"/>
  <c r="G28" i="27"/>
  <c r="E29" i="27"/>
  <c r="F29" i="27"/>
  <c r="E30" i="27"/>
  <c r="F30" i="27"/>
  <c r="G30" i="27"/>
  <c r="E37" i="27"/>
  <c r="E38" i="27"/>
  <c r="F38" i="27"/>
  <c r="G38" i="27"/>
  <c r="E40" i="27"/>
  <c r="F40" i="27"/>
  <c r="G40" i="27"/>
  <c r="E43" i="27"/>
  <c r="F43" i="27"/>
  <c r="G43" i="27"/>
  <c r="E44" i="27"/>
  <c r="F44" i="27"/>
  <c r="G44" i="27"/>
  <c r="F45" i="27"/>
  <c r="K5" i="27"/>
  <c r="F5" i="27" s="1"/>
  <c r="M15" i="27" l="1"/>
  <c r="K15" i="27" s="1"/>
  <c r="E15" i="27" s="1"/>
  <c r="K13" i="27"/>
  <c r="E13" i="27" s="1"/>
  <c r="D10" i="27"/>
  <c r="U10" i="27" s="1"/>
  <c r="G37" i="27"/>
  <c r="E45" i="27"/>
  <c r="E19" i="27"/>
  <c r="F19" i="27"/>
  <c r="D12" i="27"/>
  <c r="U12" i="27" s="1"/>
  <c r="E23" i="27"/>
  <c r="D23" i="27" s="1"/>
  <c r="U23" i="27" s="1"/>
  <c r="E22" i="27"/>
  <c r="E25" i="27"/>
  <c r="G25" i="27"/>
  <c r="F24" i="27"/>
  <c r="G24" i="27"/>
  <c r="D21" i="27"/>
  <c r="U21" i="27" s="1"/>
  <c r="E39" i="27"/>
  <c r="G39" i="27"/>
  <c r="E35" i="27"/>
  <c r="G35" i="27"/>
  <c r="F35" i="27"/>
  <c r="M14" i="27"/>
  <c r="K14" i="27" s="1"/>
  <c r="E14" i="27" s="1"/>
  <c r="M18" i="27"/>
  <c r="K18" i="27" s="1"/>
  <c r="M33" i="27"/>
  <c r="K33" i="27" s="1"/>
  <c r="M17" i="27"/>
  <c r="K17" i="27" s="1"/>
  <c r="F17" i="27" s="1"/>
  <c r="M32" i="27"/>
  <c r="K32" i="27" s="1"/>
  <c r="E32" i="27" s="1"/>
  <c r="M36" i="27"/>
  <c r="K36" i="27" s="1"/>
  <c r="G22" i="27"/>
  <c r="G19" i="27"/>
  <c r="K31" i="27"/>
  <c r="F20" i="27"/>
  <c r="G20" i="27"/>
  <c r="G7" i="27"/>
  <c r="E5" i="27"/>
  <c r="G5" i="27"/>
  <c r="D45" i="27"/>
  <c r="U45" i="27" s="1"/>
  <c r="D43" i="27"/>
  <c r="U43" i="27" s="1"/>
  <c r="D40" i="27"/>
  <c r="U40" i="27" s="1"/>
  <c r="D37" i="27"/>
  <c r="U37" i="27" s="1"/>
  <c r="D29" i="27"/>
  <c r="U29" i="27" s="1"/>
  <c r="D27" i="27"/>
  <c r="U27" i="27" s="1"/>
  <c r="D11" i="27"/>
  <c r="U11" i="27" s="1"/>
  <c r="D9" i="27"/>
  <c r="U9" i="27" s="1"/>
  <c r="D44" i="27"/>
  <c r="U44" i="27" s="1"/>
  <c r="U42" i="27"/>
  <c r="D38" i="27"/>
  <c r="U38" i="27" s="1"/>
  <c r="D30" i="27"/>
  <c r="U30" i="27" s="1"/>
  <c r="D28" i="27"/>
  <c r="U28" i="27" s="1"/>
  <c r="D26" i="27"/>
  <c r="U26" i="27" s="1"/>
  <c r="D8" i="27"/>
  <c r="U8" i="27" s="1"/>
  <c r="F6" i="27"/>
  <c r="G6" i="27"/>
  <c r="D24" i="27" l="1"/>
  <c r="U24" i="27" s="1"/>
  <c r="G15" i="27"/>
  <c r="D39" i="27"/>
  <c r="U39" i="27" s="1"/>
  <c r="F15" i="27"/>
  <c r="D22" i="27"/>
  <c r="U22" i="27" s="1"/>
  <c r="M16" i="27"/>
  <c r="K16" i="27" s="1"/>
  <c r="F16" i="27" s="1"/>
  <c r="D25" i="27"/>
  <c r="U25" i="27" s="1"/>
  <c r="D5" i="27"/>
  <c r="U5" i="27" s="1"/>
  <c r="D35" i="27"/>
  <c r="U35" i="27" s="1"/>
  <c r="D19" i="27"/>
  <c r="G17" i="27"/>
  <c r="F31" i="27"/>
  <c r="G31" i="27"/>
  <c r="E31" i="27"/>
  <c r="F32" i="27"/>
  <c r="G32" i="27"/>
  <c r="E18" i="27"/>
  <c r="G18" i="27"/>
  <c r="F18" i="27"/>
  <c r="F36" i="27"/>
  <c r="E36" i="27"/>
  <c r="G36" i="27"/>
  <c r="G13" i="27"/>
  <c r="F13" i="27"/>
  <c r="E33" i="27"/>
  <c r="G33" i="27"/>
  <c r="M34" i="27"/>
  <c r="K34" i="27" s="1"/>
  <c r="F33" i="27"/>
  <c r="D7" i="27"/>
  <c r="U7" i="27" s="1"/>
  <c r="E17" i="27"/>
  <c r="G14" i="27"/>
  <c r="F14" i="27"/>
  <c r="D20" i="27"/>
  <c r="D6" i="27"/>
  <c r="U6" i="27" s="1"/>
  <c r="D15" i="27" l="1"/>
  <c r="U15" i="27" s="1"/>
  <c r="D17" i="27"/>
  <c r="U17" i="27" s="1"/>
  <c r="U20" i="27"/>
  <c r="C3" i="28"/>
  <c r="G16" i="27"/>
  <c r="E16" i="27"/>
  <c r="U19" i="27"/>
  <c r="C2" i="28"/>
  <c r="D32" i="27"/>
  <c r="U32" i="27" s="1"/>
  <c r="D18" i="27"/>
  <c r="U18" i="27" s="1"/>
  <c r="F34" i="27"/>
  <c r="F4" i="27" s="1"/>
  <c r="E34" i="27"/>
  <c r="G34" i="27"/>
  <c r="D13" i="27"/>
  <c r="U13" i="27" s="1"/>
  <c r="D36" i="27"/>
  <c r="U36" i="27" s="1"/>
  <c r="D14" i="27"/>
  <c r="U14" i="27" s="1"/>
  <c r="D33" i="27"/>
  <c r="U33" i="27" s="1"/>
  <c r="D31" i="27"/>
  <c r="U31" i="27" s="1"/>
  <c r="K4" i="27"/>
  <c r="AD108" i="5"/>
  <c r="F107" i="5" s="1"/>
  <c r="E4" i="27" l="1"/>
  <c r="D16" i="27"/>
  <c r="U16" i="27" s="1"/>
  <c r="C4" i="28"/>
  <c r="D4" i="28" s="1"/>
  <c r="G4" i="27"/>
  <c r="D34" i="27"/>
  <c r="U34" i="27" s="1"/>
  <c r="D4" i="27" l="1"/>
  <c r="U4" i="27" s="1"/>
  <c r="E206" i="5" l="1"/>
  <c r="M188" i="5"/>
  <c r="N188" i="5" s="1"/>
  <c r="AD179" i="5"/>
  <c r="AD164" i="5" s="1"/>
  <c r="M179" i="5" l="1"/>
  <c r="N179" i="5" s="1"/>
  <c r="AD74" i="5" l="1"/>
  <c r="J73" i="5" s="1"/>
  <c r="E73" i="5" l="1"/>
  <c r="E219" i="5"/>
  <c r="D218" i="5"/>
  <c r="D215" i="5"/>
  <c r="D205" i="5"/>
  <c r="D117" i="5"/>
  <c r="D116" i="5" s="1"/>
  <c r="D53" i="4"/>
  <c r="D52" i="4" s="1"/>
  <c r="D88" i="4"/>
  <c r="D80" i="4"/>
  <c r="D77" i="4"/>
  <c r="G74" i="4"/>
  <c r="D73" i="4"/>
  <c r="G73" i="4" s="1"/>
  <c r="D68" i="4"/>
  <c r="D45" i="4"/>
  <c r="D48" i="4"/>
  <c r="D28" i="4"/>
  <c r="D33" i="4"/>
  <c r="D24" i="4"/>
  <c r="D21" i="4"/>
  <c r="D44" i="4" l="1"/>
  <c r="D27" i="4"/>
  <c r="D76" i="4"/>
  <c r="D15" i="4"/>
  <c r="G78" i="4"/>
  <c r="G77" i="4"/>
  <c r="G46" i="4"/>
  <c r="G45" i="4"/>
  <c r="G42" i="4"/>
  <c r="G39" i="4"/>
  <c r="G25" i="4"/>
  <c r="G24" i="4"/>
  <c r="W32" i="4"/>
  <c r="W31" i="4" s="1"/>
  <c r="E31" i="4" s="1"/>
  <c r="F31" i="4" s="1"/>
  <c r="G31" i="4" s="1"/>
  <c r="D11" i="4" l="1"/>
  <c r="E89" i="4"/>
  <c r="E88" i="4" s="1"/>
  <c r="F88" i="4" s="1"/>
  <c r="G88" i="4" s="1"/>
  <c r="F89" i="4" l="1"/>
  <c r="G89" i="4" s="1"/>
  <c r="E81" i="4" l="1"/>
  <c r="W68" i="4"/>
  <c r="E64" i="4"/>
  <c r="F64" i="4" s="1"/>
  <c r="G64" i="4" s="1"/>
  <c r="E60" i="4"/>
  <c r="F60" i="4" s="1"/>
  <c r="G60" i="4" s="1"/>
  <c r="E57" i="4"/>
  <c r="F57" i="4" s="1"/>
  <c r="G57" i="4" s="1"/>
  <c r="E54" i="4"/>
  <c r="F54" i="4" s="1"/>
  <c r="G54" i="4" s="1"/>
  <c r="D41" i="4"/>
  <c r="G41" i="4" s="1"/>
  <c r="D38" i="4"/>
  <c r="G38" i="4" s="1"/>
  <c r="W41" i="4"/>
  <c r="W39" i="4"/>
  <c r="W38" i="4" s="1"/>
  <c r="E42" i="4"/>
  <c r="W22" i="4"/>
  <c r="W21" i="4" l="1"/>
  <c r="E21" i="4" s="1"/>
  <c r="E22" i="4"/>
  <c r="F22" i="4" s="1"/>
  <c r="G22" i="4" s="1"/>
  <c r="E39" i="4"/>
  <c r="E38" i="4" s="1"/>
  <c r="F38" i="4" s="1"/>
  <c r="E49" i="4"/>
  <c r="W16" i="4"/>
  <c r="E41" i="4"/>
  <c r="F41" i="4" s="1"/>
  <c r="F42" i="4"/>
  <c r="E80" i="4"/>
  <c r="F80" i="4" s="1"/>
  <c r="G80" i="4" s="1"/>
  <c r="F81" i="4"/>
  <c r="G81" i="4" s="1"/>
  <c r="W37" i="4"/>
  <c r="W53" i="4"/>
  <c r="E69" i="4"/>
  <c r="E53" i="4"/>
  <c r="F53" i="4" s="1"/>
  <c r="G53" i="4" s="1"/>
  <c r="D37" i="4"/>
  <c r="F39" i="4" l="1"/>
  <c r="E16" i="4"/>
  <c r="F16" i="4" s="1"/>
  <c r="G16" i="4" s="1"/>
  <c r="W15" i="4"/>
  <c r="E48" i="4"/>
  <c r="F48" i="4" s="1"/>
  <c r="G48" i="4" s="1"/>
  <c r="F49" i="4"/>
  <c r="G49" i="4" s="1"/>
  <c r="E37" i="4"/>
  <c r="F37" i="4" s="1"/>
  <c r="D4" i="4"/>
  <c r="G37" i="4"/>
  <c r="E68" i="4"/>
  <c r="F68" i="4" s="1"/>
  <c r="G68" i="4" s="1"/>
  <c r="F69" i="4"/>
  <c r="G69" i="4" s="1"/>
  <c r="W9" i="4" l="1"/>
  <c r="E25" i="4"/>
  <c r="W88" i="4"/>
  <c r="W80" i="4"/>
  <c r="W79" i="4"/>
  <c r="W78" i="4" s="1"/>
  <c r="E78" i="4" s="1"/>
  <c r="W74" i="4"/>
  <c r="W48" i="4"/>
  <c r="W24" i="4"/>
  <c r="E77" i="4" l="1"/>
  <c r="F78" i="4"/>
  <c r="E24" i="4"/>
  <c r="F24" i="4" s="1"/>
  <c r="F25" i="4"/>
  <c r="W45" i="4"/>
  <c r="E46" i="4"/>
  <c r="W73" i="4"/>
  <c r="W52" i="4" s="1"/>
  <c r="E74" i="4"/>
  <c r="W77" i="4"/>
  <c r="W76" i="4" s="1"/>
  <c r="W44" i="4"/>
  <c r="E76" i="4" l="1"/>
  <c r="F76" i="4" s="1"/>
  <c r="G76" i="4" s="1"/>
  <c r="F77" i="4"/>
  <c r="E73" i="4"/>
  <c r="F74" i="4"/>
  <c r="E45" i="4"/>
  <c r="F46" i="4"/>
  <c r="E9" i="4"/>
  <c r="F9" i="4" s="1"/>
  <c r="G9" i="4"/>
  <c r="W7" i="4"/>
  <c r="W11" i="4" l="1"/>
  <c r="E44" i="4"/>
  <c r="F44" i="4" s="1"/>
  <c r="G44" i="4" s="1"/>
  <c r="F45" i="4"/>
  <c r="E52" i="4"/>
  <c r="F52" i="4" s="1"/>
  <c r="G52" i="4" s="1"/>
  <c r="F73" i="4"/>
  <c r="F21" i="4"/>
  <c r="G21" i="4" s="1"/>
  <c r="E15" i="4"/>
  <c r="F15" i="4" s="1"/>
  <c r="G15" i="4" s="1"/>
  <c r="F12" i="4"/>
  <c r="G12" i="4" s="1"/>
  <c r="E7" i="4"/>
  <c r="F7" i="4" s="1"/>
  <c r="G7" i="4" s="1"/>
  <c r="K28" i="18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E11" i="4"/>
  <c r="F11" i="4" s="1"/>
  <c r="G11" i="4" s="1"/>
  <c r="F7" i="18" l="1"/>
  <c r="AD107" i="5"/>
  <c r="E107" i="5"/>
  <c r="AD121" i="5"/>
  <c r="W29" i="4"/>
  <c r="D131" i="5"/>
  <c r="D130" i="5" s="1"/>
  <c r="D72" i="5"/>
  <c r="D63" i="5"/>
  <c r="W28" i="4" l="1"/>
  <c r="E34" i="4"/>
  <c r="F218" i="5"/>
  <c r="G218" i="5"/>
  <c r="H218" i="5"/>
  <c r="I218" i="5"/>
  <c r="J218" i="5"/>
  <c r="K218" i="5"/>
  <c r="L218" i="5"/>
  <c r="AD218" i="5"/>
  <c r="F215" i="5"/>
  <c r="G215" i="5"/>
  <c r="H215" i="5"/>
  <c r="I215" i="5"/>
  <c r="J215" i="5"/>
  <c r="K215" i="5"/>
  <c r="L215" i="5"/>
  <c r="I205" i="5"/>
  <c r="J205" i="5"/>
  <c r="K205" i="5"/>
  <c r="L205" i="5"/>
  <c r="H205" i="5"/>
  <c r="G205" i="5"/>
  <c r="F205" i="5"/>
  <c r="G72" i="5"/>
  <c r="H72" i="5"/>
  <c r="G131" i="5"/>
  <c r="K131" i="5"/>
  <c r="AD126" i="5"/>
  <c r="AD125" i="5"/>
  <c r="G117" i="5"/>
  <c r="G116" i="5" s="1"/>
  <c r="H117" i="5"/>
  <c r="H116" i="5" s="1"/>
  <c r="I117" i="5"/>
  <c r="I116" i="5" s="1"/>
  <c r="J117" i="5"/>
  <c r="J116" i="5" s="1"/>
  <c r="K117" i="5"/>
  <c r="K116" i="5" s="1"/>
  <c r="L117" i="5"/>
  <c r="L116" i="5" s="1"/>
  <c r="AD118" i="5"/>
  <c r="M118" i="5" s="1"/>
  <c r="N118" i="5" s="1"/>
  <c r="AD83" i="5"/>
  <c r="AD82" i="5"/>
  <c r="F81" i="5" s="1"/>
  <c r="AD73" i="5"/>
  <c r="G63" i="5"/>
  <c r="H63" i="5"/>
  <c r="I63" i="5"/>
  <c r="J63" i="5"/>
  <c r="L63" i="5"/>
  <c r="AD64" i="5"/>
  <c r="J81" i="5" l="1"/>
  <c r="E81" i="5" s="1"/>
  <c r="E64" i="5"/>
  <c r="F124" i="5"/>
  <c r="AD124" i="5"/>
  <c r="AD117" i="5" s="1"/>
  <c r="AD81" i="5"/>
  <c r="E33" i="4"/>
  <c r="F33" i="4" s="1"/>
  <c r="G33" i="4" s="1"/>
  <c r="F34" i="4"/>
  <c r="G34" i="4" s="1"/>
  <c r="W27" i="4"/>
  <c r="E29" i="4"/>
  <c r="K130" i="5"/>
  <c r="G130" i="5"/>
  <c r="J72" i="5" l="1"/>
  <c r="F117" i="5"/>
  <c r="F116" i="5" s="1"/>
  <c r="E124" i="5"/>
  <c r="E28" i="4"/>
  <c r="F29" i="4"/>
  <c r="J131" i="5"/>
  <c r="I154" i="5"/>
  <c r="J130" i="5" l="1"/>
  <c r="I131" i="5"/>
  <c r="E27" i="4"/>
  <c r="F27" i="4" s="1"/>
  <c r="G27" i="4" s="1"/>
  <c r="F28" i="4"/>
  <c r="AD150" i="5"/>
  <c r="I130" i="5" l="1"/>
  <c r="W6" i="4" l="1"/>
  <c r="W5" i="4" s="1"/>
  <c r="E5" i="4" l="1"/>
  <c r="E4" i="4" s="1"/>
  <c r="W4" i="4"/>
  <c r="M7" i="5"/>
  <c r="F5" i="4" l="1"/>
  <c r="F4" i="4" s="1"/>
  <c r="G4" i="4" s="1"/>
  <c r="AD205" i="5" l="1"/>
  <c r="F63" i="5"/>
  <c r="AD19" i="5"/>
  <c r="F14" i="5" s="1"/>
  <c r="E14" i="5" s="1"/>
  <c r="M14" i="5" s="1"/>
  <c r="AD12" i="5"/>
  <c r="E88" i="5"/>
  <c r="AD155" i="5"/>
  <c r="AD11" i="5" l="1"/>
  <c r="H11" i="5"/>
  <c r="H6" i="5" s="1"/>
  <c r="H5" i="5" s="1"/>
  <c r="F154" i="5"/>
  <c r="E154" i="5" s="1"/>
  <c r="AD14" i="5"/>
  <c r="S33" i="5" s="1"/>
  <c r="AD33" i="5" s="1"/>
  <c r="J6" i="5"/>
  <c r="J5" i="5" s="1"/>
  <c r="J4" i="5" s="1"/>
  <c r="AD69" i="5"/>
  <c r="K63" i="5"/>
  <c r="L131" i="5"/>
  <c r="L130" i="5" s="1"/>
  <c r="M88" i="5"/>
  <c r="N88" i="5" s="1"/>
  <c r="F72" i="5"/>
  <c r="AD154" i="5"/>
  <c r="I6" i="5"/>
  <c r="L72" i="5"/>
  <c r="L6" i="5"/>
  <c r="E132" i="5"/>
  <c r="M121" i="5"/>
  <c r="N121" i="5" s="1"/>
  <c r="AD112" i="5"/>
  <c r="N7" i="5"/>
  <c r="M141" i="5"/>
  <c r="N141" i="5" s="1"/>
  <c r="E11" i="5" l="1"/>
  <c r="S39" i="5"/>
  <c r="AD39" i="5" s="1"/>
  <c r="AD32" i="5"/>
  <c r="M154" i="5"/>
  <c r="N154" i="5" s="1"/>
  <c r="K72" i="5"/>
  <c r="E112" i="5"/>
  <c r="M112" i="5" s="1"/>
  <c r="N112" i="5" s="1"/>
  <c r="AD63" i="5"/>
  <c r="M69" i="5"/>
  <c r="N69" i="5" s="1"/>
  <c r="M58" i="5"/>
  <c r="N58" i="5" s="1"/>
  <c r="I72" i="5"/>
  <c r="I5" i="5" s="1"/>
  <c r="I4" i="5" s="1"/>
  <c r="H131" i="5"/>
  <c r="H130" i="5" s="1"/>
  <c r="H4" i="5" s="1"/>
  <c r="L5" i="5"/>
  <c r="L4" i="5" s="1"/>
  <c r="G6" i="5"/>
  <c r="G5" i="5" s="1"/>
  <c r="G4" i="5" s="1"/>
  <c r="M132" i="5"/>
  <c r="N132" i="5" s="1"/>
  <c r="AD131" i="5"/>
  <c r="AD130" i="5" s="1"/>
  <c r="M73" i="5"/>
  <c r="N73" i="5" s="1"/>
  <c r="F131" i="5"/>
  <c r="F130" i="5" s="1"/>
  <c r="M124" i="5"/>
  <c r="N124" i="5" s="1"/>
  <c r="E117" i="5"/>
  <c r="E116" i="5" s="1"/>
  <c r="AD116" i="5"/>
  <c r="M107" i="5"/>
  <c r="N107" i="5" s="1"/>
  <c r="K6" i="5"/>
  <c r="M64" i="5"/>
  <c r="N64" i="5" s="1"/>
  <c r="M81" i="5"/>
  <c r="N81" i="5" s="1"/>
  <c r="M150" i="5"/>
  <c r="N150" i="5" s="1"/>
  <c r="M160" i="5"/>
  <c r="N160" i="5" s="1"/>
  <c r="M206" i="5"/>
  <c r="N206" i="5" s="1"/>
  <c r="E205" i="5"/>
  <c r="D6" i="5"/>
  <c r="M164" i="5"/>
  <c r="N164" i="5" s="1"/>
  <c r="M67" i="5"/>
  <c r="N67" i="5" s="1"/>
  <c r="G5" i="4"/>
  <c r="D5" i="5" l="1"/>
  <c r="D4" i="5" s="1"/>
  <c r="S42" i="5"/>
  <c r="AD42" i="5" s="1"/>
  <c r="AD41" i="5" s="1"/>
  <c r="F32" i="5"/>
  <c r="E32" i="5" s="1"/>
  <c r="M32" i="5" s="1"/>
  <c r="N32" i="5" s="1"/>
  <c r="K5" i="5"/>
  <c r="K4" i="5" s="1"/>
  <c r="AD72" i="5"/>
  <c r="AD38" i="5"/>
  <c r="M11" i="5"/>
  <c r="N11" i="5" s="1"/>
  <c r="M205" i="5"/>
  <c r="N205" i="5" s="1"/>
  <c r="AD215" i="5"/>
  <c r="E131" i="5"/>
  <c r="E130" i="5" s="1"/>
  <c r="M116" i="5"/>
  <c r="N116" i="5" s="1"/>
  <c r="M117" i="5"/>
  <c r="N117" i="5" s="1"/>
  <c r="E63" i="5"/>
  <c r="M63" i="5" s="1"/>
  <c r="N63" i="5" s="1"/>
  <c r="N14" i="5"/>
  <c r="M219" i="5"/>
  <c r="N219" i="5" s="1"/>
  <c r="E218" i="5"/>
  <c r="M218" i="5" s="1"/>
  <c r="N218" i="5" s="1"/>
  <c r="S46" i="5" l="1"/>
  <c r="S49" i="5"/>
  <c r="AD49" i="5" s="1"/>
  <c r="M131" i="5"/>
  <c r="N131" i="5" s="1"/>
  <c r="M216" i="5"/>
  <c r="N216" i="5" s="1"/>
  <c r="E215" i="5"/>
  <c r="M215" i="5" s="1"/>
  <c r="N215" i="5" s="1"/>
  <c r="M76" i="5"/>
  <c r="N76" i="5" s="1"/>
  <c r="E72" i="5"/>
  <c r="M72" i="5" s="1"/>
  <c r="N72" i="5" s="1"/>
  <c r="AD46" i="5" l="1"/>
  <c r="AD45" i="5" s="1"/>
  <c r="AD48" i="5"/>
  <c r="S53" i="5"/>
  <c r="M130" i="5"/>
  <c r="N130" i="5" s="1"/>
  <c r="AD53" i="5" l="1"/>
  <c r="AD52" i="5" s="1"/>
  <c r="AD36" i="5" l="1"/>
  <c r="AD6" i="5" s="1"/>
  <c r="AD5" i="5" s="1"/>
  <c r="AD4" i="5" s="1"/>
  <c r="F36" i="5"/>
  <c r="E36" i="5" s="1"/>
  <c r="M36" i="5" s="1"/>
  <c r="N36" i="5" s="1"/>
  <c r="F6" i="5" l="1"/>
  <c r="F5" i="5" s="1"/>
  <c r="F4" i="5" s="1"/>
  <c r="E6" i="5"/>
  <c r="E5" i="5" s="1"/>
  <c r="E4" i="5" s="1"/>
  <c r="M4" i="5" s="1"/>
  <c r="N4" i="5" s="1"/>
  <c r="M6" i="5" l="1"/>
  <c r="N6" i="5" s="1"/>
  <c r="M5" i="5"/>
  <c r="N5" i="5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보조금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경장연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대체인력지원금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<sst xmlns="http://schemas.openxmlformats.org/spreadsheetml/2006/main" count="1684" uniqueCount="756">
  <si>
    <t>월</t>
    <phoneticPr fontId="9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</si>
  <si>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</si>
  <si>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</si>
  <si>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</si>
  <si>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</si>
  <si>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</si>
  <si>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</si>
  <si>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</si>
  <si>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</si>
  <si>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</si>
  <si>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</si>
  <si>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</si>
  <si>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</si>
  <si>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</si>
  <si>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</si>
  <si>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</si>
  <si>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</si>
  <si>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</si>
  <si>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</si>
  <si>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</si>
  <si>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</si>
  <si>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</si>
  <si>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</si>
  <si>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</si>
  <si>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</si>
  <si>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</si>
  <si>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</si>
  <si>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</si>
  <si>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</si>
  <si>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</si>
  <si>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</si>
  <si>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</si>
  <si>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</si>
  <si>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</si>
  <si>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</si>
  <si>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</si>
  <si>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</si>
  <si>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</si>
  <si>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</si>
  <si>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</si>
  <si>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</si>
  <si>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</si>
  <si>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</si>
  <si>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</si>
  <si>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</si>
  <si>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</si>
  <si>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</si>
  <si>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</si>
  <si>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</si>
  <si>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</si>
  <si>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</si>
  <si>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</si>
  <si>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</si>
  <si>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9" type="noConversion"/>
  </si>
  <si>
    <t>산              출               기              초</t>
    <phoneticPr fontId="9" type="noConversion"/>
  </si>
  <si>
    <t>산               출                기               초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</si>
  <si>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</si>
  <si>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</si>
  <si>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</si>
  <si>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생계비</t>
    <phoneticPr fontId="9" type="noConversion"/>
  </si>
  <si>
    <t>입  소</t>
    <phoneticPr fontId="9" type="noConversion"/>
  </si>
  <si>
    <t>비  용</t>
    <phoneticPr fontId="9" type="noConversion"/>
  </si>
  <si>
    <t>합  계 :</t>
    <phoneticPr fontId="9" type="noConversion"/>
  </si>
  <si>
    <t>후원금</t>
    <phoneticPr fontId="9" type="noConversion"/>
  </si>
  <si>
    <t>잡수입</t>
    <phoneticPr fontId="9" type="noConversion"/>
  </si>
  <si>
    <t xml:space="preserve">                                                                                    </t>
    <phoneticPr fontId="9" type="noConversion"/>
  </si>
  <si>
    <t>과            목</t>
    <phoneticPr fontId="9" type="noConversion"/>
  </si>
  <si>
    <t>원</t>
    <phoneticPr fontId="9" type="noConversion"/>
  </si>
  <si>
    <t>총  계 :</t>
    <phoneticPr fontId="9" type="noConversion"/>
  </si>
  <si>
    <t>총  계 :</t>
    <phoneticPr fontId="9" type="noConversion"/>
  </si>
  <si>
    <t>소계 :</t>
    <phoneticPr fontId="9" type="noConversion"/>
  </si>
  <si>
    <t>÷</t>
    <phoneticPr fontId="9" type="noConversion"/>
  </si>
  <si>
    <t>회</t>
    <phoneticPr fontId="9" type="noConversion"/>
  </si>
  <si>
    <t>후원금</t>
    <phoneticPr fontId="9" type="noConversion"/>
  </si>
  <si>
    <t xml:space="preserve">  *후원금 수입</t>
    <phoneticPr fontId="9" type="noConversion"/>
  </si>
  <si>
    <t>전입금</t>
    <phoneticPr fontId="9" type="noConversion"/>
  </si>
  <si>
    <t>잡수입</t>
    <phoneticPr fontId="9" type="noConversion"/>
  </si>
  <si>
    <t>일용잡급</t>
    <phoneticPr fontId="9" type="noConversion"/>
  </si>
  <si>
    <t>※기본급</t>
    <phoneticPr fontId="9" type="noConversion"/>
  </si>
  <si>
    <t>원</t>
    <phoneticPr fontId="9" type="noConversion"/>
  </si>
  <si>
    <t>※ 일용잡급</t>
    <phoneticPr fontId="9" type="noConversion"/>
  </si>
  <si>
    <t>일</t>
    <phoneticPr fontId="9" type="noConversion"/>
  </si>
  <si>
    <t>사회보험</t>
    <phoneticPr fontId="9" type="noConversion"/>
  </si>
  <si>
    <t>기타후생</t>
    <phoneticPr fontId="9" type="noConversion"/>
  </si>
  <si>
    <t>※ 기타후생경비</t>
    <phoneticPr fontId="9" type="noConversion"/>
  </si>
  <si>
    <t>회  의  비</t>
    <phoneticPr fontId="9" type="noConversion"/>
  </si>
  <si>
    <t>여    비</t>
    <phoneticPr fontId="9" type="noConversion"/>
  </si>
  <si>
    <t>보조</t>
    <phoneticPr fontId="9" type="noConversion"/>
  </si>
  <si>
    <t>기타운영비</t>
    <phoneticPr fontId="9" type="noConversion"/>
  </si>
  <si>
    <t>※ 직원 교육훈련비</t>
    <phoneticPr fontId="9" type="noConversion"/>
  </si>
  <si>
    <t>피복비</t>
    <phoneticPr fontId="9" type="noConversion"/>
  </si>
  <si>
    <t>의료비</t>
    <phoneticPr fontId="9" type="noConversion"/>
  </si>
  <si>
    <t>연료비</t>
    <phoneticPr fontId="9" type="noConversion"/>
  </si>
  <si>
    <t>운영비</t>
    <phoneticPr fontId="9" type="noConversion"/>
  </si>
  <si>
    <t>※ 생계비</t>
    <phoneticPr fontId="9" type="noConversion"/>
  </si>
  <si>
    <t>수용기관</t>
    <phoneticPr fontId="9" type="noConversion"/>
  </si>
  <si>
    <t>※ 수용기관경비</t>
    <phoneticPr fontId="9" type="noConversion"/>
  </si>
  <si>
    <t>※ 연료비</t>
    <phoneticPr fontId="9" type="noConversion"/>
  </si>
  <si>
    <t>프로그램</t>
    <phoneticPr fontId="9" type="noConversion"/>
  </si>
  <si>
    <t>잡지출</t>
    <phoneticPr fontId="9" type="noConversion"/>
  </si>
  <si>
    <t>※ 잡지출</t>
    <phoneticPr fontId="9" type="noConversion"/>
  </si>
  <si>
    <t>일</t>
    <phoneticPr fontId="9" type="noConversion"/>
  </si>
  <si>
    <t>운      영      비</t>
    <phoneticPr fontId="30" type="noConversion"/>
  </si>
  <si>
    <t>재산조성비</t>
    <phoneticPr fontId="30" type="noConversion"/>
  </si>
  <si>
    <t>시      설      비</t>
    <phoneticPr fontId="30" type="noConversion"/>
  </si>
  <si>
    <t>후원금  수입</t>
    <phoneticPr fontId="30" type="noConversion"/>
  </si>
  <si>
    <t>지정      후원금</t>
    <phoneticPr fontId="30" type="noConversion"/>
  </si>
  <si>
    <t>자 산   취 득 비</t>
    <phoneticPr fontId="30" type="noConversion"/>
  </si>
  <si>
    <t>비지정   후원금</t>
    <phoneticPr fontId="30" type="noConversion"/>
  </si>
  <si>
    <t>시설장비유지비</t>
    <phoneticPr fontId="30" type="noConversion"/>
  </si>
  <si>
    <t>전    입    금</t>
    <phoneticPr fontId="30" type="noConversion"/>
  </si>
  <si>
    <t>법인      전입금</t>
    <phoneticPr fontId="30" type="noConversion"/>
  </si>
  <si>
    <t>사   업   비</t>
    <phoneticPr fontId="30" type="noConversion"/>
  </si>
  <si>
    <t>생      계      비</t>
    <phoneticPr fontId="30" type="noConversion"/>
  </si>
  <si>
    <t>이    월    금</t>
    <phoneticPr fontId="30" type="noConversion"/>
  </si>
  <si>
    <t>전년도   이월금</t>
    <phoneticPr fontId="30" type="noConversion"/>
  </si>
  <si>
    <t>수용기관   경비</t>
    <phoneticPr fontId="30" type="noConversion"/>
  </si>
  <si>
    <t>잡    수    입</t>
    <phoneticPr fontId="30" type="noConversion"/>
  </si>
  <si>
    <t>잡      수      입</t>
    <phoneticPr fontId="30" type="noConversion"/>
  </si>
  <si>
    <t>피      복      비</t>
    <phoneticPr fontId="30" type="noConversion"/>
  </si>
  <si>
    <t>의      료      비</t>
    <phoneticPr fontId="30" type="noConversion"/>
  </si>
  <si>
    <t>연      료      비</t>
    <phoneticPr fontId="30" type="noConversion"/>
  </si>
  <si>
    <t>프로그램사업비</t>
    <phoneticPr fontId="30" type="noConversion"/>
  </si>
  <si>
    <t>보조금   반납금</t>
    <phoneticPr fontId="30" type="noConversion"/>
  </si>
  <si>
    <t>잡   지   출</t>
    <phoneticPr fontId="30" type="noConversion"/>
  </si>
  <si>
    <t>잡      지      출</t>
    <phoneticPr fontId="30" type="noConversion"/>
  </si>
  <si>
    <t>예   비   비</t>
    <phoneticPr fontId="30" type="noConversion"/>
  </si>
  <si>
    <t>예      비      비</t>
    <phoneticPr fontId="30" type="noConversion"/>
  </si>
  <si>
    <t>원</t>
    <phoneticPr fontId="9" type="noConversion"/>
  </si>
  <si>
    <t>입소자
부담금</t>
    <phoneticPr fontId="9" type="noConversion"/>
  </si>
  <si>
    <t>비  용</t>
  </si>
  <si>
    <t>법인
전입금</t>
    <phoneticPr fontId="9" type="noConversion"/>
  </si>
  <si>
    <t>입   소</t>
    <phoneticPr fontId="9" type="noConversion"/>
  </si>
  <si>
    <t>계
(B)</t>
    <phoneticPr fontId="9" type="noConversion"/>
  </si>
  <si>
    <t>금액
(B-A)</t>
    <phoneticPr fontId="9" type="noConversion"/>
  </si>
  <si>
    <t>합  계 :</t>
    <phoneticPr fontId="9" type="noConversion"/>
  </si>
  <si>
    <t>부담금</t>
    <phoneticPr fontId="9" type="noConversion"/>
  </si>
  <si>
    <t>업   무</t>
    <phoneticPr fontId="9" type="noConversion"/>
  </si>
  <si>
    <t>경      비</t>
    <phoneticPr fontId="9" type="noConversion"/>
  </si>
  <si>
    <t>사업비</t>
    <phoneticPr fontId="9" type="noConversion"/>
  </si>
  <si>
    <t>원</t>
    <phoneticPr fontId="9" type="noConversion"/>
  </si>
  <si>
    <t>소  계 :</t>
    <phoneticPr fontId="9" type="noConversion"/>
  </si>
  <si>
    <t>※ 피복비</t>
  </si>
  <si>
    <t>※ 의료비</t>
    <phoneticPr fontId="9" type="noConversion"/>
  </si>
  <si>
    <t>추진비</t>
    <phoneticPr fontId="9" type="noConversion"/>
  </si>
  <si>
    <t>업무추진비</t>
    <phoneticPr fontId="9" type="noConversion"/>
  </si>
  <si>
    <t>※ 직책보조비</t>
    <phoneticPr fontId="9" type="noConversion"/>
  </si>
  <si>
    <t>소계:</t>
    <phoneticPr fontId="9" type="noConversion"/>
  </si>
  <si>
    <t>인건비</t>
    <phoneticPr fontId="9" type="noConversion"/>
  </si>
  <si>
    <t>운영비</t>
    <phoneticPr fontId="9" type="noConversion"/>
  </si>
  <si>
    <t>명</t>
  </si>
  <si>
    <t>재산조성비</t>
    <phoneticPr fontId="9" type="noConversion"/>
  </si>
  <si>
    <t>계</t>
    <phoneticPr fontId="9" type="noConversion"/>
  </si>
  <si>
    <t>시설비</t>
    <phoneticPr fontId="9" type="noConversion"/>
  </si>
  <si>
    <t>수수료</t>
    <phoneticPr fontId="9" type="noConversion"/>
  </si>
  <si>
    <t>사업비</t>
    <phoneticPr fontId="9" type="noConversion"/>
  </si>
  <si>
    <t>계</t>
    <phoneticPr fontId="9" type="noConversion"/>
  </si>
  <si>
    <t>경비</t>
    <phoneticPr fontId="9" type="noConversion"/>
  </si>
  <si>
    <t>조성비</t>
    <phoneticPr fontId="9" type="noConversion"/>
  </si>
  <si>
    <t>보조금</t>
    <phoneticPr fontId="9" type="noConversion"/>
  </si>
  <si>
    <t>반환금</t>
    <phoneticPr fontId="9" type="noConversion"/>
  </si>
  <si>
    <t>반환금</t>
    <phoneticPr fontId="9" type="noConversion"/>
  </si>
  <si>
    <t>보조금 반환금</t>
    <phoneticPr fontId="9" type="noConversion"/>
  </si>
  <si>
    <t>후원</t>
    <phoneticPr fontId="9" type="noConversion"/>
  </si>
  <si>
    <t>유지비</t>
    <phoneticPr fontId="9" type="noConversion"/>
  </si>
  <si>
    <t>보조금반환</t>
    <phoneticPr fontId="30" type="noConversion"/>
  </si>
  <si>
    <t>※ 입소비용수입</t>
    <phoneticPr fontId="9" type="noConversion"/>
  </si>
  <si>
    <t>※ 총 계</t>
    <phoneticPr fontId="9" type="noConversion"/>
  </si>
  <si>
    <t>원</t>
    <phoneticPr fontId="9" type="noConversion"/>
  </si>
  <si>
    <t>월</t>
    <phoneticPr fontId="9" type="noConversion"/>
  </si>
  <si>
    <t>세       입</t>
    <phoneticPr fontId="30" type="noConversion"/>
  </si>
  <si>
    <t>세       출</t>
    <phoneticPr fontId="30" type="noConversion"/>
  </si>
  <si>
    <t>구        분</t>
    <phoneticPr fontId="30" type="noConversion"/>
  </si>
  <si>
    <t>증감</t>
    <phoneticPr fontId="30" type="noConversion"/>
  </si>
  <si>
    <t>합        계</t>
    <phoneticPr fontId="30" type="noConversion"/>
  </si>
  <si>
    <t>입소비용수입</t>
    <phoneticPr fontId="30" type="noConversion"/>
  </si>
  <si>
    <t>입소비용   수입</t>
    <phoneticPr fontId="30" type="noConversion"/>
  </si>
  <si>
    <t>사   무   비</t>
    <phoneticPr fontId="30" type="noConversion"/>
  </si>
  <si>
    <t>인      건      비</t>
    <phoneticPr fontId="30" type="noConversion"/>
  </si>
  <si>
    <t>보조금  수입</t>
    <phoneticPr fontId="30" type="noConversion"/>
  </si>
  <si>
    <t>업 무   추 진 비</t>
    <phoneticPr fontId="30" type="noConversion"/>
  </si>
  <si>
    <t>목</t>
    <phoneticPr fontId="9" type="noConversion"/>
  </si>
  <si>
    <t>사 업</t>
    <phoneticPr fontId="9" type="noConversion"/>
  </si>
  <si>
    <t>수 입</t>
    <phoneticPr fontId="9" type="noConversion"/>
  </si>
  <si>
    <t>사 업</t>
    <phoneticPr fontId="9" type="noConversion"/>
  </si>
  <si>
    <t>수 입</t>
    <phoneticPr fontId="9" type="noConversion"/>
  </si>
  <si>
    <t>※ 사업수입</t>
    <phoneticPr fontId="9" type="noConversion"/>
  </si>
  <si>
    <t>보조금</t>
    <phoneticPr fontId="9" type="noConversion"/>
  </si>
  <si>
    <t>과년도</t>
    <phoneticPr fontId="9" type="noConversion"/>
  </si>
  <si>
    <t>수  입</t>
    <phoneticPr fontId="9" type="noConversion"/>
  </si>
  <si>
    <t>과년도</t>
    <phoneticPr fontId="9" type="noConversion"/>
  </si>
  <si>
    <t>국 고</t>
    <phoneticPr fontId="9" type="noConversion"/>
  </si>
  <si>
    <t xml:space="preserve"> &lt;국고 보조금 합계&gt;</t>
    <phoneticPr fontId="9" type="noConversion"/>
  </si>
  <si>
    <t>시 도</t>
    <phoneticPr fontId="9" type="noConversion"/>
  </si>
  <si>
    <t>보조금</t>
    <phoneticPr fontId="9" type="noConversion"/>
  </si>
  <si>
    <t>시군구</t>
    <phoneticPr fontId="9" type="noConversion"/>
  </si>
  <si>
    <t xml:space="preserve"> &lt;시군구 보조금 합계&gt;</t>
    <phoneticPr fontId="9" type="noConversion"/>
  </si>
  <si>
    <t>기 타</t>
    <phoneticPr fontId="9" type="noConversion"/>
  </si>
  <si>
    <t>지 정</t>
    <phoneticPr fontId="9" type="noConversion"/>
  </si>
  <si>
    <t>후원금</t>
    <phoneticPr fontId="9" type="noConversion"/>
  </si>
  <si>
    <t>&lt;지정후원금&gt;</t>
    <phoneticPr fontId="9" type="noConversion"/>
  </si>
  <si>
    <t>비지정</t>
    <phoneticPr fontId="9" type="noConversion"/>
  </si>
  <si>
    <t xml:space="preserve"> &lt;비지정 후원금 합계&gt;</t>
    <phoneticPr fontId="9" type="noConversion"/>
  </si>
  <si>
    <t>차입금</t>
    <phoneticPr fontId="9" type="noConversion"/>
  </si>
  <si>
    <t>금융</t>
    <phoneticPr fontId="9" type="noConversion"/>
  </si>
  <si>
    <t>기관</t>
    <phoneticPr fontId="9" type="noConversion"/>
  </si>
  <si>
    <t xml:space="preserve"> &lt;금융기관 차입금&gt;</t>
    <phoneticPr fontId="9" type="noConversion"/>
  </si>
  <si>
    <t xml:space="preserve">  *금융기관 차입금</t>
    <phoneticPr fontId="9" type="noConversion"/>
  </si>
  <si>
    <t xml:space="preserve"> &lt;기타 차입금&gt;</t>
    <phoneticPr fontId="9" type="noConversion"/>
  </si>
  <si>
    <t xml:space="preserve">  *기타 차입금</t>
    <phoneticPr fontId="9" type="noConversion"/>
  </si>
  <si>
    <t>법 인</t>
    <phoneticPr fontId="9" type="noConversion"/>
  </si>
  <si>
    <t>전입금</t>
    <phoneticPr fontId="9" type="noConversion"/>
  </si>
  <si>
    <t>법인</t>
    <phoneticPr fontId="9" type="noConversion"/>
  </si>
  <si>
    <t>(후원)</t>
    <phoneticPr fontId="9" type="noConversion"/>
  </si>
  <si>
    <t xml:space="preserve"> &lt;법인 전입금&gt;</t>
    <phoneticPr fontId="9" type="noConversion"/>
  </si>
  <si>
    <t xml:space="preserve">  *법인 전입금(후원금)</t>
    <phoneticPr fontId="9" type="noConversion"/>
  </si>
  <si>
    <t>전년도</t>
    <phoneticPr fontId="9" type="noConversion"/>
  </si>
  <si>
    <t>이월금</t>
    <phoneticPr fontId="9" type="noConversion"/>
  </si>
  <si>
    <t xml:space="preserve"> &lt;전년도이월금(후원금)&gt;</t>
    <phoneticPr fontId="9" type="noConversion"/>
  </si>
  <si>
    <t>이 월</t>
    <phoneticPr fontId="9" type="noConversion"/>
  </si>
  <si>
    <t>사업비</t>
    <phoneticPr fontId="9" type="noConversion"/>
  </si>
  <si>
    <t xml:space="preserve"> &lt;이월 사업비&gt;</t>
    <phoneticPr fontId="9" type="noConversion"/>
  </si>
  <si>
    <t>불용품</t>
    <phoneticPr fontId="9" type="noConversion"/>
  </si>
  <si>
    <t>매각대</t>
    <phoneticPr fontId="9" type="noConversion"/>
  </si>
  <si>
    <t>기타예</t>
    <phoneticPr fontId="9" type="noConversion"/>
  </si>
  <si>
    <t>금이자</t>
    <phoneticPr fontId="9" type="noConversion"/>
  </si>
  <si>
    <t>잡수입</t>
    <phoneticPr fontId="9" type="noConversion"/>
  </si>
  <si>
    <t xml:space="preserve"> &lt;불용품매각대&gt;</t>
    <phoneticPr fontId="9" type="noConversion"/>
  </si>
  <si>
    <t xml:space="preserve"> &lt;기타예금이자수입&gt;</t>
    <phoneticPr fontId="9" type="noConversion"/>
  </si>
  <si>
    <t>계:</t>
    <phoneticPr fontId="9" type="noConversion"/>
  </si>
  <si>
    <t>수 입</t>
    <phoneticPr fontId="9" type="noConversion"/>
  </si>
  <si>
    <t>수 입</t>
    <phoneticPr fontId="9" type="noConversion"/>
  </si>
  <si>
    <t>원</t>
    <phoneticPr fontId="9" type="noConversion"/>
  </si>
  <si>
    <t>※ 과년도 수입</t>
    <phoneticPr fontId="9" type="noConversion"/>
  </si>
  <si>
    <t>소계 :</t>
    <phoneticPr fontId="9" type="noConversion"/>
  </si>
  <si>
    <t>원</t>
    <phoneticPr fontId="9" type="noConversion"/>
  </si>
  <si>
    <t xml:space="preserve"> &lt;시도 보조금 합계&gt;</t>
    <phoneticPr fontId="9" type="noConversion"/>
  </si>
  <si>
    <t>원</t>
    <phoneticPr fontId="9" type="noConversion"/>
  </si>
  <si>
    <t>=</t>
    <phoneticPr fontId="9" type="noConversion"/>
  </si>
  <si>
    <t>&lt;운영비&gt;</t>
    <phoneticPr fontId="9" type="noConversion"/>
  </si>
  <si>
    <t xml:space="preserve"> *법인전입금</t>
    <phoneticPr fontId="9" type="noConversion"/>
  </si>
  <si>
    <t>원</t>
    <phoneticPr fontId="9" type="noConversion"/>
  </si>
  <si>
    <t xml:space="preserve"> &lt;입소비용이월금&gt;</t>
    <phoneticPr fontId="9" type="noConversion"/>
  </si>
  <si>
    <t xml:space="preserve"> &lt;보조금이월금&gt;</t>
    <phoneticPr fontId="9" type="noConversion"/>
  </si>
  <si>
    <t xml:space="preserve"> &lt;법인전입금이월금&gt;</t>
    <phoneticPr fontId="9" type="noConversion"/>
  </si>
  <si>
    <t xml:space="preserve"> &lt;잡수입이월금&gt;</t>
    <phoneticPr fontId="9" type="noConversion"/>
  </si>
  <si>
    <t xml:space="preserve"> &lt;기타잡수입&gt;</t>
    <phoneticPr fontId="9" type="noConversion"/>
  </si>
  <si>
    <t>원</t>
    <phoneticPr fontId="9" type="noConversion"/>
  </si>
  <si>
    <t>소계 :</t>
    <phoneticPr fontId="9" type="noConversion"/>
  </si>
  <si>
    <t xml:space="preserve">  *결연후원금</t>
    <phoneticPr fontId="9" type="noConversion"/>
  </si>
  <si>
    <t>소  계</t>
    <phoneticPr fontId="9" type="noConversion"/>
  </si>
  <si>
    <t>※ 보조금수입 합계</t>
    <phoneticPr fontId="9" type="noConversion"/>
  </si>
  <si>
    <t>소  계</t>
    <phoneticPr fontId="9" type="noConversion"/>
  </si>
  <si>
    <t>※후원금수입</t>
    <phoneticPr fontId="9" type="noConversion"/>
  </si>
  <si>
    <t>※ 차 입 금</t>
    <phoneticPr fontId="9" type="noConversion"/>
  </si>
  <si>
    <t>※법인 전입금</t>
    <phoneticPr fontId="9" type="noConversion"/>
  </si>
  <si>
    <t>※이 월 금</t>
    <phoneticPr fontId="9" type="noConversion"/>
  </si>
  <si>
    <t>※ 잡 수 입</t>
    <phoneticPr fontId="9" type="noConversion"/>
  </si>
  <si>
    <t xml:space="preserve"> &lt;지정 후원금 합계&gt;</t>
    <phoneticPr fontId="9" type="noConversion"/>
  </si>
  <si>
    <t xml:space="preserve"> &lt;법인 전입금&gt;</t>
    <phoneticPr fontId="9" type="noConversion"/>
  </si>
  <si>
    <t xml:space="preserve"> &lt;법인 전입금(후원금)&gt;</t>
    <phoneticPr fontId="9" type="noConversion"/>
  </si>
  <si>
    <t xml:space="preserve"> &lt;전년도 이월금&gt;</t>
    <phoneticPr fontId="9" type="noConversion"/>
  </si>
  <si>
    <t>합    계 :</t>
    <phoneticPr fontId="9" type="noConversion"/>
  </si>
  <si>
    <t xml:space="preserve"> </t>
    <phoneticPr fontId="9" type="noConversion"/>
  </si>
  <si>
    <t>원</t>
    <phoneticPr fontId="9" type="noConversion"/>
  </si>
  <si>
    <t>국고보조금</t>
    <phoneticPr fontId="30" type="noConversion"/>
  </si>
  <si>
    <t>시도보조금</t>
    <phoneticPr fontId="30" type="noConversion"/>
  </si>
  <si>
    <t>시군구보조금</t>
    <phoneticPr fontId="30" type="noConversion"/>
  </si>
  <si>
    <t>* 입소자 제작 물품판매 수입</t>
    <phoneticPr fontId="9" type="noConversion"/>
  </si>
  <si>
    <t>* 입소비용수입</t>
    <phoneticPr fontId="9" type="noConversion"/>
  </si>
  <si>
    <t xml:space="preserve"> * 입소비용이월액</t>
    <phoneticPr fontId="9" type="noConversion"/>
  </si>
  <si>
    <t xml:space="preserve"> * 예금이자(입소비용)</t>
    <phoneticPr fontId="9" type="noConversion"/>
  </si>
  <si>
    <t xml:space="preserve"> * 운영비보조금이월액</t>
    <phoneticPr fontId="9" type="noConversion"/>
  </si>
  <si>
    <t xml:space="preserve"> * 법인전입금이월액</t>
    <phoneticPr fontId="9" type="noConversion"/>
  </si>
  <si>
    <t xml:space="preserve"> * 예금이자(법인전입금)</t>
    <phoneticPr fontId="9" type="noConversion"/>
  </si>
  <si>
    <t xml:space="preserve"> * 잡수입이월액</t>
    <phoneticPr fontId="9" type="noConversion"/>
  </si>
  <si>
    <t xml:space="preserve"> * 예금이자(잡수입)</t>
    <phoneticPr fontId="9" type="noConversion"/>
  </si>
  <si>
    <t xml:space="preserve"> &lt;후원금이월금&gt;</t>
    <phoneticPr fontId="9" type="noConversion"/>
  </si>
  <si>
    <t xml:space="preserve"> * 후원금이월액</t>
    <phoneticPr fontId="9" type="noConversion"/>
  </si>
  <si>
    <t>※ 보조금 반환금(수원시)</t>
    <phoneticPr fontId="9" type="noConversion"/>
  </si>
  <si>
    <t>원</t>
    <phoneticPr fontId="9" type="noConversion"/>
  </si>
  <si>
    <t>회</t>
    <phoneticPr fontId="9" type="noConversion"/>
  </si>
  <si>
    <t>4종</t>
    <phoneticPr fontId="9" type="noConversion"/>
  </si>
  <si>
    <t>7종</t>
    <phoneticPr fontId="9" type="noConversion"/>
  </si>
  <si>
    <t>월</t>
    <phoneticPr fontId="9" type="noConversion"/>
  </si>
  <si>
    <t>=</t>
    <phoneticPr fontId="9" type="noConversion"/>
  </si>
  <si>
    <t>소계:</t>
    <phoneticPr fontId="9" type="noConversion"/>
  </si>
  <si>
    <t>명</t>
    <phoneticPr fontId="9" type="noConversion"/>
  </si>
  <si>
    <t>입소</t>
    <phoneticPr fontId="9" type="noConversion"/>
  </si>
  <si>
    <t>×</t>
    <phoneticPr fontId="9" type="noConversion"/>
  </si>
  <si>
    <t>보조</t>
    <phoneticPr fontId="9" type="noConversion"/>
  </si>
  <si>
    <t>세출총계</t>
    <phoneticPr fontId="9" type="noConversion"/>
  </si>
  <si>
    <t>사무비</t>
    <phoneticPr fontId="9" type="noConversion"/>
  </si>
  <si>
    <t>인건비</t>
    <phoneticPr fontId="9" type="noConversion"/>
  </si>
  <si>
    <t xml:space="preserve"> * 교육 및 출장여비</t>
    <phoneticPr fontId="9" type="noConversion"/>
  </si>
  <si>
    <t>회의비</t>
    <phoneticPr fontId="9" type="noConversion"/>
  </si>
  <si>
    <t>여비</t>
    <phoneticPr fontId="9" type="noConversion"/>
  </si>
  <si>
    <t>공공요금</t>
    <phoneticPr fontId="9" type="noConversion"/>
  </si>
  <si>
    <t>차량비</t>
    <phoneticPr fontId="9" type="noConversion"/>
  </si>
  <si>
    <t>월동대책비</t>
    <phoneticPr fontId="9" type="noConversion"/>
  </si>
  <si>
    <t>특별위로금</t>
    <phoneticPr fontId="9" type="noConversion"/>
  </si>
  <si>
    <t>국비기능보강사업</t>
    <phoneticPr fontId="9" type="noConversion"/>
  </si>
  <si>
    <t>기본급</t>
    <phoneticPr fontId="9" type="noConversion"/>
  </si>
  <si>
    <t>명절휴가비</t>
    <phoneticPr fontId="9" type="noConversion"/>
  </si>
  <si>
    <t>가족수당</t>
    <phoneticPr fontId="9" type="noConversion"/>
  </si>
  <si>
    <t>연장근로수당</t>
    <phoneticPr fontId="9" type="noConversion"/>
  </si>
  <si>
    <t>퇴직금적립금</t>
    <phoneticPr fontId="9" type="noConversion"/>
  </si>
  <si>
    <t>국민연금부담금</t>
    <phoneticPr fontId="9" type="noConversion"/>
  </si>
  <si>
    <t>건강보험부담금</t>
    <phoneticPr fontId="9" type="noConversion"/>
  </si>
  <si>
    <t>장기요양보험부담금</t>
    <phoneticPr fontId="9" type="noConversion"/>
  </si>
  <si>
    <t>고용보험부담금</t>
    <phoneticPr fontId="9" type="noConversion"/>
  </si>
  <si>
    <t>산재보험부담금</t>
    <phoneticPr fontId="9" type="noConversion"/>
  </si>
  <si>
    <t>시설당 기본지원금</t>
    <phoneticPr fontId="9" type="noConversion"/>
  </si>
  <si>
    <t>거주장애인 가중지원</t>
    <phoneticPr fontId="9" type="noConversion"/>
  </si>
  <si>
    <t>기능보강</t>
    <phoneticPr fontId="9" type="noConversion"/>
  </si>
  <si>
    <t>입소자부식비</t>
    <phoneticPr fontId="9" type="noConversion"/>
  </si>
  <si>
    <t>입소자간식비</t>
    <phoneticPr fontId="9" type="noConversion"/>
  </si>
  <si>
    <t>입소자건강진단비</t>
    <phoneticPr fontId="9" type="noConversion"/>
  </si>
  <si>
    <t>특수근무수당</t>
    <phoneticPr fontId="9" type="noConversion"/>
  </si>
  <si>
    <t>차량운영비</t>
    <phoneticPr fontId="9" type="noConversion"/>
  </si>
  <si>
    <t>환경개선사업비</t>
    <phoneticPr fontId="9" type="noConversion"/>
  </si>
  <si>
    <t>간병인비</t>
    <phoneticPr fontId="9" type="noConversion"/>
  </si>
  <si>
    <t>기타</t>
    <phoneticPr fontId="9" type="noConversion"/>
  </si>
  <si>
    <t>경기도 재활P/G</t>
    <phoneticPr fontId="9" type="noConversion"/>
  </si>
  <si>
    <t>여름캠프</t>
    <phoneticPr fontId="9" type="noConversion"/>
  </si>
  <si>
    <t>가을여행</t>
    <phoneticPr fontId="9" type="noConversion"/>
  </si>
  <si>
    <t>시지원P/G</t>
    <phoneticPr fontId="9" type="noConversion"/>
  </si>
  <si>
    <t>직원건강진단비</t>
    <phoneticPr fontId="9" type="noConversion"/>
  </si>
  <si>
    <t>순수시비</t>
    <phoneticPr fontId="9" type="noConversion"/>
  </si>
  <si>
    <t>산  출  내  역</t>
  </si>
  <si>
    <t>(인건비 산출내역 참조)</t>
    <phoneticPr fontId="9" type="noConversion"/>
  </si>
  <si>
    <t>금   액</t>
    <phoneticPr fontId="9" type="noConversion"/>
  </si>
  <si>
    <t>부담비율</t>
    <phoneticPr fontId="9" type="noConversion"/>
  </si>
  <si>
    <t>산출액</t>
    <phoneticPr fontId="9" type="noConversion"/>
  </si>
  <si>
    <t>검증</t>
    <phoneticPr fontId="9" type="noConversion"/>
  </si>
  <si>
    <t>합계</t>
    <phoneticPr fontId="9" type="noConversion"/>
  </si>
  <si>
    <t>국비</t>
    <phoneticPr fontId="9" type="noConversion"/>
  </si>
  <si>
    <t>도비</t>
    <phoneticPr fontId="9" type="noConversion"/>
  </si>
  <si>
    <t>시비</t>
    <phoneticPr fontId="9" type="noConversion"/>
  </si>
  <si>
    <t>항 목</t>
    <phoneticPr fontId="9" type="noConversion"/>
  </si>
  <si>
    <t>총 계</t>
    <phoneticPr fontId="9" type="noConversion"/>
  </si>
  <si>
    <t>입소자구료비
(특별피복비)</t>
    <phoneticPr fontId="9" type="noConversion"/>
  </si>
  <si>
    <t>입소자구료비
(특별급식비)</t>
    <phoneticPr fontId="9" type="noConversion"/>
  </si>
  <si>
    <t>국비</t>
    <phoneticPr fontId="9" type="noConversion"/>
  </si>
  <si>
    <t>=</t>
    <phoneticPr fontId="9" type="noConversion"/>
  </si>
  <si>
    <t>원</t>
    <phoneticPr fontId="9" type="noConversion"/>
  </si>
  <si>
    <t>월</t>
    <phoneticPr fontId="9" type="noConversion"/>
  </si>
  <si>
    <t>×</t>
    <phoneticPr fontId="9" type="noConversion"/>
  </si>
  <si>
    <t>명</t>
    <phoneticPr fontId="9" type="noConversion"/>
  </si>
  <si>
    <t>일</t>
    <phoneticPr fontId="9" type="noConversion"/>
  </si>
  <si>
    <t>원</t>
    <phoneticPr fontId="9" type="noConversion"/>
  </si>
  <si>
    <t>월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</si>
  <si>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</si>
  <si>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</si>
  <si>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</si>
  <si>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>합    계 :</t>
    <phoneticPr fontId="9" type="noConversion"/>
  </si>
  <si>
    <t>합    계 :</t>
    <phoneticPr fontId="9" type="noConversion"/>
  </si>
  <si>
    <t>1.명절휴가비</t>
    <phoneticPr fontId="9" type="noConversion"/>
  </si>
  <si>
    <t xml:space="preserve"> </t>
    <phoneticPr fontId="9" type="noConversion"/>
  </si>
  <si>
    <t>2.가족수당</t>
    <phoneticPr fontId="9" type="noConversion"/>
  </si>
  <si>
    <t>3.연장근로수당</t>
    <phoneticPr fontId="9" type="noConversion"/>
  </si>
  <si>
    <t>÷</t>
    <phoneticPr fontId="9" type="noConversion"/>
  </si>
  <si>
    <t>÷</t>
    <phoneticPr fontId="9" type="noConversion"/>
  </si>
  <si>
    <t>=</t>
    <phoneticPr fontId="9" type="noConversion"/>
  </si>
  <si>
    <t xml:space="preserve"> </t>
    <phoneticPr fontId="9" type="noConversion"/>
  </si>
  <si>
    <t>1.국민연금부담금</t>
    <phoneticPr fontId="9" type="noConversion"/>
  </si>
  <si>
    <t>×</t>
    <phoneticPr fontId="9" type="noConversion"/>
  </si>
  <si>
    <t>2.국민건강보험부담금</t>
    <phoneticPr fontId="9" type="noConversion"/>
  </si>
  <si>
    <t>3.장기요양보험부담금</t>
    <phoneticPr fontId="9" type="noConversion"/>
  </si>
  <si>
    <t>4.고용보험부담금</t>
    <phoneticPr fontId="9" type="noConversion"/>
  </si>
  <si>
    <t>5.산업재해보험부담금</t>
    <phoneticPr fontId="9" type="noConversion"/>
  </si>
  <si>
    <t>(수직구조대설치)</t>
    <phoneticPr fontId="9" type="noConversion"/>
  </si>
  <si>
    <t>원</t>
    <phoneticPr fontId="9" type="noConversion"/>
  </si>
  <si>
    <t>=</t>
    <phoneticPr fontId="9" type="noConversion"/>
  </si>
  <si>
    <t>보조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</si>
  <si>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</si>
  <si>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</si>
  <si>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</si>
  <si>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</si>
  <si>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</si>
  <si>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회</t>
    <phoneticPr fontId="9" type="noConversion"/>
  </si>
  <si>
    <t>보조</t>
    <phoneticPr fontId="9" type="noConversion"/>
  </si>
  <si>
    <t>입소</t>
    <phoneticPr fontId="9" type="noConversion"/>
  </si>
  <si>
    <t>월</t>
    <phoneticPr fontId="9" type="noConversion"/>
  </si>
  <si>
    <t>소계</t>
    <phoneticPr fontId="9" type="noConversion"/>
  </si>
  <si>
    <t>(단위:원)</t>
    <phoneticPr fontId="30" type="noConversion"/>
  </si>
  <si>
    <t>원</t>
    <phoneticPr fontId="9" type="noConversion"/>
  </si>
  <si>
    <t>&lt;비지정후원금&gt;</t>
    <phoneticPr fontId="9" type="noConversion"/>
  </si>
  <si>
    <t>1월</t>
    <phoneticPr fontId="9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</si>
  <si>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</si>
  <si>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</si>
  <si>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</si>
  <si>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</si>
  <si>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</si>
  <si>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</si>
  <si>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</si>
  <si>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</si>
  <si>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</si>
  <si>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운영비 월 항목별 배정액</t>
    <phoneticPr fontId="9" type="noConversion"/>
  </si>
  <si>
    <t>11월</t>
  </si>
  <si>
    <t>12월</t>
  </si>
  <si>
    <t>내용</t>
    <phoneticPr fontId="9" type="noConversion"/>
  </si>
  <si>
    <t>수용비및수수료</t>
    <phoneticPr fontId="9" type="noConversion"/>
  </si>
  <si>
    <t>사무용품비(문구류)</t>
    <phoneticPr fontId="9" type="noConversion"/>
  </si>
  <si>
    <t>복사용지</t>
    <phoneticPr fontId="9" type="noConversion"/>
  </si>
  <si>
    <t>인쇄비</t>
    <phoneticPr fontId="9" type="noConversion"/>
  </si>
  <si>
    <t>소규모수선비</t>
    <phoneticPr fontId="9" type="noConversion"/>
  </si>
  <si>
    <t>홈페이지 유지관리비</t>
    <phoneticPr fontId="9" type="noConversion"/>
  </si>
  <si>
    <t>체험홈 APT관리비</t>
    <phoneticPr fontId="9" type="noConversion"/>
  </si>
  <si>
    <t>퇴직연금 관리 수수료</t>
    <phoneticPr fontId="9" type="noConversion"/>
  </si>
  <si>
    <t>상하수도요금</t>
    <phoneticPr fontId="9" type="noConversion"/>
  </si>
  <si>
    <t>우편발송료</t>
    <phoneticPr fontId="9" type="noConversion"/>
  </si>
  <si>
    <t>제세공과금</t>
    <phoneticPr fontId="9" type="noConversion"/>
  </si>
  <si>
    <t>한장협 협회비</t>
    <phoneticPr fontId="9" type="noConversion"/>
  </si>
  <si>
    <t>경장협 협회비</t>
    <phoneticPr fontId="9" type="noConversion"/>
  </si>
  <si>
    <t>자동차보험료</t>
    <phoneticPr fontId="9" type="noConversion"/>
  </si>
  <si>
    <t>일반화재보험(대물)</t>
    <phoneticPr fontId="9" type="noConversion"/>
  </si>
  <si>
    <t>영업배상책임보험료</t>
    <phoneticPr fontId="9" type="noConversion"/>
  </si>
  <si>
    <t>자동세</t>
    <phoneticPr fontId="9" type="noConversion"/>
  </si>
  <si>
    <t>환경개선부담금(시설,자동차)</t>
    <phoneticPr fontId="9" type="noConversion"/>
  </si>
  <si>
    <t>신원보증보험갱신</t>
    <phoneticPr fontId="9" type="noConversion"/>
  </si>
  <si>
    <t>차량유류대 및 정비검사비</t>
    <phoneticPr fontId="9" type="noConversion"/>
  </si>
  <si>
    <t>시설장비유지비</t>
    <phoneticPr fontId="9" type="noConversion"/>
  </si>
  <si>
    <t>전기안전관리대행료</t>
    <phoneticPr fontId="9" type="noConversion"/>
  </si>
  <si>
    <t>방화관리(소방) 대행료</t>
    <phoneticPr fontId="9" type="noConversion"/>
  </si>
  <si>
    <t>수용기관경비</t>
    <phoneticPr fontId="9" type="noConversion"/>
  </si>
  <si>
    <t>생필품구입비</t>
    <phoneticPr fontId="9" type="noConversion"/>
  </si>
  <si>
    <t>시설방역</t>
    <phoneticPr fontId="9" type="noConversion"/>
  </si>
  <si>
    <t>정수기 관리비(체험홈 포함)</t>
    <phoneticPr fontId="9" type="noConversion"/>
  </si>
  <si>
    <t>수질검사</t>
    <phoneticPr fontId="9" type="noConversion"/>
  </si>
  <si>
    <t>주방식기류 및 그릇보강</t>
    <phoneticPr fontId="9" type="noConversion"/>
  </si>
  <si>
    <t>의료비</t>
    <phoneticPr fontId="9" type="noConversion"/>
  </si>
  <si>
    <t>의약품비</t>
    <phoneticPr fontId="9" type="noConversion"/>
  </si>
  <si>
    <t>프로그램사업비</t>
    <phoneticPr fontId="9" type="noConversion"/>
  </si>
  <si>
    <t>인권지킴이단 정기회의 수당</t>
    <phoneticPr fontId="9" type="noConversion"/>
  </si>
  <si>
    <t>운영위원회 정기회의 수당</t>
    <phoneticPr fontId="9" type="noConversion"/>
  </si>
  <si>
    <t>전화료(유선방송/체험홈 포함)</t>
    <phoneticPr fontId="9" type="noConversion"/>
  </si>
  <si>
    <t>일반전기요금</t>
    <phoneticPr fontId="9" type="noConversion"/>
  </si>
  <si>
    <t>주방식기세제, 주방소모품 등</t>
    <phoneticPr fontId="9" type="noConversion"/>
  </si>
  <si>
    <t>주차료, 통행료 등 운송비/기타</t>
    <phoneticPr fontId="9" type="noConversion"/>
  </si>
  <si>
    <t>연료비</t>
    <phoneticPr fontId="9" type="noConversion"/>
  </si>
  <si>
    <t>심야전기요금</t>
    <phoneticPr fontId="9" type="noConversion"/>
  </si>
  <si>
    <t>취사용가스요금(체험홈 포함)</t>
    <phoneticPr fontId="9" type="noConversion"/>
  </si>
  <si>
    <t>&lt;=월 평균 운영비 지원금</t>
    <phoneticPr fontId="9" type="noConversion"/>
  </si>
  <si>
    <t>직원 및 이용인 인권교육</t>
    <phoneticPr fontId="9" type="noConversion"/>
  </si>
  <si>
    <t>보조</t>
    <phoneticPr fontId="9" type="noConversion"/>
  </si>
  <si>
    <t>보조</t>
    <phoneticPr fontId="9" type="noConversion"/>
  </si>
  <si>
    <t>원</t>
    <phoneticPr fontId="9" type="noConversion"/>
  </si>
  <si>
    <t>후원</t>
    <phoneticPr fontId="9" type="noConversion"/>
  </si>
  <si>
    <t>추가연장근로수당(5h)</t>
    <phoneticPr fontId="9" type="noConversion"/>
  </si>
  <si>
    <t>(일반직연장근로 5h분 산출내역 참조)</t>
    <phoneticPr fontId="9" type="noConversion"/>
  </si>
  <si>
    <t>직원외부교육비</t>
    <phoneticPr fontId="9" type="noConversion"/>
  </si>
  <si>
    <t>원</t>
    <phoneticPr fontId="9" type="noConversion"/>
  </si>
  <si>
    <t>사업비</t>
    <phoneticPr fontId="9" type="noConversion"/>
  </si>
  <si>
    <t>프로그램</t>
    <phoneticPr fontId="9" type="noConversion"/>
  </si>
  <si>
    <t>기타</t>
    <phoneticPr fontId="9" type="noConversion"/>
  </si>
  <si>
    <t>2016년 1차추경예산 보조금 산출내역</t>
    <phoneticPr fontId="9" type="noConversion"/>
  </si>
  <si>
    <t>회</t>
    <phoneticPr fontId="9" type="noConversion"/>
  </si>
  <si>
    <t>사무실복사기 임대료/ 프린터터너</t>
    <phoneticPr fontId="9" type="noConversion"/>
  </si>
  <si>
    <t>여름캠프</t>
    <phoneticPr fontId="9" type="noConversion"/>
  </si>
  <si>
    <t>2016년
1차추경 예산</t>
    <phoneticPr fontId="30" type="noConversion"/>
  </si>
  <si>
    <t>2016년
2차추경예산
(B)
(단위:천원)</t>
    <phoneticPr fontId="9" type="noConversion"/>
  </si>
  <si>
    <t>2016년
1차추경예산
(A)
(단위:천원)</t>
    <phoneticPr fontId="9" type="noConversion"/>
  </si>
  <si>
    <t>&lt;2016년도 2차추경 예산 세입내역&gt;</t>
    <phoneticPr fontId="9" type="noConversion"/>
  </si>
  <si>
    <t>보조금</t>
    <phoneticPr fontId="9" type="noConversion"/>
  </si>
  <si>
    <t>* 환경개선사업비(7종)</t>
    <phoneticPr fontId="9" type="noConversion"/>
  </si>
  <si>
    <t>* 종사자근무수당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</si>
  <si>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</si>
  <si>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</si>
  <si>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</si>
  <si>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</si>
  <si>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</si>
  <si>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* 시설당 기본지원</t>
    <phoneticPr fontId="9" type="noConversion"/>
  </si>
  <si>
    <t xml:space="preserve"> * 직원 건강진단비</t>
    <phoneticPr fontId="9" type="noConversion"/>
  </si>
  <si>
    <t xml:space="preserve">  *공동모금회 환경개선사업비</t>
    <phoneticPr fontId="9" type="noConversion"/>
  </si>
  <si>
    <t>(후원)</t>
    <phoneticPr fontId="9" type="noConversion"/>
  </si>
  <si>
    <t>※ 체크카드환급</t>
    <phoneticPr fontId="9" type="noConversion"/>
  </si>
  <si>
    <t>합계:</t>
    <phoneticPr fontId="9" type="noConversion"/>
  </si>
  <si>
    <t>1. 보조금 체크카드환급금</t>
    <phoneticPr fontId="9" type="noConversion"/>
  </si>
  <si>
    <t>※ 예금이자수입</t>
    <phoneticPr fontId="9" type="noConversion"/>
  </si>
  <si>
    <t>4호봉</t>
    <phoneticPr fontId="9" type="noConversion"/>
  </si>
  <si>
    <t>4호봉</t>
    <phoneticPr fontId="9" type="noConversion"/>
  </si>
  <si>
    <t>원</t>
    <phoneticPr fontId="9" type="noConversion"/>
  </si>
  <si>
    <t>월</t>
    <phoneticPr fontId="9" type="noConversion"/>
  </si>
  <si>
    <t>=</t>
    <phoneticPr fontId="9" type="noConversion"/>
  </si>
  <si>
    <t>보조</t>
    <phoneticPr fontId="9" type="noConversion"/>
  </si>
  <si>
    <t>후원</t>
    <phoneticPr fontId="9" type="noConversion"/>
  </si>
  <si>
    <t>4.종사자수당(7종)</t>
    <phoneticPr fontId="9" type="noConversion"/>
  </si>
  <si>
    <t>후원</t>
    <phoneticPr fontId="9" type="noConversion"/>
  </si>
  <si>
    <t>(정산보험료)</t>
    <phoneticPr fontId="9" type="noConversion"/>
  </si>
  <si>
    <t>* 직원건강검진비(순수시비)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</si>
  <si>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</si>
  <si>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</si>
  <si>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</si>
  <si>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=</t>
    <phoneticPr fontId="9" type="noConversion"/>
  </si>
  <si>
    <t>보조</t>
    <phoneticPr fontId="9" type="noConversion"/>
  </si>
  <si>
    <t>지후</t>
    <phoneticPr fontId="9" type="noConversion"/>
  </si>
  <si>
    <t>* 실내 샤이클 구입(공동모금회 지원)</t>
    <phoneticPr fontId="9" type="noConversion"/>
  </si>
  <si>
    <t>* 직원 축일 및 생일 축하 문화상품권</t>
    <phoneticPr fontId="9" type="noConversion"/>
  </si>
  <si>
    <t>후원</t>
    <phoneticPr fontId="9" type="noConversion"/>
  </si>
  <si>
    <t>* 대체인건비 인건비(직원 연차, 교육 등)</t>
    <phoneticPr fontId="9" type="noConversion"/>
  </si>
  <si>
    <t>* 피복비</t>
    <phoneticPr fontId="9" type="noConversion"/>
  </si>
  <si>
    <t>보조</t>
    <phoneticPr fontId="9" type="noConversion"/>
  </si>
  <si>
    <t>* 입소자 건강진단비</t>
    <phoneticPr fontId="9" type="noConversion"/>
  </si>
  <si>
    <t>* 외래 진료비 및 의약품비</t>
    <phoneticPr fontId="9" type="noConversion"/>
  </si>
  <si>
    <t>입소</t>
    <phoneticPr fontId="9" type="noConversion"/>
  </si>
  <si>
    <t>* 이용인 독감예방접종</t>
    <phoneticPr fontId="9" type="noConversion"/>
  </si>
  <si>
    <t>* 기타 의료비</t>
    <phoneticPr fontId="9" type="noConversion"/>
  </si>
  <si>
    <t>보조금(7종)</t>
    <phoneticPr fontId="9" type="noConversion"/>
  </si>
  <si>
    <t>보조금
(도비)</t>
    <phoneticPr fontId="9" type="noConversion"/>
  </si>
  <si>
    <t>보조금
(시비)</t>
    <phoneticPr fontId="9" type="noConversion"/>
  </si>
  <si>
    <t>* 이용인 직장 방문 경비(음료 등)</t>
    <phoneticPr fontId="9" type="noConversion"/>
  </si>
  <si>
    <t>입소</t>
    <phoneticPr fontId="9" type="noConversion"/>
  </si>
  <si>
    <t>* 회의 다과비</t>
    <phoneticPr fontId="9" type="noConversion"/>
  </si>
  <si>
    <t>회</t>
    <phoneticPr fontId="9" type="noConversion"/>
  </si>
  <si>
    <t xml:space="preserve">* 정수기 대여료 </t>
    <phoneticPr fontId="9" type="noConversion"/>
  </si>
  <si>
    <t>* 사무용품비(문구류 )</t>
    <phoneticPr fontId="9" type="noConversion"/>
  </si>
  <si>
    <t>* 기타 수용비 및 수수료</t>
    <phoneticPr fontId="9" type="noConversion"/>
  </si>
  <si>
    <t>* 전화료 및 인터넷 요금</t>
    <phoneticPr fontId="9" type="noConversion"/>
  </si>
  <si>
    <t>입소</t>
    <phoneticPr fontId="9" type="noConversion"/>
  </si>
  <si>
    <t>* 아파트관리비</t>
    <phoneticPr fontId="9" type="noConversion"/>
  </si>
  <si>
    <t>* 우편물발송료 및 택배료</t>
    <phoneticPr fontId="9" type="noConversion"/>
  </si>
  <si>
    <t>* 화재보험료</t>
    <phoneticPr fontId="9" type="noConversion"/>
  </si>
  <si>
    <t>* 영업배상책임보험료</t>
    <phoneticPr fontId="9" type="noConversion"/>
  </si>
  <si>
    <t>* 소방안전점검비</t>
    <phoneticPr fontId="9" type="noConversion"/>
  </si>
  <si>
    <t>* 전기안전점검비</t>
    <phoneticPr fontId="9" type="noConversion"/>
  </si>
  <si>
    <t>* 가스안전점검비</t>
    <phoneticPr fontId="9" type="noConversion"/>
  </si>
  <si>
    <t>* 신원보증보험갱신</t>
    <phoneticPr fontId="9" type="noConversion"/>
  </si>
  <si>
    <t>* 차량보험료</t>
    <phoneticPr fontId="9" type="noConversion"/>
  </si>
  <si>
    <t>* 직원 상해보험료</t>
    <phoneticPr fontId="9" type="noConversion"/>
  </si>
  <si>
    <t>회</t>
    <phoneticPr fontId="9" type="noConversion"/>
  </si>
  <si>
    <t xml:space="preserve"> * 국립재활원, 한장협, 경장협, 등 </t>
    <phoneticPr fontId="9" type="noConversion"/>
  </si>
  <si>
    <t>* 차량유류대</t>
    <phoneticPr fontId="9" type="noConversion"/>
  </si>
  <si>
    <t>* 차량 점검 및 정비비 등</t>
    <phoneticPr fontId="9" type="noConversion"/>
  </si>
  <si>
    <t>* 차량 정기검사/ 차량수리 및 정비비</t>
    <phoneticPr fontId="9" type="noConversion"/>
  </si>
  <si>
    <t>*</t>
    <phoneticPr fontId="9" type="noConversion"/>
  </si>
  <si>
    <t>* 전기안전관리대행료</t>
    <phoneticPr fontId="9" type="noConversion"/>
  </si>
  <si>
    <t>* 방화관리(소방) 대행료</t>
    <phoneticPr fontId="9" type="noConversion"/>
  </si>
  <si>
    <t>* 기타 시설물 관리유지비</t>
    <phoneticPr fontId="9" type="noConversion"/>
  </si>
  <si>
    <t>* 주부식비</t>
    <phoneticPr fontId="9" type="noConversion"/>
  </si>
  <si>
    <t>* 주부식비(보충액)</t>
    <phoneticPr fontId="9" type="noConversion"/>
  </si>
  <si>
    <t>* 월동대책비(김장)</t>
    <phoneticPr fontId="9" type="noConversion"/>
  </si>
  <si>
    <t>후원</t>
    <phoneticPr fontId="9" type="noConversion"/>
  </si>
  <si>
    <t>후원</t>
    <phoneticPr fontId="9" type="noConversion"/>
  </si>
  <si>
    <t>원</t>
    <phoneticPr fontId="9" type="noConversion"/>
  </si>
  <si>
    <t>잡수</t>
    <phoneticPr fontId="9" type="noConversion"/>
  </si>
  <si>
    <t>법인</t>
    <phoneticPr fontId="9" type="noConversion"/>
  </si>
  <si>
    <t>입소</t>
    <phoneticPr fontId="9" type="noConversion"/>
  </si>
  <si>
    <t>* 생활용품구입비</t>
    <phoneticPr fontId="9" type="noConversion"/>
  </si>
  <si>
    <t>* 정수기 임대료 및 수질검사 등</t>
    <phoneticPr fontId="9" type="noConversion"/>
  </si>
  <si>
    <t>* 주방식기류 및 그릇 보강</t>
    <phoneticPr fontId="9" type="noConversion"/>
  </si>
  <si>
    <t>* 기타 수용기관경비</t>
    <phoneticPr fontId="9" type="noConversion"/>
  </si>
  <si>
    <t>* 취사용 연료비</t>
    <phoneticPr fontId="9" type="noConversion"/>
  </si>
  <si>
    <t>일상생활</t>
    <phoneticPr fontId="9" type="noConversion"/>
  </si>
  <si>
    <t>지원사업비</t>
    <phoneticPr fontId="9" type="noConversion"/>
  </si>
  <si>
    <t>* 이용인 생일</t>
    <phoneticPr fontId="9" type="noConversion"/>
  </si>
  <si>
    <t>명</t>
    <phoneticPr fontId="9" type="noConversion"/>
  </si>
  <si>
    <t>* 찜질방 이용</t>
    <phoneticPr fontId="9" type="noConversion"/>
  </si>
  <si>
    <t>회</t>
    <phoneticPr fontId="9" type="noConversion"/>
  </si>
  <si>
    <t>* 요리활동 및 외식</t>
    <phoneticPr fontId="9" type="noConversion"/>
  </si>
  <si>
    <t>* 노래방 이용</t>
    <phoneticPr fontId="9" type="noConversion"/>
  </si>
  <si>
    <t>교육지원</t>
    <phoneticPr fontId="9" type="noConversion"/>
  </si>
  <si>
    <t>* 성교육</t>
    <phoneticPr fontId="9" type="noConversion"/>
  </si>
  <si>
    <t>* 인권교육</t>
    <phoneticPr fontId="9" type="noConversion"/>
  </si>
  <si>
    <t>* 금전관리교육</t>
    <phoneticPr fontId="9" type="noConversion"/>
  </si>
  <si>
    <t>* 독서치료교육</t>
    <phoneticPr fontId="9" type="noConversion"/>
  </si>
  <si>
    <t>* 교육(학습)지원 비용</t>
    <phoneticPr fontId="9" type="noConversion"/>
  </si>
  <si>
    <t>자치회의</t>
    <phoneticPr fontId="9" type="noConversion"/>
  </si>
  <si>
    <t>* 자치회의</t>
    <phoneticPr fontId="9" type="noConversion"/>
  </si>
  <si>
    <t>* 봄</t>
    <phoneticPr fontId="9" type="noConversion"/>
  </si>
  <si>
    <t>* 여름캠프</t>
    <phoneticPr fontId="9" type="noConversion"/>
  </si>
  <si>
    <t>* 가을여행</t>
    <phoneticPr fontId="9" type="noConversion"/>
  </si>
  <si>
    <t>* 겨울</t>
    <phoneticPr fontId="9" type="noConversion"/>
  </si>
  <si>
    <t>계절별</t>
    <phoneticPr fontId="9" type="noConversion"/>
  </si>
  <si>
    <t>나들이</t>
    <phoneticPr fontId="9" type="noConversion"/>
  </si>
  <si>
    <t>문화생활</t>
    <phoneticPr fontId="9" type="noConversion"/>
  </si>
  <si>
    <t>* 영화 및 뮤지컬 관람</t>
    <phoneticPr fontId="9" type="noConversion"/>
  </si>
  <si>
    <t>* 문화생활비</t>
    <phoneticPr fontId="9" type="noConversion"/>
  </si>
  <si>
    <t>운동지원</t>
    <phoneticPr fontId="9" type="noConversion"/>
  </si>
  <si>
    <t>* 등산프로그램</t>
    <phoneticPr fontId="9" type="noConversion"/>
  </si>
  <si>
    <t>* 헬스프로그램</t>
    <phoneticPr fontId="9" type="noConversion"/>
  </si>
  <si>
    <t>* 수영프로그램</t>
    <phoneticPr fontId="9" type="noConversion"/>
  </si>
  <si>
    <t>* 헬스용품 구입비</t>
    <phoneticPr fontId="9" type="noConversion"/>
  </si>
  <si>
    <t>월</t>
    <phoneticPr fontId="9" type="noConversion"/>
  </si>
  <si>
    <t>* 송년회</t>
    <phoneticPr fontId="9" type="noConversion"/>
  </si>
  <si>
    <t>* 개원기념일</t>
    <phoneticPr fontId="9" type="noConversion"/>
  </si>
  <si>
    <t>* 보조금 운영비 잔액</t>
    <phoneticPr fontId="9" type="noConversion"/>
  </si>
  <si>
    <t>* 보조금 운영비 예금이자</t>
    <phoneticPr fontId="9" type="noConversion"/>
  </si>
  <si>
    <t>* 7종 보조금 잔액</t>
    <phoneticPr fontId="9" type="noConversion"/>
  </si>
  <si>
    <t>* 7종 보조금 예금이자</t>
    <phoneticPr fontId="9" type="noConversion"/>
  </si>
  <si>
    <t>* 보조금(시비) 잔액</t>
    <phoneticPr fontId="9" type="noConversion"/>
  </si>
  <si>
    <t>* 보조금(시비) 예금이자</t>
    <phoneticPr fontId="9" type="noConversion"/>
  </si>
  <si>
    <t>* 보조금 체크카드 환급액</t>
    <phoneticPr fontId="9" type="noConversion"/>
  </si>
  <si>
    <t>보조</t>
    <phoneticPr fontId="9" type="noConversion"/>
  </si>
  <si>
    <t>&lt;2016년도 2차추경 예산 세출내역&gt;</t>
    <phoneticPr fontId="9" type="noConversion"/>
  </si>
  <si>
    <t>2016년
1차추경예산액(A)
(단위:천원)</t>
    <phoneticPr fontId="9" type="noConversion"/>
  </si>
  <si>
    <t>2016년 2차추경 예산액(B)(단위:천원)</t>
    <phoneticPr fontId="9" type="noConversion"/>
  </si>
  <si>
    <t>합계</t>
    <phoneticPr fontId="30" type="noConversion"/>
  </si>
  <si>
    <t>소계</t>
    <phoneticPr fontId="30" type="noConversion"/>
  </si>
  <si>
    <t>연료비</t>
    <phoneticPr fontId="30" type="noConversion"/>
  </si>
  <si>
    <t>의료비</t>
    <phoneticPr fontId="30" type="noConversion"/>
  </si>
  <si>
    <t>피복비</t>
    <phoneticPr fontId="30" type="noConversion"/>
  </si>
  <si>
    <t>생필품비</t>
    <phoneticPr fontId="30" type="noConversion"/>
  </si>
  <si>
    <t>간식비</t>
    <phoneticPr fontId="30" type="noConversion"/>
  </si>
  <si>
    <t>생계비</t>
    <phoneticPr fontId="30" type="noConversion"/>
  </si>
  <si>
    <t>전화요금</t>
    <phoneticPr fontId="30" type="noConversion"/>
  </si>
  <si>
    <t>아파트관리비</t>
    <phoneticPr fontId="30" type="noConversion"/>
  </si>
  <si>
    <t>사무용품</t>
    <phoneticPr fontId="30" type="noConversion"/>
  </si>
  <si>
    <t>정수기</t>
    <phoneticPr fontId="30" type="noConversion"/>
  </si>
  <si>
    <t>건강검진비</t>
    <phoneticPr fontId="30" type="noConversion"/>
  </si>
  <si>
    <t>종사자수당</t>
    <phoneticPr fontId="30" type="noConversion"/>
  </si>
  <si>
    <t>산재보험부담금</t>
    <phoneticPr fontId="30" type="noConversion"/>
  </si>
  <si>
    <t>고용보험부담금</t>
    <phoneticPr fontId="30" type="noConversion"/>
  </si>
  <si>
    <t>건강보험부담금</t>
    <phoneticPr fontId="30" type="noConversion"/>
  </si>
  <si>
    <t>국민연금부담금</t>
    <phoneticPr fontId="30" type="noConversion"/>
  </si>
  <si>
    <t>퇴직적립금</t>
    <phoneticPr fontId="30" type="noConversion"/>
  </si>
  <si>
    <t>연장근로</t>
    <phoneticPr fontId="30" type="noConversion"/>
  </si>
  <si>
    <t>명절휴가비</t>
    <phoneticPr fontId="30" type="noConversion"/>
  </si>
  <si>
    <t>가족수당</t>
    <phoneticPr fontId="30" type="noConversion"/>
  </si>
  <si>
    <t>기본급</t>
    <phoneticPr fontId="30" type="noConversion"/>
  </si>
  <si>
    <t>계</t>
    <phoneticPr fontId="30" type="noConversion"/>
  </si>
  <si>
    <t>4/4분기</t>
    <phoneticPr fontId="30" type="noConversion"/>
  </si>
  <si>
    <t>3/4분기</t>
    <phoneticPr fontId="30" type="noConversion"/>
  </si>
  <si>
    <t>2/4분기</t>
    <phoneticPr fontId="30" type="noConversion"/>
  </si>
  <si>
    <t>1/4분기</t>
    <phoneticPr fontId="30" type="noConversion"/>
  </si>
  <si>
    <t>항목</t>
    <phoneticPr fontId="30" type="noConversion"/>
  </si>
  <si>
    <t>* 간식비(우유대금)</t>
    <phoneticPr fontId="9" type="noConversion"/>
  </si>
  <si>
    <t>* 주민세 등 기타 공과금</t>
    <phoneticPr fontId="9" type="noConversion"/>
  </si>
  <si>
    <t>2016년 바르나바의 집 보조금 예산배정</t>
    <phoneticPr fontId="30" type="noConversion"/>
  </si>
  <si>
    <t>* 사회재활교사(박정오)</t>
    <phoneticPr fontId="9" type="noConversion"/>
  </si>
  <si>
    <t>5호봉</t>
  </si>
  <si>
    <t>* 사회재활교사</t>
    <phoneticPr fontId="9" type="noConversion"/>
  </si>
  <si>
    <t>6. 자부담 부담금</t>
    <phoneticPr fontId="9" type="noConversion"/>
  </si>
  <si>
    <t>후원</t>
    <phoneticPr fontId="9" type="noConversion"/>
  </si>
  <si>
    <t>원</t>
    <phoneticPr fontId="9" type="noConversion"/>
  </si>
  <si>
    <t>=</t>
    <phoneticPr fontId="9" type="noConversion"/>
  </si>
  <si>
    <t>* 지역사회이용</t>
    <phoneticPr fontId="9" type="noConversion"/>
  </si>
  <si>
    <t>후원/자원</t>
    <phoneticPr fontId="9" type="noConversion"/>
  </si>
  <si>
    <t>* 결연후원금 지급</t>
    <phoneticPr fontId="9" type="noConversion"/>
  </si>
  <si>
    <t>월</t>
    <phoneticPr fontId="9" type="noConversion"/>
  </si>
  <si>
    <t>지후</t>
    <phoneticPr fontId="9" type="noConversion"/>
  </si>
  <si>
    <t>□ 2016년도 2차추경예산 세 입 · 세 출 총  괄  표</t>
    <phoneticPr fontId="30" type="noConversion"/>
  </si>
  <si>
    <t>2016년
2차추경 예산</t>
    <phoneticPr fontId="30" type="noConversion"/>
  </si>
  <si>
    <t>기타 보조금</t>
    <phoneticPr fontId="30" type="noConversion"/>
  </si>
  <si>
    <t xml:space="preserve"> &lt;기타 보조금 합계&gt;</t>
    <phoneticPr fontId="9" type="noConversion"/>
  </si>
  <si>
    <t>일</t>
    <phoneticPr fontId="9" type="noConversion"/>
  </si>
  <si>
    <t xml:space="preserve"> * 경장연 대체인력 지원금</t>
    <phoneticPr fontId="9" type="noConversion"/>
  </si>
  <si>
    <t>보조</t>
    <phoneticPr fontId="9" type="noConversion"/>
  </si>
  <si>
    <t>2016년 2차추경예산 세입명세서</t>
    <phoneticPr fontId="9" type="noConversion"/>
  </si>
  <si>
    <t>과  목</t>
    <phoneticPr fontId="9" type="noConversion"/>
  </si>
  <si>
    <t>예 산 액
(단위:천원)</t>
    <phoneticPr fontId="9" type="noConversion"/>
  </si>
  <si>
    <t>증, (△)감</t>
    <phoneticPr fontId="9" type="noConversion"/>
  </si>
  <si>
    <t>산출내역</t>
    <phoneticPr fontId="9" type="noConversion"/>
  </si>
  <si>
    <t>내    역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</si>
  <si>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</si>
  <si>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</si>
  <si>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</si>
  <si>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2016년
1차추경 예산</t>
    <phoneticPr fontId="9" type="noConversion"/>
  </si>
  <si>
    <t>2016년
2차추경 예산</t>
    <phoneticPr fontId="9" type="noConversion"/>
  </si>
  <si>
    <t>합     계</t>
    <phoneticPr fontId="9" type="noConversion"/>
  </si>
  <si>
    <t>입소
비용</t>
    <phoneticPr fontId="9" type="noConversion"/>
  </si>
  <si>
    <t>보조금
수   입</t>
    <phoneticPr fontId="9" type="noConversion"/>
  </si>
  <si>
    <t>국   고
보조금</t>
    <phoneticPr fontId="9" type="noConversion"/>
  </si>
  <si>
    <t>생계비</t>
    <phoneticPr fontId="9" type="noConversion"/>
  </si>
  <si>
    <t xml:space="preserve">* </t>
    <phoneticPr fontId="9" type="noConversion"/>
  </si>
  <si>
    <t>운영비</t>
    <phoneticPr fontId="9" type="noConversion"/>
  </si>
  <si>
    <t>시   도
보조금</t>
    <phoneticPr fontId="9" type="noConversion"/>
  </si>
  <si>
    <t>* 2016년 시설당 기본지원</t>
    <phoneticPr fontId="9" type="noConversion"/>
  </si>
  <si>
    <t>환경개선
사업비</t>
    <phoneticPr fontId="9" type="noConversion"/>
  </si>
  <si>
    <t>종사자
근무수당
(7종)</t>
    <phoneticPr fontId="9" type="noConversion"/>
  </si>
  <si>
    <t>기타
지원금</t>
    <phoneticPr fontId="9" type="noConversion"/>
  </si>
  <si>
    <t>시군구
보조금</t>
    <phoneticPr fontId="9" type="noConversion"/>
  </si>
  <si>
    <t>직원건강
진단비</t>
    <phoneticPr fontId="9" type="noConversion"/>
  </si>
  <si>
    <t>기타
보조금</t>
    <phoneticPr fontId="9" type="noConversion"/>
  </si>
  <si>
    <t>경장연
지원금</t>
    <phoneticPr fontId="9" type="noConversion"/>
  </si>
  <si>
    <t>* 경기도장애인복지시설연합회 대체인력지원금 발생</t>
    <phoneticPr fontId="9" type="noConversion"/>
  </si>
  <si>
    <t>후원금</t>
    <phoneticPr fontId="9" type="noConversion"/>
  </si>
  <si>
    <t>지정
후원금</t>
    <phoneticPr fontId="9" type="noConversion"/>
  </si>
  <si>
    <t>비지정
후원금</t>
    <phoneticPr fontId="9" type="noConversion"/>
  </si>
  <si>
    <t>전입금</t>
    <phoneticPr fontId="9" type="noConversion"/>
  </si>
  <si>
    <t>법인
전입금</t>
    <phoneticPr fontId="9" type="noConversion"/>
  </si>
  <si>
    <t>법인
전입금
(후원금)</t>
    <phoneticPr fontId="9" type="noConversion"/>
  </si>
  <si>
    <t>이월금</t>
    <phoneticPr fontId="9" type="noConversion"/>
  </si>
  <si>
    <t>전년도
이월금</t>
    <phoneticPr fontId="9" type="noConversion"/>
  </si>
  <si>
    <t>입소비용
이월금</t>
    <phoneticPr fontId="9" type="noConversion"/>
  </si>
  <si>
    <t>보조금
이월금</t>
    <phoneticPr fontId="9" type="noConversion"/>
  </si>
  <si>
    <t>법인
전입금
이월금</t>
    <phoneticPr fontId="9" type="noConversion"/>
  </si>
  <si>
    <t>잡수입
이월금</t>
    <phoneticPr fontId="9" type="noConversion"/>
  </si>
  <si>
    <t>전년도
이월금
(후원)</t>
    <phoneticPr fontId="9" type="noConversion"/>
  </si>
  <si>
    <t>전년도
이월금
(후원금)</t>
    <phoneticPr fontId="9" type="noConversion"/>
  </si>
  <si>
    <t>잡수입</t>
    <phoneticPr fontId="9" type="noConversion"/>
  </si>
  <si>
    <t>2016년 2차추경예산 세출명세서</t>
    <phoneticPr fontId="9" type="noConversion"/>
  </si>
  <si>
    <t>예 산 액
(단위:원)</t>
    <phoneticPr fontId="9" type="noConversion"/>
  </si>
  <si>
    <t>사무비</t>
    <phoneticPr fontId="9" type="noConversion"/>
  </si>
  <si>
    <t>인건비</t>
    <phoneticPr fontId="9" type="noConversion"/>
  </si>
  <si>
    <t>급여</t>
    <phoneticPr fontId="9" type="noConversion"/>
  </si>
  <si>
    <t>일용잡급</t>
    <phoneticPr fontId="9" type="noConversion"/>
  </si>
  <si>
    <t>* 대체인력 예산 반영 증액</t>
    <phoneticPr fontId="9" type="noConversion"/>
  </si>
  <si>
    <t>제수당</t>
    <phoneticPr fontId="9" type="noConversion"/>
  </si>
  <si>
    <t>퇴직금
적립금</t>
    <phoneticPr fontId="9" type="noConversion"/>
  </si>
  <si>
    <t>사회보험
부담금</t>
    <phoneticPr fontId="9" type="noConversion"/>
  </si>
  <si>
    <t>기타
후생경비</t>
    <phoneticPr fontId="9" type="noConversion"/>
  </si>
  <si>
    <t>업무
추진비</t>
    <phoneticPr fontId="9" type="noConversion"/>
  </si>
  <si>
    <t>기관
운영비</t>
    <phoneticPr fontId="9" type="noConversion"/>
  </si>
  <si>
    <t>직책
보조비</t>
    <phoneticPr fontId="9" type="noConversion"/>
  </si>
  <si>
    <t>회의비</t>
    <phoneticPr fontId="9" type="noConversion"/>
  </si>
  <si>
    <t>여비</t>
    <phoneticPr fontId="9" type="noConversion"/>
  </si>
  <si>
    <t>수용비 및
수수료</t>
    <phoneticPr fontId="9" type="noConversion"/>
  </si>
  <si>
    <t>* 예산조정으로 인한 증액</t>
    <phoneticPr fontId="9" type="noConversion"/>
  </si>
  <si>
    <t>공공요금</t>
    <phoneticPr fontId="9" type="noConversion"/>
  </si>
  <si>
    <t>제세
공과금</t>
    <phoneticPr fontId="9" type="noConversion"/>
  </si>
  <si>
    <t>차량비</t>
    <phoneticPr fontId="9" type="noConversion"/>
  </si>
  <si>
    <t>기타
운영비</t>
    <phoneticPr fontId="9" type="noConversion"/>
  </si>
  <si>
    <t>* 예산조정으로 인한 감액</t>
    <phoneticPr fontId="9" type="noConversion"/>
  </si>
  <si>
    <t>재산
조성비</t>
    <phoneticPr fontId="9" type="noConversion"/>
  </si>
  <si>
    <t>시설비</t>
    <phoneticPr fontId="9" type="noConversion"/>
  </si>
  <si>
    <t>자산
취득비</t>
    <phoneticPr fontId="9" type="noConversion"/>
  </si>
  <si>
    <t>* 공동모금회 환경개선사업 지원으로 실내사이클 구입</t>
    <phoneticPr fontId="9" type="noConversion"/>
  </si>
  <si>
    <t>시설장비
유지비</t>
    <phoneticPr fontId="9" type="noConversion"/>
  </si>
  <si>
    <t>사업비</t>
    <phoneticPr fontId="9" type="noConversion"/>
  </si>
  <si>
    <t>수용기관
경비</t>
    <phoneticPr fontId="9" type="noConversion"/>
  </si>
  <si>
    <t>피복비</t>
    <phoneticPr fontId="9" type="noConversion"/>
  </si>
  <si>
    <t>의료비</t>
    <phoneticPr fontId="9" type="noConversion"/>
  </si>
  <si>
    <t>연료비</t>
    <phoneticPr fontId="9" type="noConversion"/>
  </si>
  <si>
    <t>프로그램
사업비</t>
    <phoneticPr fontId="9" type="noConversion"/>
  </si>
  <si>
    <t>보조금
반환금</t>
    <phoneticPr fontId="9" type="noConversion"/>
  </si>
  <si>
    <t>* 계정과목 변경</t>
    <phoneticPr fontId="9" type="noConversion"/>
  </si>
  <si>
    <t>예비비</t>
    <phoneticPr fontId="9" type="noConversion"/>
  </si>
  <si>
    <t>* 공동모금회 환경개선사업비 지원(실내사이클 구입비) 발생
* 곽호영 결연후원금 60만원 증가</t>
    <phoneticPr fontId="9" type="noConversion"/>
  </si>
  <si>
    <t xml:space="preserve">* </t>
    <phoneticPr fontId="9" type="noConversion"/>
  </si>
  <si>
    <t xml:space="preserve"> * 예금이자(후원금)</t>
    <phoneticPr fontId="9" type="noConversion"/>
  </si>
  <si>
    <t>* 특수건강검진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</si>
  <si>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</si>
  <si>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</si>
  <si>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</si>
  <si>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입소</t>
    <phoneticPr fontId="9" type="noConversion"/>
  </si>
  <si>
    <t>1. 보조금 이자수입</t>
    <phoneticPr fontId="9" type="noConversion"/>
  </si>
  <si>
    <t>2. 법인전입금 이자수입</t>
    <phoneticPr fontId="9" type="noConversion"/>
  </si>
  <si>
    <t>원</t>
    <phoneticPr fontId="9" type="noConversion"/>
  </si>
  <si>
    <t>3. 입소비용 이자수입</t>
    <phoneticPr fontId="9" type="noConversion"/>
  </si>
  <si>
    <t>4. 잡수입 이자수입</t>
    <phoneticPr fontId="9" type="noConversion"/>
  </si>
  <si>
    <t>5. 후원금 이자수입</t>
    <phoneticPr fontId="9" type="noConversion"/>
  </si>
  <si>
    <t>* 법인전입금 예금이자</t>
    <phoneticPr fontId="9" type="noConversion"/>
  </si>
  <si>
    <t>* 법인전입금 체크카드환급액</t>
    <phoneticPr fontId="9" type="noConversion"/>
  </si>
  <si>
    <t>* 입소비용 예금이자</t>
    <phoneticPr fontId="9" type="noConversion"/>
  </si>
  <si>
    <t>* 입소비용 체크카드환급액</t>
    <phoneticPr fontId="9" type="noConversion"/>
  </si>
  <si>
    <t>* 잡수입 예금이자</t>
    <phoneticPr fontId="9" type="noConversion"/>
  </si>
  <si>
    <t>* 잡수입 체크카드환급액</t>
    <phoneticPr fontId="9" type="noConversion"/>
  </si>
  <si>
    <t>* 후원금 예금이자</t>
    <phoneticPr fontId="9" type="noConversion"/>
  </si>
  <si>
    <t>* 후원금 체크카드환급액</t>
    <phoneticPr fontId="9" type="noConversion"/>
  </si>
  <si>
    <t>입소</t>
    <phoneticPr fontId="9" type="noConversion"/>
  </si>
  <si>
    <t>* 백원단위 절상</t>
    <phoneticPr fontId="9" type="noConversion"/>
  </si>
  <si>
    <t>* 예금이자수입 감액조정</t>
    <phoneticPr fontId="9" type="noConversion"/>
  </si>
  <si>
    <t>* 야간근로자 특수건강검진</t>
    <phoneticPr fontId="9" type="noConversion"/>
  </si>
  <si>
    <t>* 예산조정 감액</t>
    <phoneticPr fontId="9" type="noConversion"/>
  </si>
  <si>
    <t>* 결연후원금(곽호영) 증가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</si>
</sst>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.0;[Red]#,##0.0"/>
    <numFmt numFmtId="196" formatCode="#,##0&quot;×&quot;;\-#,##0&quot;원×&quot;"/>
    <numFmt numFmtId="197" formatCode="#,##0&quot;h&quot;;\-#,##0&quot;h&quot;"/>
    <numFmt numFmtId="198" formatCode="#,##0&quot;월&quot;;\-#,##0&quot;월&quot;"/>
    <numFmt numFmtId="199" formatCode="#,##0&quot;h×&quot;;\-#,##0&quot;h×&quot;"/>
  </numFmts>
  <fonts count="5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8" fillId="0" borderId="0" applyFont="0" applyFill="0" applyAlignment="0" applyProtection="0">
      <alignment vertical="center"/>
    </xf>
    <xf numFmtId="41" fontId="8" fillId="0" borderId="0" applyFont="0" applyFill="0" applyAlignment="0" applyProtection="0">
      <alignment vertical="center"/>
    </xf>
    <xf numFmtId="0" fontId="8" fillId="0" borderId="0" applyFill="0" applyAlignment="0"/>
    <xf numFmtId="0" fontId="11" fillId="0" borderId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01">
    <xf numFmtId="0" fontId="0" fillId="0" borderId="0" xfId="0" applyFill="1" applyAlignment="1">
      <alignment vertical="center"/>
    </xf>
    <xf numFmtId="0" fontId="10" fillId="0" borderId="0" xfId="3" applyFont="1" applyFill="1" applyAlignment="1">
      <alignment vertical="center"/>
    </xf>
    <xf numFmtId="176" fontId="10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horizontal="center" vertical="center" wrapText="1"/>
    </xf>
    <xf numFmtId="41" fontId="10" fillId="0" borderId="0" xfId="2" applyFont="1" applyFill="1" applyAlignment="1">
      <alignment horizontal="center" vertical="center"/>
    </xf>
    <xf numFmtId="178" fontId="10" fillId="0" borderId="0" xfId="3" applyNumberFormat="1" applyFont="1" applyFill="1" applyAlignment="1">
      <alignment vertical="center"/>
    </xf>
    <xf numFmtId="177" fontId="10" fillId="0" borderId="0" xfId="3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9" fontId="10" fillId="0" borderId="0" xfId="3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176" fontId="10" fillId="0" borderId="0" xfId="0" applyNumberFormat="1" applyFont="1" applyFill="1">
      <alignment vertical="center"/>
    </xf>
    <xf numFmtId="176" fontId="13" fillId="0" borderId="0" xfId="3" applyNumberFormat="1" applyFont="1" applyFill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15" fillId="0" borderId="0" xfId="3" applyFont="1" applyFill="1" applyAlignment="1">
      <alignment vertical="center"/>
    </xf>
    <xf numFmtId="0" fontId="10" fillId="0" borderId="0" xfId="3" applyFont="1" applyFill="1" applyBorder="1" applyAlignment="1">
      <alignment horizontal="center" vertical="center" wrapText="1"/>
    </xf>
    <xf numFmtId="41" fontId="12" fillId="0" borderId="0" xfId="2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6" fillId="0" borderId="16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9" fontId="17" fillId="0" borderId="3" xfId="3" applyNumberFormat="1" applyFont="1" applyFill="1" applyBorder="1" applyAlignment="1">
      <alignment horizontal="center" vertical="center"/>
    </xf>
    <xf numFmtId="0" fontId="19" fillId="0" borderId="22" xfId="3" applyFont="1" applyFill="1" applyBorder="1" applyAlignment="1">
      <alignment vertical="center"/>
    </xf>
    <xf numFmtId="176" fontId="19" fillId="0" borderId="22" xfId="3" applyNumberFormat="1" applyFont="1" applyFill="1" applyBorder="1" applyAlignment="1">
      <alignment horizontal="center" vertical="center"/>
    </xf>
    <xf numFmtId="176" fontId="19" fillId="0" borderId="24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176" fontId="18" fillId="0" borderId="5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horizontal="right" vertical="center"/>
    </xf>
    <xf numFmtId="176" fontId="19" fillId="0" borderId="31" xfId="3" applyNumberFormat="1" applyFont="1" applyFill="1" applyBorder="1" applyAlignment="1">
      <alignment vertical="center"/>
    </xf>
    <xf numFmtId="0" fontId="16" fillId="0" borderId="32" xfId="3" applyFont="1" applyFill="1" applyBorder="1" applyAlignment="1">
      <alignment horizontal="center" vertical="center" wrapText="1"/>
    </xf>
    <xf numFmtId="0" fontId="16" fillId="0" borderId="27" xfId="3" applyFont="1" applyFill="1" applyBorder="1" applyAlignment="1">
      <alignment horizontal="center" vertical="center" wrapText="1"/>
    </xf>
    <xf numFmtId="0" fontId="16" fillId="0" borderId="26" xfId="3" applyFont="1" applyFill="1" applyBorder="1" applyAlignment="1">
      <alignment horizontal="center" vertical="center" wrapText="1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right" vertical="center"/>
    </xf>
    <xf numFmtId="0" fontId="16" fillId="0" borderId="33" xfId="3" applyFont="1" applyFill="1" applyBorder="1" applyAlignment="1">
      <alignment horizontal="left" vertical="center"/>
    </xf>
    <xf numFmtId="176" fontId="16" fillId="0" borderId="0" xfId="3" applyNumberFormat="1" applyFont="1" applyFill="1" applyBorder="1" applyAlignment="1">
      <alignment horizontal="left" vertical="center"/>
    </xf>
    <xf numFmtId="0" fontId="16" fillId="0" borderId="0" xfId="3" applyFont="1" applyFill="1" applyBorder="1" applyAlignment="1">
      <alignment horizontal="center" vertical="center"/>
    </xf>
    <xf numFmtId="41" fontId="16" fillId="0" borderId="0" xfId="2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6" fillId="0" borderId="17" xfId="3" applyFont="1" applyFill="1" applyBorder="1" applyAlignment="1">
      <alignment horizontal="center" vertical="center" wrapText="1"/>
    </xf>
    <xf numFmtId="0" fontId="16" fillId="0" borderId="11" xfId="3" applyFont="1" applyFill="1" applyBorder="1" applyAlignment="1">
      <alignment horizontal="center" vertical="center" wrapText="1"/>
    </xf>
    <xf numFmtId="0" fontId="16" fillId="0" borderId="32" xfId="3" applyFont="1" applyFill="1" applyBorder="1" applyAlignment="1">
      <alignment vertical="center" wrapText="1"/>
    </xf>
    <xf numFmtId="178" fontId="16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0" fontId="16" fillId="0" borderId="13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176" fontId="16" fillId="0" borderId="39" xfId="3" applyNumberFormat="1" applyFont="1" applyFill="1" applyBorder="1" applyAlignment="1">
      <alignment vertical="center"/>
    </xf>
    <xf numFmtId="0" fontId="16" fillId="0" borderId="33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178" fontId="16" fillId="0" borderId="0" xfId="3" applyNumberFormat="1" applyFont="1" applyFill="1" applyBorder="1" applyAlignment="1">
      <alignment horizontal="center" vertical="center"/>
    </xf>
    <xf numFmtId="9" fontId="16" fillId="0" borderId="27" xfId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42" fontId="16" fillId="0" borderId="0" xfId="3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9" fontId="16" fillId="0" borderId="0" xfId="1" applyFont="1" applyFill="1" applyBorder="1" applyAlignment="1">
      <alignment horizontal="center" vertical="center"/>
    </xf>
    <xf numFmtId="10" fontId="16" fillId="0" borderId="0" xfId="1" applyNumberFormat="1" applyFont="1" applyFill="1" applyBorder="1" applyAlignment="1">
      <alignment horizontal="center" vertical="center"/>
    </xf>
    <xf numFmtId="180" fontId="16" fillId="0" borderId="0" xfId="2" applyNumberFormat="1" applyFont="1" applyFill="1" applyBorder="1" applyAlignment="1">
      <alignment horizontal="center" vertical="center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6" fillId="0" borderId="27" xfId="3" applyFont="1" applyFill="1" applyBorder="1" applyAlignment="1">
      <alignment vertical="center" wrapText="1"/>
    </xf>
    <xf numFmtId="0" fontId="16" fillId="0" borderId="11" xfId="3" applyFont="1" applyFill="1" applyBorder="1" applyAlignment="1">
      <alignment vertical="center" wrapText="1"/>
    </xf>
    <xf numFmtId="9" fontId="16" fillId="0" borderId="11" xfId="1" applyFont="1" applyFill="1" applyBorder="1" applyAlignment="1">
      <alignment horizontal="center" vertical="center"/>
    </xf>
    <xf numFmtId="0" fontId="16" fillId="0" borderId="14" xfId="3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/>
    </xf>
    <xf numFmtId="176" fontId="16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0" fontId="16" fillId="0" borderId="27" xfId="3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79" fontId="16" fillId="0" borderId="0" xfId="1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6" fillId="0" borderId="26" xfId="3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6" fillId="0" borderId="26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0" fontId="16" fillId="0" borderId="6" xfId="3" applyFont="1" applyFill="1" applyBorder="1" applyAlignment="1">
      <alignment vertical="center" wrapText="1"/>
    </xf>
    <xf numFmtId="0" fontId="16" fillId="0" borderId="7" xfId="3" applyFont="1" applyFill="1" applyBorder="1" applyAlignment="1">
      <alignment horizontal="center" vertical="center"/>
    </xf>
    <xf numFmtId="0" fontId="16" fillId="0" borderId="7" xfId="3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vertical="center"/>
    </xf>
    <xf numFmtId="177" fontId="16" fillId="0" borderId="7" xfId="3" applyNumberFormat="1" applyFont="1" applyFill="1" applyBorder="1" applyAlignment="1">
      <alignment vertical="center"/>
    </xf>
    <xf numFmtId="9" fontId="16" fillId="0" borderId="7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center" vertical="center"/>
    </xf>
    <xf numFmtId="38" fontId="16" fillId="0" borderId="13" xfId="3" applyNumberFormat="1" applyFont="1" applyFill="1" applyBorder="1" applyAlignment="1">
      <alignment vertical="center"/>
    </xf>
    <xf numFmtId="9" fontId="16" fillId="0" borderId="3" xfId="1" applyFont="1" applyFill="1" applyBorder="1" applyAlignment="1">
      <alignment horizontal="center" vertical="center"/>
    </xf>
    <xf numFmtId="38" fontId="16" fillId="0" borderId="27" xfId="3" applyNumberFormat="1" applyFont="1" applyFill="1" applyBorder="1" applyAlignment="1">
      <alignment vertical="center"/>
    </xf>
    <xf numFmtId="3" fontId="27" fillId="0" borderId="0" xfId="0" applyNumberFormat="1" applyFont="1" applyFill="1" applyAlignment="1">
      <alignment vertical="center"/>
    </xf>
    <xf numFmtId="38" fontId="16" fillId="0" borderId="11" xfId="3" applyNumberFormat="1" applyFont="1" applyFill="1" applyBorder="1" applyAlignment="1">
      <alignment vertical="center"/>
    </xf>
    <xf numFmtId="0" fontId="18" fillId="0" borderId="2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176" fontId="16" fillId="0" borderId="1" xfId="0" applyNumberFormat="1" applyFont="1" applyFill="1" applyBorder="1" applyAlignment="1">
      <alignment vertical="center"/>
    </xf>
    <xf numFmtId="38" fontId="20" fillId="0" borderId="27" xfId="3" applyNumberFormat="1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horizontal="left" vertical="center"/>
    </xf>
    <xf numFmtId="9" fontId="16" fillId="0" borderId="1" xfId="1" applyFont="1" applyFill="1" applyBorder="1" applyAlignment="1">
      <alignment horizontal="center" vertical="center"/>
    </xf>
    <xf numFmtId="0" fontId="28" fillId="0" borderId="1" xfId="3" applyFont="1" applyFill="1" applyBorder="1" applyAlignment="1">
      <alignment horizontal="center" vertical="center" wrapText="1"/>
    </xf>
    <xf numFmtId="38" fontId="28" fillId="0" borderId="1" xfId="3" applyNumberFormat="1" applyFont="1" applyFill="1" applyBorder="1" applyAlignment="1">
      <alignment vertical="center"/>
    </xf>
    <xf numFmtId="0" fontId="16" fillId="0" borderId="37" xfId="0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16" fillId="0" borderId="0" xfId="3" applyFont="1" applyFill="1" applyBorder="1" applyAlignment="1">
      <alignment horizontal="left" vertical="center" wrapText="1"/>
    </xf>
    <xf numFmtId="38" fontId="16" fillId="0" borderId="14" xfId="3" applyNumberFormat="1" applyFont="1" applyFill="1" applyBorder="1" applyAlignment="1">
      <alignment vertical="center"/>
    </xf>
    <xf numFmtId="38" fontId="16" fillId="0" borderId="30" xfId="3" applyNumberFormat="1" applyFont="1" applyFill="1" applyBorder="1" applyAlignment="1">
      <alignment vertical="center"/>
    </xf>
    <xf numFmtId="38" fontId="16" fillId="0" borderId="0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vertical="center"/>
    </xf>
    <xf numFmtId="38" fontId="28" fillId="0" borderId="11" xfId="4" applyNumberFormat="1" applyFont="1" applyFill="1" applyBorder="1" applyAlignment="1">
      <alignment vertical="center"/>
    </xf>
    <xf numFmtId="0" fontId="28" fillId="0" borderId="0" xfId="4" applyFont="1" applyFill="1" applyBorder="1" applyAlignment="1">
      <alignment horizontal="center" vertical="center"/>
    </xf>
    <xf numFmtId="176" fontId="28" fillId="0" borderId="0" xfId="3" applyNumberFormat="1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horizontal="right" vertical="center"/>
    </xf>
    <xf numFmtId="176" fontId="28" fillId="0" borderId="5" xfId="3" applyNumberFormat="1" applyFont="1" applyFill="1" applyBorder="1" applyAlignment="1">
      <alignment vertical="center"/>
    </xf>
    <xf numFmtId="0" fontId="16" fillId="0" borderId="6" xfId="3" applyFont="1" applyFill="1" applyBorder="1" applyAlignment="1">
      <alignment horizontal="center" vertical="center" wrapText="1"/>
    </xf>
    <xf numFmtId="38" fontId="16" fillId="0" borderId="7" xfId="3" applyNumberFormat="1" applyFont="1" applyFill="1" applyBorder="1" applyAlignment="1">
      <alignment vertical="center"/>
    </xf>
    <xf numFmtId="9" fontId="16" fillId="0" borderId="7" xfId="1" applyFont="1" applyFill="1" applyBorder="1" applyAlignment="1">
      <alignment horizontal="center" vertical="center"/>
    </xf>
    <xf numFmtId="0" fontId="16" fillId="0" borderId="39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21" fillId="0" borderId="30" xfId="3" applyFont="1" applyFill="1" applyBorder="1" applyAlignment="1">
      <alignment vertical="center"/>
    </xf>
    <xf numFmtId="0" fontId="16" fillId="0" borderId="41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54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177" fontId="16" fillId="0" borderId="3" xfId="3" applyNumberFormat="1" applyFont="1" applyFill="1" applyBorder="1" applyAlignment="1">
      <alignment horizontal="center" vertical="center" wrapText="1"/>
    </xf>
    <xf numFmtId="178" fontId="17" fillId="0" borderId="3" xfId="3" applyNumberFormat="1" applyFont="1" applyFill="1" applyBorder="1" applyAlignment="1">
      <alignment horizontal="center" vertical="center" wrapText="1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38" fontId="16" fillId="0" borderId="33" xfId="3" applyNumberFormat="1" applyFont="1" applyFill="1" applyBorder="1" applyAlignment="1">
      <alignment vertical="center"/>
    </xf>
    <xf numFmtId="38" fontId="16" fillId="0" borderId="36" xfId="3" applyNumberFormat="1" applyFont="1" applyFill="1" applyBorder="1" applyAlignment="1">
      <alignment vertical="center"/>
    </xf>
    <xf numFmtId="38" fontId="16" fillId="0" borderId="34" xfId="3" applyNumberFormat="1" applyFont="1" applyFill="1" applyBorder="1" applyAlignment="1">
      <alignment vertical="center"/>
    </xf>
    <xf numFmtId="3" fontId="27" fillId="0" borderId="33" xfId="0" applyNumberFormat="1" applyFont="1" applyFill="1" applyBorder="1" applyAlignment="1">
      <alignment vertical="center"/>
    </xf>
    <xf numFmtId="3" fontId="27" fillId="0" borderId="36" xfId="0" applyNumberFormat="1" applyFont="1" applyFill="1" applyBorder="1" applyAlignment="1">
      <alignment vertical="center"/>
    </xf>
    <xf numFmtId="38" fontId="16" fillId="0" borderId="38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38" fontId="28" fillId="0" borderId="11" xfId="4" applyNumberFormat="1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vertical="center"/>
    </xf>
    <xf numFmtId="0" fontId="18" fillId="0" borderId="44" xfId="3" applyFont="1" applyFill="1" applyBorder="1" applyAlignment="1">
      <alignment vertical="center"/>
    </xf>
    <xf numFmtId="176" fontId="18" fillId="0" borderId="44" xfId="3" applyNumberFormat="1" applyFont="1" applyFill="1" applyBorder="1" applyAlignment="1">
      <alignment vertical="center"/>
    </xf>
    <xf numFmtId="176" fontId="18" fillId="0" borderId="45" xfId="3" applyNumberFormat="1" applyFont="1" applyFill="1" applyBorder="1" applyAlignment="1">
      <alignment vertical="center"/>
    </xf>
    <xf numFmtId="9" fontId="18" fillId="0" borderId="20" xfId="1" applyFont="1" applyFill="1" applyBorder="1" applyAlignment="1">
      <alignment horizontal="center" vertical="center"/>
    </xf>
    <xf numFmtId="9" fontId="16" fillId="0" borderId="13" xfId="1" applyFont="1" applyFill="1" applyBorder="1" applyAlignment="1">
      <alignment horizontal="center" vertical="center"/>
    </xf>
    <xf numFmtId="0" fontId="16" fillId="0" borderId="20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8" fillId="0" borderId="54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horizontal="right" vertical="center"/>
    </xf>
    <xf numFmtId="176" fontId="18" fillId="0" borderId="3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78" fontId="17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left"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8" fillId="0" borderId="53" xfId="3" applyFont="1" applyFill="1" applyBorder="1" applyAlignment="1">
      <alignment horizontal="center" vertical="center"/>
    </xf>
    <xf numFmtId="38" fontId="26" fillId="0" borderId="1" xfId="3" applyNumberFormat="1" applyFont="1" applyFill="1" applyBorder="1" applyAlignment="1">
      <alignment vertical="center"/>
    </xf>
    <xf numFmtId="9" fontId="26" fillId="0" borderId="1" xfId="1" applyFont="1" applyFill="1" applyBorder="1" applyAlignment="1">
      <alignment horizontal="center" vertical="center"/>
    </xf>
    <xf numFmtId="0" fontId="18" fillId="0" borderId="32" xfId="3" applyFont="1" applyFill="1" applyBorder="1" applyAlignment="1">
      <alignment horizontal="center" vertical="center" wrapText="1"/>
    </xf>
    <xf numFmtId="38" fontId="18" fillId="0" borderId="20" xfId="3" applyNumberFormat="1" applyFont="1" applyFill="1" applyBorder="1" applyAlignment="1">
      <alignment vertical="center"/>
    </xf>
    <xf numFmtId="0" fontId="18" fillId="0" borderId="1" xfId="3" applyFont="1" applyFill="1" applyBorder="1" applyAlignment="1">
      <alignment horizontal="center" vertical="center" wrapText="1"/>
    </xf>
    <xf numFmtId="38" fontId="18" fillId="0" borderId="1" xfId="3" applyNumberFormat="1" applyFont="1" applyFill="1" applyBorder="1" applyAlignment="1">
      <alignment vertical="center"/>
    </xf>
    <xf numFmtId="9" fontId="18" fillId="0" borderId="1" xfId="1" applyFont="1" applyFill="1" applyBorder="1" applyAlignment="1">
      <alignment horizontal="center" vertical="center"/>
    </xf>
    <xf numFmtId="38" fontId="16" fillId="0" borderId="8" xfId="3" applyNumberFormat="1" applyFont="1" applyFill="1" applyBorder="1" applyAlignment="1">
      <alignment vertical="center"/>
    </xf>
    <xf numFmtId="9" fontId="16" fillId="0" borderId="8" xfId="1" applyFont="1" applyFill="1" applyBorder="1" applyAlignment="1">
      <alignment horizontal="center" vertical="center"/>
    </xf>
    <xf numFmtId="0" fontId="6" fillId="0" borderId="0" xfId="7">
      <alignment vertical="center"/>
    </xf>
    <xf numFmtId="0" fontId="29" fillId="0" borderId="0" xfId="7" applyFont="1">
      <alignment vertical="center"/>
    </xf>
    <xf numFmtId="0" fontId="31" fillId="0" borderId="0" xfId="7" applyFont="1" applyAlignment="1">
      <alignment horizontal="right"/>
    </xf>
    <xf numFmtId="0" fontId="6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6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6" fillId="0" borderId="14" xfId="3" applyNumberFormat="1" applyFont="1" applyFill="1" applyBorder="1" applyAlignment="1">
      <alignment horizontal="center" vertical="center"/>
    </xf>
    <xf numFmtId="0" fontId="16" fillId="0" borderId="28" xfId="3" applyFont="1" applyFill="1" applyBorder="1" applyAlignment="1">
      <alignment horizontal="center" vertical="center" wrapText="1"/>
    </xf>
    <xf numFmtId="9" fontId="16" fillId="0" borderId="11" xfId="3" applyNumberFormat="1" applyFont="1" applyFill="1" applyBorder="1" applyAlignment="1">
      <alignment horizontal="center" vertical="center"/>
    </xf>
    <xf numFmtId="0" fontId="22" fillId="0" borderId="41" xfId="3" applyFont="1" applyFill="1" applyBorder="1" applyAlignment="1">
      <alignment vertical="center"/>
    </xf>
    <xf numFmtId="0" fontId="23" fillId="0" borderId="53" xfId="3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7" fontId="16" fillId="0" borderId="0" xfId="3" applyNumberFormat="1" applyFont="1" applyFill="1" applyBorder="1" applyAlignment="1">
      <alignment vertical="center"/>
    </xf>
    <xf numFmtId="42" fontId="16" fillId="0" borderId="14" xfId="3" applyNumberFormat="1" applyFont="1" applyFill="1" applyBorder="1" applyAlignment="1">
      <alignment horizontal="center" vertical="center"/>
    </xf>
    <xf numFmtId="178" fontId="16" fillId="0" borderId="14" xfId="3" applyNumberFormat="1" applyFont="1" applyFill="1" applyBorder="1" applyAlignment="1">
      <alignment horizontal="center" vertical="center"/>
    </xf>
    <xf numFmtId="180" fontId="16" fillId="0" borderId="14" xfId="2" applyNumberFormat="1" applyFont="1" applyFill="1" applyBorder="1" applyAlignment="1">
      <alignment horizontal="center" vertical="center"/>
    </xf>
    <xf numFmtId="178" fontId="24" fillId="0" borderId="14" xfId="0" applyNumberFormat="1" applyFont="1" applyBorder="1">
      <alignment vertical="center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178" fontId="19" fillId="0" borderId="23" xfId="3" applyNumberFormat="1" applyFont="1" applyFill="1" applyBorder="1" applyAlignment="1">
      <alignment vertical="center"/>
    </xf>
    <xf numFmtId="9" fontId="19" fillId="0" borderId="23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8" fontId="26" fillId="0" borderId="11" xfId="3" applyNumberFormat="1" applyFont="1" applyFill="1" applyBorder="1" applyAlignment="1">
      <alignment vertical="center"/>
    </xf>
    <xf numFmtId="177" fontId="21" fillId="0" borderId="11" xfId="3" applyNumberFormat="1" applyFont="1" applyFill="1" applyBorder="1" applyAlignment="1">
      <alignment vertical="center"/>
    </xf>
    <xf numFmtId="9" fontId="21" fillId="0" borderId="11" xfId="3" applyNumberFormat="1" applyFont="1" applyFill="1" applyBorder="1" applyAlignment="1">
      <alignment horizontal="center" vertical="center"/>
    </xf>
    <xf numFmtId="0" fontId="19" fillId="0" borderId="36" xfId="3" applyFont="1" applyFill="1" applyBorder="1" applyAlignment="1">
      <alignment vertical="center"/>
    </xf>
    <xf numFmtId="0" fontId="21" fillId="0" borderId="14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34" fillId="0" borderId="14" xfId="3" applyNumberFormat="1" applyFont="1" applyFill="1" applyBorder="1" applyAlignment="1">
      <alignment horizontal="right" vertical="center"/>
    </xf>
    <xf numFmtId="178" fontId="26" fillId="0" borderId="1" xfId="3" applyNumberFormat="1" applyFont="1" applyFill="1" applyBorder="1" applyAlignment="1">
      <alignment vertical="center"/>
    </xf>
    <xf numFmtId="42" fontId="16" fillId="0" borderId="30" xfId="3" applyNumberFormat="1" applyFont="1" applyFill="1" applyBorder="1" applyAlignment="1">
      <alignment horizontal="left" vertical="center"/>
    </xf>
    <xf numFmtId="176" fontId="16" fillId="0" borderId="30" xfId="3" applyNumberFormat="1" applyFont="1" applyFill="1" applyBorder="1" applyAlignment="1">
      <alignment horizontal="left" vertical="center"/>
    </xf>
    <xf numFmtId="180" fontId="16" fillId="0" borderId="30" xfId="2" applyNumberFormat="1" applyFont="1" applyFill="1" applyBorder="1" applyAlignment="1">
      <alignment vertical="center"/>
    </xf>
    <xf numFmtId="41" fontId="16" fillId="0" borderId="30" xfId="2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0" fontId="16" fillId="0" borderId="29" xfId="3" applyFont="1" applyFill="1" applyBorder="1" applyAlignment="1">
      <alignment vertical="center"/>
    </xf>
    <xf numFmtId="9" fontId="16" fillId="0" borderId="55" xfId="1" applyFont="1" applyFill="1" applyBorder="1" applyAlignment="1">
      <alignment vertical="center"/>
    </xf>
    <xf numFmtId="176" fontId="16" fillId="0" borderId="55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77" fontId="16" fillId="0" borderId="30" xfId="3" applyNumberFormat="1" applyFont="1" applyFill="1" applyBorder="1" applyAlignment="1">
      <alignment vertical="center"/>
    </xf>
    <xf numFmtId="178" fontId="35" fillId="0" borderId="20" xfId="3" applyNumberFormat="1" applyFont="1" applyFill="1" applyBorder="1" applyAlignment="1">
      <alignment vertical="center"/>
    </xf>
    <xf numFmtId="177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41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0" fontId="36" fillId="0" borderId="53" xfId="3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5" fillId="0" borderId="0" xfId="3" applyFont="1" applyFill="1" applyBorder="1" applyAlignment="1">
      <alignment vertical="center" wrapText="1"/>
    </xf>
    <xf numFmtId="178" fontId="35" fillId="0" borderId="0" xfId="3" applyNumberFormat="1" applyFont="1" applyFill="1" applyBorder="1" applyAlignment="1">
      <alignment vertical="center"/>
    </xf>
    <xf numFmtId="177" fontId="35" fillId="0" borderId="0" xfId="3" applyNumberFormat="1" applyFont="1" applyFill="1" applyBorder="1" applyAlignment="1">
      <alignment vertical="center"/>
    </xf>
    <xf numFmtId="9" fontId="35" fillId="0" borderId="0" xfId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horizontal="center" vertical="center"/>
    </xf>
    <xf numFmtId="176" fontId="36" fillId="0" borderId="0" xfId="3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horizontal="right" vertical="center"/>
    </xf>
    <xf numFmtId="176" fontId="19" fillId="0" borderId="37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16" fillId="0" borderId="35" xfId="3" applyNumberFormat="1" applyFont="1" applyFill="1" applyBorder="1" applyAlignment="1">
      <alignment vertical="center"/>
    </xf>
    <xf numFmtId="0" fontId="16" fillId="0" borderId="17" xfId="3" applyFont="1" applyFill="1" applyBorder="1" applyAlignment="1">
      <alignment vertical="center" wrapText="1"/>
    </xf>
    <xf numFmtId="0" fontId="35" fillId="0" borderId="54" xfId="3" applyFont="1" applyFill="1" applyBorder="1" applyAlignment="1">
      <alignment vertical="center" wrapText="1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8" fontId="19" fillId="0" borderId="44" xfId="3" applyNumberFormat="1" applyFont="1" applyFill="1" applyBorder="1" applyAlignment="1">
      <alignment vertical="center"/>
    </xf>
    <xf numFmtId="0" fontId="4" fillId="0" borderId="20" xfId="7" applyFont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9" fontId="16" fillId="0" borderId="33" xfId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35" fillId="0" borderId="14" xfId="3" applyFont="1" applyFill="1" applyBorder="1" applyAlignment="1">
      <alignment vertical="center"/>
    </xf>
    <xf numFmtId="0" fontId="26" fillId="0" borderId="33" xfId="3" applyFont="1" applyFill="1" applyBorder="1" applyAlignment="1">
      <alignment vertical="center"/>
    </xf>
    <xf numFmtId="9" fontId="16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7" fillId="0" borderId="0" xfId="0" applyFont="1" applyFill="1" applyBorder="1" applyAlignment="1">
      <alignment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7" fillId="0" borderId="16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7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7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7" fillId="0" borderId="32" xfId="0" applyNumberFormat="1" applyFont="1" applyFill="1" applyBorder="1" applyAlignment="1">
      <alignment horizontal="center" vertical="center"/>
    </xf>
    <xf numFmtId="41" fontId="37" fillId="0" borderId="59" xfId="0" applyNumberFormat="1" applyFont="1" applyFill="1" applyBorder="1" applyAlignment="1">
      <alignment horizontal="center" vertical="center"/>
    </xf>
    <xf numFmtId="41" fontId="0" fillId="0" borderId="60" xfId="2" applyFont="1" applyFill="1" applyBorder="1" applyAlignment="1">
      <alignment vertical="center"/>
    </xf>
    <xf numFmtId="41" fontId="0" fillId="0" borderId="65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7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6" xfId="2" applyFont="1" applyFill="1" applyBorder="1" applyAlignment="1">
      <alignment vertical="center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8" fillId="0" borderId="33" xfId="3" applyFont="1" applyFill="1" applyBorder="1" applyAlignment="1">
      <alignment horizontal="left" vertical="center"/>
    </xf>
    <xf numFmtId="0" fontId="28" fillId="0" borderId="33" xfId="3" applyFont="1" applyFill="1" applyBorder="1" applyAlignment="1">
      <alignment vertical="center"/>
    </xf>
    <xf numFmtId="0" fontId="28" fillId="0" borderId="36" xfId="3" applyFont="1" applyFill="1" applyBorder="1" applyAlignment="1">
      <alignment vertical="center"/>
    </xf>
    <xf numFmtId="0" fontId="28" fillId="0" borderId="41" xfId="3" applyFont="1" applyFill="1" applyBorder="1" applyAlignment="1">
      <alignment vertical="center"/>
    </xf>
    <xf numFmtId="0" fontId="28" fillId="0" borderId="34" xfId="3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94" fontId="19" fillId="0" borderId="23" xfId="3" applyNumberFormat="1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176" fontId="28" fillId="0" borderId="30" xfId="3" applyNumberFormat="1" applyFont="1" applyFill="1" applyBorder="1" applyAlignment="1">
      <alignment vertical="center"/>
    </xf>
    <xf numFmtId="38" fontId="40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28" fillId="0" borderId="0" xfId="3" applyFont="1" applyFill="1" applyBorder="1" applyAlignment="1">
      <alignment horizontal="center" vertical="center"/>
    </xf>
    <xf numFmtId="41" fontId="28" fillId="0" borderId="0" xfId="2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vertical="center"/>
    </xf>
    <xf numFmtId="0" fontId="35" fillId="0" borderId="14" xfId="3" applyFont="1" applyFill="1" applyBorder="1" applyAlignment="1">
      <alignment horizontal="center"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35" fillId="0" borderId="37" xfId="3" applyNumberFormat="1" applyFont="1" applyFill="1" applyBorder="1" applyAlignment="1">
      <alignment vertical="center"/>
    </xf>
    <xf numFmtId="176" fontId="26" fillId="0" borderId="5" xfId="3" applyNumberFormat="1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horizontal="right" vertical="center"/>
    </xf>
    <xf numFmtId="0" fontId="28" fillId="0" borderId="3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vertical="center"/>
    </xf>
    <xf numFmtId="41" fontId="36" fillId="0" borderId="8" xfId="0" applyNumberFormat="1" applyFont="1" applyFill="1" applyBorder="1" applyAlignment="1">
      <alignment vertical="center"/>
    </xf>
    <xf numFmtId="38" fontId="36" fillId="0" borderId="8" xfId="3" applyNumberFormat="1" applyFont="1" applyFill="1" applyBorder="1" applyAlignment="1">
      <alignment vertical="center"/>
    </xf>
    <xf numFmtId="9" fontId="36" fillId="0" borderId="8" xfId="3" applyNumberFormat="1" applyFont="1" applyFill="1" applyBorder="1" applyAlignment="1">
      <alignment horizontal="center" vertical="center"/>
    </xf>
    <xf numFmtId="0" fontId="36" fillId="0" borderId="10" xfId="3" applyFont="1" applyFill="1" applyBorder="1" applyAlignment="1">
      <alignment vertical="center"/>
    </xf>
    <xf numFmtId="0" fontId="36" fillId="0" borderId="44" xfId="3" applyFont="1" applyFill="1" applyBorder="1" applyAlignment="1">
      <alignment vertical="center"/>
    </xf>
    <xf numFmtId="176" fontId="36" fillId="0" borderId="44" xfId="3" applyNumberFormat="1" applyFont="1" applyFill="1" applyBorder="1" applyAlignment="1">
      <alignment vertical="center"/>
    </xf>
    <xf numFmtId="176" fontId="36" fillId="0" borderId="45" xfId="3" applyNumberFormat="1" applyFont="1" applyFill="1" applyBorder="1" applyAlignment="1">
      <alignment vertical="center"/>
    </xf>
    <xf numFmtId="41" fontId="34" fillId="0" borderId="27" xfId="0" applyNumberFormat="1" applyFont="1" applyFill="1" applyBorder="1" applyAlignment="1">
      <alignment vertical="center"/>
    </xf>
    <xf numFmtId="38" fontId="34" fillId="0" borderId="27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176" fontId="34" fillId="0" borderId="5" xfId="3" applyNumberFormat="1" applyFont="1" applyFill="1" applyBorder="1" applyAlignment="1">
      <alignment vertical="center"/>
    </xf>
    <xf numFmtId="0" fontId="42" fillId="0" borderId="20" xfId="3" applyFont="1" applyFill="1" applyBorder="1" applyAlignment="1">
      <alignment horizontal="center" vertical="center" wrapText="1"/>
    </xf>
    <xf numFmtId="176" fontId="42" fillId="0" borderId="20" xfId="0" applyNumberFormat="1" applyFont="1" applyFill="1" applyBorder="1" applyAlignment="1">
      <alignment vertical="center"/>
    </xf>
    <xf numFmtId="38" fontId="42" fillId="0" borderId="20" xfId="3" applyNumberFormat="1" applyFont="1" applyFill="1" applyBorder="1" applyAlignment="1">
      <alignment vertical="center"/>
    </xf>
    <xf numFmtId="9" fontId="42" fillId="0" borderId="20" xfId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178" fontId="44" fillId="0" borderId="0" xfId="0" applyNumberFormat="1" applyFont="1" applyBorder="1">
      <alignment vertical="center"/>
    </xf>
    <xf numFmtId="0" fontId="26" fillId="0" borderId="0" xfId="3" applyFont="1" applyFill="1" applyBorder="1" applyAlignment="1">
      <alignment horizontal="center" vertical="center"/>
    </xf>
    <xf numFmtId="0" fontId="45" fillId="0" borderId="14" xfId="3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176" fontId="45" fillId="0" borderId="53" xfId="3" applyNumberFormat="1" applyFont="1" applyFill="1" applyBorder="1" applyAlignment="1">
      <alignment vertical="center"/>
    </xf>
    <xf numFmtId="176" fontId="45" fillId="0" borderId="53" xfId="3" applyNumberFormat="1" applyFont="1" applyFill="1" applyBorder="1" applyAlignment="1">
      <alignment horizontal="right" vertical="center"/>
    </xf>
    <xf numFmtId="176" fontId="45" fillId="0" borderId="54" xfId="3" applyNumberFormat="1" applyFont="1" applyFill="1" applyBorder="1" applyAlignment="1">
      <alignment vertical="center"/>
    </xf>
    <xf numFmtId="0" fontId="26" fillId="0" borderId="30" xfId="3" applyFont="1" applyFill="1" applyBorder="1" applyAlignment="1">
      <alignment vertical="center"/>
    </xf>
    <xf numFmtId="176" fontId="46" fillId="0" borderId="0" xfId="3" applyNumberFormat="1" applyFont="1" applyFill="1" applyBorder="1" applyAlignment="1">
      <alignment vertical="center"/>
    </xf>
    <xf numFmtId="0" fontId="46" fillId="0" borderId="0" xfId="3" applyFont="1" applyFill="1" applyBorder="1" applyAlignment="1">
      <alignment horizontal="center" vertical="center"/>
    </xf>
    <xf numFmtId="0" fontId="46" fillId="0" borderId="0" xfId="3" applyFont="1" applyFill="1" applyBorder="1" applyAlignment="1">
      <alignment vertical="center"/>
    </xf>
    <xf numFmtId="0" fontId="45" fillId="0" borderId="41" xfId="3" applyFont="1" applyFill="1" applyBorder="1" applyAlignment="1">
      <alignment vertical="center"/>
    </xf>
    <xf numFmtId="0" fontId="45" fillId="0" borderId="30" xfId="3" applyFont="1" applyFill="1" applyBorder="1" applyAlignment="1">
      <alignment vertical="center"/>
    </xf>
    <xf numFmtId="176" fontId="45" fillId="0" borderId="30" xfId="3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0" xfId="3" applyFont="1" applyFill="1" applyBorder="1" applyAlignment="1">
      <alignment vertical="center" wrapText="1"/>
    </xf>
    <xf numFmtId="0" fontId="26" fillId="0" borderId="36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7" fillId="0" borderId="0" xfId="0" applyFont="1" applyFill="1" applyAlignment="1">
      <alignment vertical="center"/>
    </xf>
    <xf numFmtId="0" fontId="47" fillId="0" borderId="20" xfId="0" applyFont="1" applyFill="1" applyBorder="1" applyAlignment="1">
      <alignment vertical="center"/>
    </xf>
    <xf numFmtId="41" fontId="47" fillId="4" borderId="20" xfId="2" applyFont="1" applyFill="1" applyBorder="1" applyAlignment="1">
      <alignment vertical="center"/>
    </xf>
    <xf numFmtId="41" fontId="47" fillId="0" borderId="20" xfId="2" applyFont="1" applyFill="1" applyBorder="1" applyAlignment="1">
      <alignment vertical="center"/>
    </xf>
    <xf numFmtId="9" fontId="47" fillId="0" borderId="20" xfId="1" applyFont="1" applyFill="1" applyBorder="1" applyAlignment="1">
      <alignment vertical="center"/>
    </xf>
    <xf numFmtId="41" fontId="47" fillId="2" borderId="20" xfId="2" applyFont="1" applyFill="1" applyBorder="1" applyAlignment="1">
      <alignment vertical="center"/>
    </xf>
    <xf numFmtId="189" fontId="47" fillId="0" borderId="20" xfId="1" applyNumberFormat="1" applyFont="1" applyFill="1" applyBorder="1" applyAlignment="1">
      <alignment vertical="center"/>
    </xf>
    <xf numFmtId="176" fontId="47" fillId="0" borderId="41" xfId="3" applyNumberFormat="1" applyFont="1" applyFill="1" applyBorder="1" applyAlignment="1">
      <alignment horizontal="center" vertical="center"/>
    </xf>
    <xf numFmtId="176" fontId="47" fillId="0" borderId="53" xfId="3" applyNumberFormat="1" applyFont="1" applyFill="1" applyBorder="1" applyAlignment="1">
      <alignment vertical="center"/>
    </xf>
    <xf numFmtId="0" fontId="47" fillId="0" borderId="53" xfId="3" applyFont="1" applyFill="1" applyBorder="1" applyAlignment="1">
      <alignment horizontal="center" vertical="center"/>
    </xf>
    <xf numFmtId="176" fontId="24" fillId="0" borderId="53" xfId="3" applyNumberFormat="1" applyFont="1" applyFill="1" applyBorder="1" applyAlignment="1">
      <alignment vertical="center"/>
    </xf>
    <xf numFmtId="176" fontId="47" fillId="0" borderId="19" xfId="3" applyNumberFormat="1" applyFont="1" applyFill="1" applyBorder="1" applyAlignment="1">
      <alignment vertical="center"/>
    </xf>
    <xf numFmtId="176" fontId="44" fillId="0" borderId="41" xfId="3" applyNumberFormat="1" applyFont="1" applyFill="1" applyBorder="1" applyAlignment="1">
      <alignment horizontal="center" vertical="center"/>
    </xf>
    <xf numFmtId="176" fontId="44" fillId="0" borderId="53" xfId="3" applyNumberFormat="1" applyFont="1" applyFill="1" applyBorder="1" applyAlignment="1">
      <alignment vertical="center"/>
    </xf>
    <xf numFmtId="0" fontId="44" fillId="0" borderId="53" xfId="3" applyFont="1" applyFill="1" applyBorder="1" applyAlignment="1">
      <alignment horizontal="center" vertical="center"/>
    </xf>
    <xf numFmtId="176" fontId="44" fillId="0" borderId="19" xfId="3" applyNumberFormat="1" applyFont="1" applyFill="1" applyBorder="1" applyAlignment="1">
      <alignment vertical="center"/>
    </xf>
    <xf numFmtId="176" fontId="24" fillId="0" borderId="41" xfId="3" applyNumberFormat="1" applyFont="1" applyFill="1" applyBorder="1" applyAlignment="1">
      <alignment horizontal="center" vertical="center"/>
    </xf>
    <xf numFmtId="42" fontId="24" fillId="0" borderId="53" xfId="3" applyNumberFormat="1" applyFont="1" applyFill="1" applyBorder="1" applyAlignment="1">
      <alignment horizontal="left" vertical="center"/>
    </xf>
    <xf numFmtId="9" fontId="24" fillId="0" borderId="53" xfId="1" applyFont="1" applyFill="1" applyBorder="1" applyAlignment="1">
      <alignment horizontal="right" vertical="center"/>
    </xf>
    <xf numFmtId="176" fontId="24" fillId="0" borderId="53" xfId="3" applyNumberFormat="1" applyFont="1" applyFill="1" applyBorder="1" applyAlignment="1">
      <alignment horizontal="left" vertical="center"/>
    </xf>
    <xf numFmtId="180" fontId="24" fillId="0" borderId="53" xfId="2" applyNumberFormat="1" applyFont="1" applyFill="1" applyBorder="1" applyAlignment="1">
      <alignment vertical="center"/>
    </xf>
    <xf numFmtId="41" fontId="24" fillId="0" borderId="53" xfId="2" applyFont="1" applyFill="1" applyBorder="1" applyAlignment="1">
      <alignment vertical="center"/>
    </xf>
    <xf numFmtId="176" fontId="24" fillId="0" borderId="19" xfId="3" applyNumberFormat="1" applyFont="1" applyFill="1" applyBorder="1" applyAlignment="1">
      <alignment horizontal="center" vertical="center"/>
    </xf>
    <xf numFmtId="0" fontId="47" fillId="0" borderId="41" xfId="0" applyFont="1" applyFill="1" applyBorder="1" applyAlignment="1">
      <alignment horizontal="center" vertical="center"/>
    </xf>
    <xf numFmtId="0" fontId="47" fillId="0" borderId="53" xfId="0" applyFont="1" applyFill="1" applyBorder="1" applyAlignment="1">
      <alignment vertical="center"/>
    </xf>
    <xf numFmtId="0" fontId="47" fillId="0" borderId="19" xfId="0" applyFont="1" applyFill="1" applyBorder="1" applyAlignment="1">
      <alignment vertical="center"/>
    </xf>
    <xf numFmtId="176" fontId="47" fillId="0" borderId="53" xfId="3" applyNumberFormat="1" applyFont="1" applyFill="1" applyBorder="1" applyAlignment="1">
      <alignment horizontal="left" vertical="center"/>
    </xf>
    <xf numFmtId="176" fontId="47" fillId="0" borderId="53" xfId="3" applyNumberFormat="1" applyFont="1" applyFill="1" applyBorder="1" applyAlignment="1">
      <alignment horizontal="center" vertical="center"/>
    </xf>
    <xf numFmtId="181" fontId="47" fillId="0" borderId="53" xfId="1" applyNumberFormat="1" applyFont="1" applyFill="1" applyBorder="1" applyAlignment="1">
      <alignment vertical="center"/>
    </xf>
    <xf numFmtId="42" fontId="47" fillId="0" borderId="53" xfId="3" applyNumberFormat="1" applyFont="1" applyFill="1" applyBorder="1" applyAlignment="1">
      <alignment horizontal="left" vertical="center"/>
    </xf>
    <xf numFmtId="42" fontId="47" fillId="0" borderId="53" xfId="3" applyNumberFormat="1" applyFont="1" applyFill="1" applyBorder="1" applyAlignment="1">
      <alignment horizontal="center" vertical="center"/>
    </xf>
    <xf numFmtId="9" fontId="47" fillId="0" borderId="53" xfId="1" applyFont="1" applyFill="1" applyBorder="1" applyAlignment="1">
      <alignment horizontal="center" vertical="center"/>
    </xf>
    <xf numFmtId="183" fontId="47" fillId="0" borderId="53" xfId="1" applyNumberFormat="1" applyFont="1" applyFill="1" applyBorder="1" applyAlignment="1">
      <alignment horizontal="center" vertical="center"/>
    </xf>
    <xf numFmtId="178" fontId="24" fillId="0" borderId="19" xfId="0" applyNumberFormat="1" applyFont="1" applyBorder="1">
      <alignment vertical="center"/>
    </xf>
    <xf numFmtId="184" fontId="47" fillId="0" borderId="53" xfId="1" applyNumberFormat="1" applyFont="1" applyFill="1" applyBorder="1" applyAlignment="1">
      <alignment horizontal="center" vertical="center"/>
    </xf>
    <xf numFmtId="10" fontId="47" fillId="0" borderId="53" xfId="1" applyNumberFormat="1" applyFont="1" applyFill="1" applyBorder="1" applyAlignment="1">
      <alignment horizontal="center" vertical="center"/>
    </xf>
    <xf numFmtId="42" fontId="25" fillId="0" borderId="53" xfId="3" applyNumberFormat="1" applyFont="1" applyFill="1" applyBorder="1" applyAlignment="1">
      <alignment horizontal="center" vertical="center"/>
    </xf>
    <xf numFmtId="178" fontId="25" fillId="0" borderId="19" xfId="0" applyNumberFormat="1" applyFont="1" applyBorder="1">
      <alignment vertical="center"/>
    </xf>
    <xf numFmtId="188" fontId="47" fillId="0" borderId="53" xfId="1" applyNumberFormat="1" applyFont="1" applyFill="1" applyBorder="1" applyAlignment="1">
      <alignment horizontal="center" vertical="center"/>
    </xf>
    <xf numFmtId="189" fontId="47" fillId="0" borderId="53" xfId="1" applyNumberFormat="1" applyFont="1" applyFill="1" applyBorder="1" applyAlignment="1">
      <alignment horizontal="center" vertical="center"/>
    </xf>
    <xf numFmtId="0" fontId="44" fillId="0" borderId="53" xfId="3" applyFont="1" applyFill="1" applyBorder="1" applyAlignment="1">
      <alignment vertical="center"/>
    </xf>
    <xf numFmtId="0" fontId="47" fillId="0" borderId="53" xfId="3" applyFont="1" applyFill="1" applyBorder="1" applyAlignment="1">
      <alignment vertical="center"/>
    </xf>
    <xf numFmtId="178" fontId="44" fillId="0" borderId="53" xfId="0" applyNumberFormat="1" applyFont="1" applyBorder="1">
      <alignment vertical="center"/>
    </xf>
    <xf numFmtId="178" fontId="44" fillId="0" borderId="19" xfId="0" applyNumberFormat="1" applyFont="1" applyBorder="1">
      <alignment vertical="center"/>
    </xf>
    <xf numFmtId="0" fontId="47" fillId="3" borderId="20" xfId="0" applyFont="1" applyFill="1" applyBorder="1" applyAlignment="1">
      <alignment horizontal="center" vertical="center"/>
    </xf>
    <xf numFmtId="0" fontId="48" fillId="5" borderId="20" xfId="0" applyFont="1" applyFill="1" applyBorder="1" applyAlignment="1">
      <alignment horizontal="center" vertical="center"/>
    </xf>
    <xf numFmtId="0" fontId="48" fillId="5" borderId="20" xfId="0" applyFont="1" applyFill="1" applyBorder="1" applyAlignment="1">
      <alignment horizontal="center" vertical="center" wrapText="1"/>
    </xf>
    <xf numFmtId="41" fontId="48" fillId="6" borderId="20" xfId="0" applyNumberFormat="1" applyFont="1" applyFill="1" applyBorder="1" applyAlignment="1">
      <alignment horizontal="center" vertical="center"/>
    </xf>
    <xf numFmtId="0" fontId="48" fillId="6" borderId="20" xfId="0" applyFont="1" applyFill="1" applyBorder="1" applyAlignment="1">
      <alignment horizontal="center" vertical="center" wrapText="1"/>
    </xf>
    <xf numFmtId="0" fontId="48" fillId="6" borderId="20" xfId="0" applyFont="1" applyFill="1" applyBorder="1" applyAlignment="1">
      <alignment horizontal="center" vertical="center"/>
    </xf>
    <xf numFmtId="0" fontId="48" fillId="6" borderId="41" xfId="0" applyFont="1" applyFill="1" applyBorder="1" applyAlignment="1">
      <alignment horizontal="center" vertical="center"/>
    </xf>
    <xf numFmtId="0" fontId="48" fillId="6" borderId="53" xfId="0" applyFont="1" applyFill="1" applyBorder="1" applyAlignment="1">
      <alignment horizontal="center" vertical="center"/>
    </xf>
    <xf numFmtId="0" fontId="48" fillId="6" borderId="19" xfId="0" applyFont="1" applyFill="1" applyBorder="1" applyAlignment="1">
      <alignment horizontal="center" vertical="center"/>
    </xf>
    <xf numFmtId="0" fontId="47" fillId="0" borderId="20" xfId="0" applyFont="1" applyFill="1" applyBorder="1" applyAlignment="1">
      <alignment vertical="center" wrapText="1"/>
    </xf>
    <xf numFmtId="0" fontId="24" fillId="0" borderId="53" xfId="3" applyFont="1" applyFill="1" applyBorder="1" applyAlignment="1">
      <alignment vertical="center"/>
    </xf>
    <xf numFmtId="176" fontId="44" fillId="0" borderId="53" xfId="3" applyNumberFormat="1" applyFont="1" applyFill="1" applyBorder="1" applyAlignment="1">
      <alignment horizontal="center" vertical="center"/>
    </xf>
    <xf numFmtId="42" fontId="44" fillId="0" borderId="53" xfId="3" applyNumberFormat="1" applyFont="1" applyFill="1" applyBorder="1" applyAlignment="1">
      <alignment horizontal="center" vertical="center"/>
    </xf>
    <xf numFmtId="178" fontId="44" fillId="0" borderId="53" xfId="3" applyNumberFormat="1" applyFont="1" applyFill="1" applyBorder="1" applyAlignment="1">
      <alignment horizontal="center" vertical="center"/>
    </xf>
    <xf numFmtId="180" fontId="44" fillId="0" borderId="53" xfId="2" applyNumberFormat="1" applyFont="1" applyFill="1" applyBorder="1" applyAlignment="1">
      <alignment horizontal="center" vertical="center"/>
    </xf>
    <xf numFmtId="0" fontId="16" fillId="0" borderId="14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left" vertical="center"/>
    </xf>
    <xf numFmtId="179" fontId="26" fillId="0" borderId="0" xfId="1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left" vertical="center"/>
    </xf>
    <xf numFmtId="189" fontId="26" fillId="0" borderId="0" xfId="1" applyNumberFormat="1" applyFont="1" applyFill="1" applyBorder="1" applyAlignment="1">
      <alignment horizontal="center" vertical="center"/>
    </xf>
    <xf numFmtId="177" fontId="26" fillId="0" borderId="14" xfId="3" applyNumberFormat="1" applyFont="1" applyFill="1" applyBorder="1" applyAlignment="1">
      <alignment vertical="center"/>
    </xf>
    <xf numFmtId="42" fontId="26" fillId="0" borderId="14" xfId="3" applyNumberFormat="1" applyFont="1" applyFill="1" applyBorder="1" applyAlignment="1">
      <alignment horizontal="left" vertical="center"/>
    </xf>
    <xf numFmtId="176" fontId="26" fillId="0" borderId="14" xfId="3" applyNumberFormat="1" applyFont="1" applyFill="1" applyBorder="1" applyAlignment="1">
      <alignment horizontal="left" vertical="center"/>
    </xf>
    <xf numFmtId="180" fontId="26" fillId="0" borderId="14" xfId="2" applyNumberFormat="1" applyFont="1" applyFill="1" applyBorder="1" applyAlignment="1">
      <alignment vertical="center"/>
    </xf>
    <xf numFmtId="41" fontId="26" fillId="0" borderId="14" xfId="2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center" vertical="center"/>
    </xf>
    <xf numFmtId="9" fontId="26" fillId="0" borderId="14" xfId="1" applyFont="1" applyFill="1" applyBorder="1" applyAlignment="1">
      <alignment horizontal="left" vertical="center"/>
    </xf>
    <xf numFmtId="0" fontId="26" fillId="0" borderId="14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50" fillId="0" borderId="14" xfId="0" applyFont="1" applyFill="1" applyBorder="1" applyAlignment="1">
      <alignment vertical="center"/>
    </xf>
    <xf numFmtId="3" fontId="35" fillId="0" borderId="14" xfId="0" applyNumberFormat="1" applyFont="1" applyFill="1" applyBorder="1" applyAlignment="1">
      <alignment vertical="center"/>
    </xf>
    <xf numFmtId="176" fontId="50" fillId="0" borderId="37" xfId="3" applyNumberFormat="1" applyFont="1" applyFill="1" applyBorder="1" applyAlignment="1">
      <alignment vertical="center"/>
    </xf>
    <xf numFmtId="9" fontId="26" fillId="0" borderId="0" xfId="3" applyNumberFormat="1" applyFont="1" applyFill="1" applyBorder="1" applyAlignment="1">
      <alignment vertical="center"/>
    </xf>
    <xf numFmtId="9" fontId="26" fillId="0" borderId="0" xfId="1" applyFont="1" applyFill="1" applyBorder="1" applyAlignment="1">
      <alignment vertical="center"/>
    </xf>
    <xf numFmtId="181" fontId="26" fillId="0" borderId="0" xfId="1" applyNumberFormat="1" applyFont="1" applyFill="1" applyBorder="1" applyAlignment="1">
      <alignment vertical="center"/>
    </xf>
    <xf numFmtId="9" fontId="26" fillId="0" borderId="0" xfId="1" applyFont="1" applyFill="1" applyBorder="1" applyAlignment="1">
      <alignment horizontal="center" vertical="center"/>
    </xf>
    <xf numFmtId="41" fontId="26" fillId="0" borderId="0" xfId="2" applyNumberFormat="1" applyFont="1" applyFill="1" applyBorder="1" applyAlignment="1">
      <alignment horizontal="left" vertical="center"/>
    </xf>
    <xf numFmtId="10" fontId="26" fillId="0" borderId="0" xfId="1" applyNumberFormat="1" applyFont="1" applyFill="1" applyBorder="1" applyAlignment="1">
      <alignment horizontal="center" vertical="center"/>
    </xf>
    <xf numFmtId="41" fontId="26" fillId="0" borderId="0" xfId="2" applyNumberFormat="1" applyFont="1" applyFill="1" applyBorder="1" applyAlignment="1">
      <alignment horizontal="center" vertical="center"/>
    </xf>
    <xf numFmtId="41" fontId="26" fillId="0" borderId="0" xfId="2" applyFont="1" applyFill="1" applyAlignment="1">
      <alignment vertical="center"/>
    </xf>
    <xf numFmtId="188" fontId="26" fillId="0" borderId="0" xfId="1" applyNumberFormat="1" applyFont="1" applyFill="1" applyBorder="1" applyAlignment="1">
      <alignment horizontal="center" vertical="center"/>
    </xf>
    <xf numFmtId="42" fontId="28" fillId="0" borderId="0" xfId="3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78" fontId="28" fillId="0" borderId="0" xfId="3" applyNumberFormat="1" applyFont="1" applyFill="1" applyBorder="1" applyAlignment="1">
      <alignment horizontal="center" vertical="center"/>
    </xf>
    <xf numFmtId="180" fontId="28" fillId="0" borderId="0" xfId="2" applyNumberFormat="1" applyFont="1" applyFill="1" applyBorder="1" applyAlignment="1">
      <alignment horizontal="center"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0" applyFont="1" applyFill="1" applyBorder="1" applyAlignment="1">
      <alignment vertical="center"/>
    </xf>
    <xf numFmtId="0" fontId="28" fillId="0" borderId="37" xfId="0" applyFont="1" applyFill="1" applyBorder="1" applyAlignment="1">
      <alignment vertical="center"/>
    </xf>
    <xf numFmtId="176" fontId="28" fillId="0" borderId="31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right" vertical="center"/>
    </xf>
    <xf numFmtId="0" fontId="28" fillId="0" borderId="0" xfId="3" applyFont="1" applyFill="1" applyBorder="1" applyAlignment="1">
      <alignment horizontal="left" vertical="center" wrapText="1"/>
    </xf>
    <xf numFmtId="0" fontId="28" fillId="0" borderId="14" xfId="3" applyFont="1" applyFill="1" applyBorder="1" applyAlignment="1">
      <alignment horizontal="center" vertical="center"/>
    </xf>
    <xf numFmtId="176" fontId="28" fillId="0" borderId="37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horizontal="right" vertical="center"/>
    </xf>
    <xf numFmtId="176" fontId="28" fillId="0" borderId="0" xfId="4" applyNumberFormat="1" applyFont="1" applyFill="1" applyBorder="1" applyAlignment="1">
      <alignment vertical="center"/>
    </xf>
    <xf numFmtId="176" fontId="28" fillId="0" borderId="0" xfId="4" applyNumberFormat="1" applyFont="1" applyFill="1" applyBorder="1" applyAlignment="1">
      <alignment horizontal="left" vertical="center"/>
    </xf>
    <xf numFmtId="176" fontId="28" fillId="0" borderId="0" xfId="4" applyNumberFormat="1" applyFont="1" applyFill="1" applyBorder="1" applyAlignment="1">
      <alignment horizontal="center" vertical="center"/>
    </xf>
    <xf numFmtId="0" fontId="28" fillId="0" borderId="0" xfId="0" applyFont="1" applyFill="1" applyBorder="1">
      <alignment vertical="center"/>
    </xf>
    <xf numFmtId="0" fontId="28" fillId="0" borderId="0" xfId="0" applyFont="1" applyFill="1">
      <alignment vertical="center"/>
    </xf>
    <xf numFmtId="178" fontId="28" fillId="0" borderId="0" xfId="0" applyNumberFormat="1" applyFont="1" applyFill="1" applyAlignment="1">
      <alignment horizontal="right" vertical="center"/>
    </xf>
    <xf numFmtId="0" fontId="28" fillId="0" borderId="5" xfId="0" applyFont="1" applyFill="1" applyBorder="1">
      <alignment vertical="center"/>
    </xf>
    <xf numFmtId="176" fontId="28" fillId="0" borderId="14" xfId="3" applyNumberFormat="1" applyFont="1" applyFill="1" applyBorder="1" applyAlignment="1">
      <alignment horizontal="right" vertical="center"/>
    </xf>
    <xf numFmtId="0" fontId="28" fillId="0" borderId="13" xfId="3" applyFont="1" applyFill="1" applyBorder="1" applyAlignment="1">
      <alignment vertical="center"/>
    </xf>
    <xf numFmtId="176" fontId="28" fillId="0" borderId="13" xfId="3" applyNumberFormat="1" applyFont="1" applyFill="1" applyBorder="1" applyAlignment="1">
      <alignment vertical="center"/>
    </xf>
    <xf numFmtId="176" fontId="28" fillId="0" borderId="39" xfId="3" applyNumberFormat="1" applyFont="1" applyFill="1" applyBorder="1" applyAlignment="1">
      <alignment vertical="center"/>
    </xf>
    <xf numFmtId="41" fontId="52" fillId="0" borderId="11" xfId="8" applyFont="1" applyBorder="1" applyAlignment="1">
      <alignment vertical="center"/>
    </xf>
    <xf numFmtId="182" fontId="52" fillId="0" borderId="36" xfId="8" applyNumberFormat="1" applyFont="1" applyBorder="1" applyAlignment="1">
      <alignment vertical="center"/>
    </xf>
    <xf numFmtId="182" fontId="52" fillId="0" borderId="12" xfId="8" applyNumberFormat="1" applyFont="1" applyBorder="1" applyAlignment="1">
      <alignment vertical="center"/>
    </xf>
    <xf numFmtId="0" fontId="53" fillId="0" borderId="11" xfId="7" applyFont="1" applyBorder="1" applyAlignment="1">
      <alignment horizontal="center" vertical="center"/>
    </xf>
    <xf numFmtId="41" fontId="54" fillId="0" borderId="11" xfId="8" applyFont="1" applyBorder="1" applyAlignment="1">
      <alignment vertical="center"/>
    </xf>
    <xf numFmtId="182" fontId="54" fillId="0" borderId="36" xfId="8" applyNumberFormat="1" applyFont="1" applyBorder="1" applyAlignment="1">
      <alignment vertical="center"/>
    </xf>
    <xf numFmtId="0" fontId="53" fillId="0" borderId="20" xfId="7" applyFont="1" applyBorder="1" applyAlignment="1">
      <alignment horizontal="center" vertical="center"/>
    </xf>
    <xf numFmtId="41" fontId="54" fillId="0" borderId="20" xfId="8" applyFont="1" applyBorder="1">
      <alignment vertical="center"/>
    </xf>
    <xf numFmtId="182" fontId="54" fillId="0" borderId="41" xfId="8" applyNumberFormat="1" applyFont="1" applyBorder="1">
      <alignment vertical="center"/>
    </xf>
    <xf numFmtId="182" fontId="54" fillId="0" borderId="12" xfId="8" applyNumberFormat="1" applyFont="1" applyBorder="1" applyAlignment="1">
      <alignment vertical="center"/>
    </xf>
    <xf numFmtId="182" fontId="54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6" fillId="0" borderId="27" xfId="3" applyNumberFormat="1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41" fontId="0" fillId="7" borderId="20" xfId="0" applyNumberForma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1" fontId="0" fillId="3" borderId="20" xfId="0" applyNumberFormat="1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15" xfId="0" applyFill="1" applyBorder="1" applyAlignment="1">
      <alignment vertical="center"/>
    </xf>
    <xf numFmtId="41" fontId="0" fillId="0" borderId="3" xfId="2" applyFont="1" applyFill="1" applyBorder="1" applyAlignment="1">
      <alignment vertical="center"/>
    </xf>
    <xf numFmtId="0" fontId="0" fillId="0" borderId="64" xfId="0" applyFill="1" applyBorder="1" applyAlignment="1">
      <alignment horizontal="center" vertical="center"/>
    </xf>
    <xf numFmtId="41" fontId="0" fillId="0" borderId="42" xfId="2" applyFont="1" applyFill="1" applyBorder="1" applyAlignment="1">
      <alignment vertical="center"/>
    </xf>
    <xf numFmtId="41" fontId="0" fillId="0" borderId="19" xfId="2" applyFont="1" applyFill="1" applyBorder="1" applyAlignment="1">
      <alignment vertical="center"/>
    </xf>
    <xf numFmtId="41" fontId="0" fillId="0" borderId="67" xfId="2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41" fontId="0" fillId="3" borderId="19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36" xfId="2" applyFont="1" applyFill="1" applyBorder="1" applyAlignment="1">
      <alignment vertical="center"/>
    </xf>
    <xf numFmtId="41" fontId="0" fillId="0" borderId="41" xfId="2" applyFont="1" applyFill="1" applyBorder="1" applyAlignment="1">
      <alignment vertical="center"/>
    </xf>
    <xf numFmtId="41" fontId="0" fillId="3" borderId="41" xfId="2" applyFont="1" applyFill="1" applyBorder="1" applyAlignment="1">
      <alignment vertical="center"/>
    </xf>
    <xf numFmtId="41" fontId="0" fillId="0" borderId="29" xfId="2" applyFont="1" applyFill="1" applyBorder="1" applyAlignment="1">
      <alignment vertical="center"/>
    </xf>
    <xf numFmtId="0" fontId="0" fillId="0" borderId="56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41" fontId="0" fillId="3" borderId="73" xfId="2" applyFont="1" applyFill="1" applyBorder="1" applyAlignment="1">
      <alignment vertical="center"/>
    </xf>
    <xf numFmtId="41" fontId="0" fillId="0" borderId="74" xfId="2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6" fontId="28" fillId="0" borderId="20" xfId="0" applyNumberFormat="1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16" fillId="0" borderId="34" xfId="3" applyFont="1" applyFill="1" applyBorder="1" applyAlignment="1">
      <alignment vertical="center"/>
    </xf>
    <xf numFmtId="178" fontId="28" fillId="0" borderId="0" xfId="0" applyNumberFormat="1" applyFont="1" applyFill="1" applyBorder="1" applyAlignment="1">
      <alignment horizontal="right" vertical="center"/>
    </xf>
    <xf numFmtId="0" fontId="28" fillId="0" borderId="14" xfId="0" applyFont="1" applyFill="1" applyBorder="1">
      <alignment vertical="center"/>
    </xf>
    <xf numFmtId="178" fontId="28" fillId="0" borderId="14" xfId="0" applyNumberFormat="1" applyFont="1" applyFill="1" applyBorder="1" applyAlignment="1">
      <alignment horizontal="right" vertical="center"/>
    </xf>
    <xf numFmtId="0" fontId="28" fillId="0" borderId="37" xfId="0" applyFont="1" applyFill="1" applyBorder="1">
      <alignment vertical="center"/>
    </xf>
    <xf numFmtId="0" fontId="28" fillId="0" borderId="30" xfId="3" applyFont="1" applyFill="1" applyBorder="1" applyAlignment="1">
      <alignment vertical="center" wrapText="1"/>
    </xf>
    <xf numFmtId="176" fontId="28" fillId="0" borderId="53" xfId="3" applyNumberFormat="1" applyFont="1" applyFill="1" applyBorder="1" applyAlignment="1">
      <alignment vertical="center"/>
    </xf>
    <xf numFmtId="176" fontId="28" fillId="0" borderId="53" xfId="3" applyNumberFormat="1" applyFont="1" applyFill="1" applyBorder="1" applyAlignment="1">
      <alignment horizontal="right" vertical="center"/>
    </xf>
    <xf numFmtId="176" fontId="28" fillId="0" borderId="54" xfId="3" applyNumberFormat="1" applyFont="1" applyFill="1" applyBorder="1" applyAlignment="1">
      <alignment vertical="center"/>
    </xf>
    <xf numFmtId="178" fontId="28" fillId="0" borderId="14" xfId="3" applyNumberFormat="1" applyFont="1" applyFill="1" applyBorder="1" applyAlignment="1">
      <alignment horizontal="right" vertical="center"/>
    </xf>
    <xf numFmtId="0" fontId="35" fillId="0" borderId="0" xfId="0" applyFont="1" applyFill="1" applyBorder="1">
      <alignment vertical="center"/>
    </xf>
    <xf numFmtId="0" fontId="28" fillId="0" borderId="14" xfId="3" applyFont="1" applyFill="1" applyBorder="1" applyAlignment="1">
      <alignment vertical="center" wrapText="1"/>
    </xf>
    <xf numFmtId="3" fontId="16" fillId="0" borderId="34" xfId="0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center" vertical="center"/>
    </xf>
    <xf numFmtId="0" fontId="35" fillId="0" borderId="4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left"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8" fontId="33" fillId="0" borderId="1" xfId="3" applyNumberFormat="1" applyFont="1" applyFill="1" applyBorder="1" applyAlignment="1">
      <alignment vertical="center"/>
    </xf>
    <xf numFmtId="177" fontId="33" fillId="0" borderId="1" xfId="3" applyNumberFormat="1" applyFont="1" applyFill="1" applyBorder="1" applyAlignment="1">
      <alignment vertical="center"/>
    </xf>
    <xf numFmtId="9" fontId="33" fillId="0" borderId="1" xfId="1" applyFont="1" applyFill="1" applyBorder="1" applyAlignment="1">
      <alignment horizontal="center" vertical="center"/>
    </xf>
    <xf numFmtId="0" fontId="22" fillId="0" borderId="34" xfId="3" applyFont="1" applyFill="1" applyBorder="1" applyAlignment="1">
      <alignment vertical="center"/>
    </xf>
    <xf numFmtId="0" fontId="23" fillId="0" borderId="30" xfId="3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horizontal="right" vertical="center"/>
    </xf>
    <xf numFmtId="176" fontId="34" fillId="0" borderId="31" xfId="3" applyNumberFormat="1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5" fontId="26" fillId="0" borderId="0" xfId="3" applyNumberFormat="1" applyFont="1" applyFill="1" applyBorder="1" applyAlignment="1">
      <alignment horizontal="center" vertical="center"/>
    </xf>
    <xf numFmtId="186" fontId="26" fillId="0" borderId="0" xfId="3" applyNumberFormat="1" applyFont="1" applyFill="1" applyBorder="1" applyAlignment="1">
      <alignment vertical="center"/>
    </xf>
    <xf numFmtId="187" fontId="26" fillId="0" borderId="0" xfId="1" applyNumberFormat="1" applyFont="1" applyFill="1" applyBorder="1" applyAlignment="1">
      <alignment horizontal="center" vertical="center"/>
    </xf>
    <xf numFmtId="41" fontId="55" fillId="0" borderId="0" xfId="2" applyFont="1" applyFill="1" applyAlignment="1">
      <alignment vertical="center"/>
    </xf>
    <xf numFmtId="0" fontId="18" fillId="0" borderId="36" xfId="3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41" fontId="16" fillId="0" borderId="0" xfId="2" applyFont="1" applyFill="1" applyAlignment="1">
      <alignment vertical="center"/>
    </xf>
    <xf numFmtId="9" fontId="26" fillId="0" borderId="0" xfId="1" applyNumberFormat="1" applyFont="1" applyFill="1" applyBorder="1" applyAlignment="1">
      <alignment horizontal="center" vertical="center"/>
    </xf>
    <xf numFmtId="196" fontId="26" fillId="0" borderId="0" xfId="3" applyNumberFormat="1" applyFont="1" applyFill="1" applyBorder="1" applyAlignment="1">
      <alignment horizontal="left" vertical="center"/>
    </xf>
    <xf numFmtId="195" fontId="26" fillId="0" borderId="0" xfId="3" applyNumberFormat="1" applyFont="1" applyFill="1" applyBorder="1" applyAlignment="1">
      <alignment vertical="center"/>
    </xf>
    <xf numFmtId="197" fontId="26" fillId="0" borderId="0" xfId="3" applyNumberFormat="1" applyFont="1" applyFill="1" applyBorder="1" applyAlignment="1">
      <alignment horizontal="left" vertical="center"/>
    </xf>
    <xf numFmtId="198" fontId="26" fillId="0" borderId="0" xfId="3" applyNumberFormat="1" applyFont="1" applyFill="1" applyBorder="1" applyAlignment="1">
      <alignment vertical="center"/>
    </xf>
    <xf numFmtId="199" fontId="26" fillId="0" borderId="0" xfId="3" applyNumberFormat="1" applyFont="1" applyFill="1" applyBorder="1" applyAlignment="1">
      <alignment horizontal="left"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3" fillId="0" borderId="0" xfId="11">
      <alignment vertical="center"/>
    </xf>
    <xf numFmtId="41" fontId="0" fillId="8" borderId="20" xfId="12" applyFont="1" applyFill="1" applyBorder="1">
      <alignment vertical="center"/>
    </xf>
    <xf numFmtId="0" fontId="3" fillId="8" borderId="20" xfId="11" applyFill="1" applyBorder="1">
      <alignment vertical="center"/>
    </xf>
    <xf numFmtId="41" fontId="0" fillId="0" borderId="20" xfId="12" applyFont="1" applyBorder="1">
      <alignment vertical="center"/>
    </xf>
    <xf numFmtId="0" fontId="3" fillId="0" borderId="20" xfId="11" applyBorder="1">
      <alignment vertical="center"/>
    </xf>
    <xf numFmtId="41" fontId="0" fillId="8" borderId="41" xfId="12" applyFont="1" applyFill="1" applyBorder="1">
      <alignment vertical="center"/>
    </xf>
    <xf numFmtId="41" fontId="3" fillId="8" borderId="56" xfId="11" applyNumberFormat="1" applyFill="1" applyBorder="1">
      <alignment vertical="center"/>
    </xf>
    <xf numFmtId="0" fontId="37" fillId="0" borderId="0" xfId="0" applyFont="1" applyFill="1" applyBorder="1" applyAlignment="1">
      <alignment horizontal="center" vertical="center"/>
    </xf>
    <xf numFmtId="0" fontId="6" fillId="0" borderId="2" xfId="7" applyBorder="1" applyAlignment="1">
      <alignment vertical="center"/>
    </xf>
    <xf numFmtId="0" fontId="6" fillId="0" borderId="32" xfId="7" applyBorder="1" applyAlignment="1">
      <alignment vertical="center"/>
    </xf>
    <xf numFmtId="0" fontId="6" fillId="0" borderId="17" xfId="7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6" fillId="0" borderId="51" xfId="7" applyBorder="1" applyAlignment="1">
      <alignment vertical="center"/>
    </xf>
    <xf numFmtId="0" fontId="6" fillId="0" borderId="30" xfId="7" applyBorder="1" applyAlignment="1">
      <alignment vertical="center"/>
    </xf>
    <xf numFmtId="0" fontId="6" fillId="0" borderId="25" xfId="7" applyBorder="1" applyAlignment="1">
      <alignment vertical="center"/>
    </xf>
    <xf numFmtId="0" fontId="6" fillId="0" borderId="0" xfId="7" applyBorder="1" applyAlignment="1">
      <alignment vertical="center"/>
    </xf>
    <xf numFmtId="0" fontId="6" fillId="0" borderId="46" xfId="7" applyBorder="1" applyAlignment="1">
      <alignment vertical="center"/>
    </xf>
    <xf numFmtId="0" fontId="6" fillId="0" borderId="13" xfId="7" applyBorder="1" applyAlignment="1">
      <alignment vertical="center"/>
    </xf>
    <xf numFmtId="176" fontId="16" fillId="0" borderId="0" xfId="3" applyNumberFormat="1" applyFont="1" applyFill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66" xfId="2" applyFont="1" applyFill="1" applyBorder="1" applyAlignment="1">
      <alignment vertical="center"/>
    </xf>
    <xf numFmtId="41" fontId="0" fillId="0" borderId="24" xfId="2" applyFont="1" applyFill="1" applyBorder="1" applyAlignment="1">
      <alignment vertical="center"/>
    </xf>
    <xf numFmtId="190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32" fillId="0" borderId="43" xfId="7" applyFont="1" applyBorder="1" applyAlignment="1">
      <alignment horizontal="center" vertical="center"/>
    </xf>
    <xf numFmtId="0" fontId="32" fillId="0" borderId="8" xfId="7" applyFont="1" applyBorder="1" applyAlignment="1">
      <alignment horizontal="center" vertical="center"/>
    </xf>
    <xf numFmtId="0" fontId="32" fillId="0" borderId="10" xfId="7" applyFont="1" applyBorder="1" applyAlignment="1">
      <alignment horizontal="center" vertical="center"/>
    </xf>
    <xf numFmtId="0" fontId="32" fillId="0" borderId="9" xfId="7" applyFont="1" applyBorder="1" applyAlignment="1">
      <alignment horizontal="center" vertical="center"/>
    </xf>
    <xf numFmtId="0" fontId="32" fillId="0" borderId="15" xfId="7" applyFont="1" applyBorder="1" applyAlignment="1">
      <alignment horizontal="center" vertical="center"/>
    </xf>
    <xf numFmtId="0" fontId="32" fillId="0" borderId="20" xfId="7" applyFont="1" applyBorder="1" applyAlignment="1">
      <alignment horizontal="center" vertical="center"/>
    </xf>
    <xf numFmtId="0" fontId="32" fillId="0" borderId="47" xfId="7" applyFont="1" applyBorder="1" applyAlignment="1">
      <alignment horizontal="center" vertical="center"/>
    </xf>
    <xf numFmtId="0" fontId="32" fillId="0" borderId="48" xfId="7" applyFont="1" applyBorder="1" applyAlignment="1">
      <alignment horizontal="center" vertical="center"/>
    </xf>
    <xf numFmtId="0" fontId="32" fillId="0" borderId="20" xfId="7" applyFont="1" applyBorder="1" applyAlignment="1">
      <alignment horizontal="center" vertical="center" wrapText="1"/>
    </xf>
    <xf numFmtId="0" fontId="32" fillId="0" borderId="48" xfId="7" applyFont="1" applyBorder="1" applyAlignment="1">
      <alignment horizontal="center" vertical="center" wrapText="1"/>
    </xf>
    <xf numFmtId="0" fontId="32" fillId="0" borderId="41" xfId="7" applyFont="1" applyBorder="1" applyAlignment="1">
      <alignment horizontal="center" vertical="center"/>
    </xf>
    <xf numFmtId="0" fontId="32" fillId="0" borderId="49" xfId="7" applyFont="1" applyBorder="1" applyAlignment="1">
      <alignment horizontal="center" vertical="center"/>
    </xf>
    <xf numFmtId="0" fontId="32" fillId="0" borderId="18" xfId="7" applyFont="1" applyBorder="1" applyAlignment="1">
      <alignment horizontal="center" vertical="center"/>
    </xf>
    <xf numFmtId="0" fontId="32" fillId="0" borderId="50" xfId="7" applyFont="1" applyBorder="1" applyAlignment="1">
      <alignment horizontal="center" vertical="center"/>
    </xf>
    <xf numFmtId="0" fontId="51" fillId="0" borderId="17" xfId="7" applyFont="1" applyBorder="1" applyAlignment="1">
      <alignment horizontal="center" vertical="center"/>
    </xf>
    <xf numFmtId="0" fontId="51" fillId="0" borderId="11" xfId="7" applyFont="1" applyBorder="1" applyAlignment="1">
      <alignment horizontal="center" vertical="center"/>
    </xf>
    <xf numFmtId="0" fontId="6" fillId="0" borderId="2" xfId="7" applyBorder="1" applyAlignment="1">
      <alignment horizontal="center" vertical="center"/>
    </xf>
    <xf numFmtId="0" fontId="6" fillId="0" borderId="17" xfId="7" applyBorder="1" applyAlignment="1">
      <alignment horizontal="center" vertical="center"/>
    </xf>
    <xf numFmtId="0" fontId="6" fillId="0" borderId="32" xfId="7" applyBorder="1" applyAlignment="1">
      <alignment horizontal="center" vertical="center"/>
    </xf>
    <xf numFmtId="0" fontId="6" fillId="0" borderId="6" xfId="7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17" xfId="7" applyFont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76" fontId="16" fillId="0" borderId="53" xfId="3" applyNumberFormat="1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left" vertical="center" wrapText="1"/>
    </xf>
    <xf numFmtId="0" fontId="16" fillId="0" borderId="43" xfId="3" applyFont="1" applyFill="1" applyBorder="1" applyAlignment="1">
      <alignment horizontal="center" vertical="center" wrapText="1"/>
    </xf>
    <xf numFmtId="0" fontId="16" fillId="0" borderId="8" xfId="3" applyFont="1" applyFill="1" applyBorder="1" applyAlignment="1">
      <alignment horizontal="center" vertical="center" wrapText="1"/>
    </xf>
    <xf numFmtId="178" fontId="17" fillId="0" borderId="23" xfId="3" applyNumberFormat="1" applyFont="1" applyFill="1" applyBorder="1" applyAlignment="1">
      <alignment horizontal="center" vertical="center" wrapText="1"/>
    </xf>
    <xf numFmtId="178" fontId="17" fillId="0" borderId="7" xfId="3" applyNumberFormat="1" applyFont="1" applyFill="1" applyBorder="1" applyAlignment="1">
      <alignment horizontal="center" vertical="center" wrapText="1"/>
    </xf>
    <xf numFmtId="0" fontId="19" fillId="0" borderId="21" xfId="3" applyFont="1" applyFill="1" applyBorder="1" applyAlignment="1">
      <alignment horizontal="center" vertical="center" wrapText="1"/>
    </xf>
    <xf numFmtId="0" fontId="19" fillId="0" borderId="22" xfId="3" applyFont="1" applyFill="1" applyBorder="1" applyAlignment="1">
      <alignment horizontal="center" vertical="center" wrapText="1"/>
    </xf>
    <xf numFmtId="0" fontId="16" fillId="0" borderId="8" xfId="3" applyFont="1" applyFill="1" applyBorder="1" applyAlignment="1">
      <alignment horizontal="center" vertical="center"/>
    </xf>
    <xf numFmtId="0" fontId="16" fillId="0" borderId="9" xfId="3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center" vertical="center"/>
    </xf>
    <xf numFmtId="0" fontId="16" fillId="0" borderId="4" xfId="3" applyFont="1" applyFill="1" applyBorder="1" applyAlignment="1">
      <alignment horizontal="center" vertical="center"/>
    </xf>
    <xf numFmtId="0" fontId="16" fillId="0" borderId="10" xfId="3" applyFont="1" applyFill="1" applyBorder="1" applyAlignment="1">
      <alignment horizontal="center" vertical="center" wrapText="1"/>
    </xf>
    <xf numFmtId="0" fontId="16" fillId="0" borderId="52" xfId="3" applyFont="1" applyFill="1" applyBorder="1" applyAlignment="1">
      <alignment horizontal="center" vertical="center" wrapText="1"/>
    </xf>
    <xf numFmtId="0" fontId="16" fillId="0" borderId="41" xfId="3" applyFont="1" applyFill="1" applyBorder="1" applyAlignment="1">
      <alignment horizontal="center" vertical="center" wrapText="1"/>
    </xf>
    <xf numFmtId="0" fontId="16" fillId="0" borderId="19" xfId="3" applyFont="1" applyFill="1" applyBorder="1" applyAlignment="1">
      <alignment horizontal="center" vertical="center" wrapText="1"/>
    </xf>
    <xf numFmtId="0" fontId="18" fillId="0" borderId="34" xfId="3" applyFont="1" applyFill="1" applyBorder="1" applyAlignment="1">
      <alignment horizontal="center" vertic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0" borderId="20" xfId="3" applyFont="1" applyFill="1" applyBorder="1" applyAlignment="1">
      <alignment horizontal="center" vertical="center" wrapText="1"/>
    </xf>
    <xf numFmtId="0" fontId="16" fillId="0" borderId="40" xfId="3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horizontal="center" vertical="center"/>
    </xf>
    <xf numFmtId="0" fontId="16" fillId="0" borderId="24" xfId="3" applyFont="1" applyFill="1" applyBorder="1" applyAlignment="1">
      <alignment horizontal="center" vertical="center"/>
    </xf>
    <xf numFmtId="0" fontId="16" fillId="0" borderId="38" xfId="3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center" vertical="center"/>
    </xf>
    <xf numFmtId="0" fontId="16" fillId="0" borderId="39" xfId="3" applyFont="1" applyFill="1" applyBorder="1" applyAlignment="1">
      <alignment horizontal="center"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0" fontId="34" fillId="0" borderId="33" xfId="3" applyFont="1" applyFill="1" applyBorder="1" applyAlignment="1">
      <alignment horizontal="center" vertical="center" wrapText="1"/>
    </xf>
    <xf numFmtId="0" fontId="34" fillId="0" borderId="26" xfId="3" applyFont="1" applyFill="1" applyBorder="1" applyAlignment="1">
      <alignment horizontal="center" vertical="center" wrapText="1"/>
    </xf>
    <xf numFmtId="0" fontId="36" fillId="0" borderId="43" xfId="3" applyFont="1" applyFill="1" applyBorder="1" applyAlignment="1">
      <alignment horizontal="center" vertical="center" wrapText="1"/>
    </xf>
    <xf numFmtId="0" fontId="36" fillId="0" borderId="8" xfId="3" applyFont="1" applyFill="1" applyBorder="1" applyAlignment="1">
      <alignment horizontal="center" vertical="center" wrapText="1"/>
    </xf>
    <xf numFmtId="178" fontId="17" fillId="0" borderId="10" xfId="3" applyNumberFormat="1" applyFont="1" applyFill="1" applyBorder="1" applyAlignment="1">
      <alignment horizontal="center" vertical="center" wrapText="1"/>
    </xf>
    <xf numFmtId="178" fontId="17" fillId="0" borderId="29" xfId="3" applyNumberFormat="1" applyFont="1" applyFill="1" applyBorder="1" applyAlignment="1">
      <alignment horizontal="center" vertical="center" wrapText="1"/>
    </xf>
    <xf numFmtId="178" fontId="17" fillId="0" borderId="44" xfId="3" applyNumberFormat="1" applyFont="1" applyFill="1" applyBorder="1" applyAlignment="1">
      <alignment horizontal="center" vertical="center" wrapText="1"/>
    </xf>
    <xf numFmtId="178" fontId="17" fillId="0" borderId="52" xfId="3" applyNumberFormat="1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/>
    </xf>
    <xf numFmtId="0" fontId="37" fillId="0" borderId="55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7" fillId="0" borderId="69" xfId="0" applyFont="1" applyFill="1" applyBorder="1" applyAlignment="1">
      <alignment horizontal="center" vertical="center"/>
    </xf>
    <xf numFmtId="0" fontId="37" fillId="0" borderId="70" xfId="0" applyFont="1" applyFill="1" applyBorder="1" applyAlignment="1">
      <alignment horizontal="center" vertical="center"/>
    </xf>
    <xf numFmtId="0" fontId="48" fillId="6" borderId="41" xfId="0" applyFont="1" applyFill="1" applyBorder="1" applyAlignment="1">
      <alignment horizontal="center" vertical="center"/>
    </xf>
    <xf numFmtId="0" fontId="48" fillId="6" borderId="19" xfId="0" applyFont="1" applyFill="1" applyBorder="1" applyAlignment="1">
      <alignment horizontal="center" vertical="center"/>
    </xf>
    <xf numFmtId="0" fontId="49" fillId="0" borderId="14" xfId="0" applyFont="1" applyFill="1" applyBorder="1" applyAlignment="1">
      <alignment horizontal="center" vertical="center"/>
    </xf>
    <xf numFmtId="0" fontId="48" fillId="5" borderId="20" xfId="0" applyFont="1" applyFill="1" applyBorder="1" applyAlignment="1">
      <alignment horizontal="center" vertical="center"/>
    </xf>
    <xf numFmtId="0" fontId="48" fillId="5" borderId="41" xfId="0" applyFont="1" applyFill="1" applyBorder="1" applyAlignment="1">
      <alignment horizontal="center" vertical="center"/>
    </xf>
    <xf numFmtId="0" fontId="48" fillId="5" borderId="53" xfId="0" applyFont="1" applyFill="1" applyBorder="1" applyAlignment="1">
      <alignment horizontal="center" vertical="center"/>
    </xf>
    <xf numFmtId="0" fontId="48" fillId="5" borderId="19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47" fillId="0" borderId="20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2" fillId="0" borderId="0" xfId="11" applyFont="1" applyAlignment="1">
      <alignment horizontal="center" vertical="center"/>
    </xf>
    <xf numFmtId="0" fontId="3" fillId="0" borderId="0" xfId="1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7560;&#47476;&#46384;&#51032;&#51665;/Documents/xpf/2016&#45380;&#46020;%202&#52264;&#52628;&#44221;&#50696;&#49328;&#50504;(&#47560;&#47476;&#4638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운영비배정"/>
      <sheetName val="보조금 배정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abSelected="1" zoomScale="85" zoomScaleNormal="85" workbookViewId="0">
      <selection activeCell="J27" sqref="J27"/>
    </sheetView>
  </sheetViews>
  <sheetFormatPr defaultRowHeight="16.5"/>
  <cols>
    <col min="1" max="1" width="1.44140625" style="202" customWidth="1"/>
    <col min="2" max="2" width="11.5546875" style="202" bestFit="1" customWidth="1"/>
    <col min="3" max="3" width="13.33203125" style="202" bestFit="1" customWidth="1"/>
    <col min="4" max="5" width="18" style="202" bestFit="1" customWidth="1"/>
    <col min="6" max="6" width="16" style="202" bestFit="1" customWidth="1"/>
    <col min="7" max="7" width="9.6640625" style="202" bestFit="1" customWidth="1"/>
    <col min="8" max="8" width="13.33203125" style="202" bestFit="1" customWidth="1"/>
    <col min="9" max="10" width="18" style="202" bestFit="1" customWidth="1"/>
    <col min="11" max="11" width="16" style="202" bestFit="1" customWidth="1"/>
    <col min="12" max="16384" width="8.88671875" style="202"/>
  </cols>
  <sheetData>
    <row r="1" spans="2:11" ht="9.9499999999999993" customHeight="1"/>
    <row r="2" spans="2:11" ht="26.25">
      <c r="B2" s="203" t="s">
        <v>641</v>
      </c>
      <c r="K2" s="204" t="s">
        <v>385</v>
      </c>
    </row>
    <row r="3" spans="2:11" ht="9.9499999999999993" customHeight="1" thickBot="1"/>
    <row r="4" spans="2:11" ht="30" customHeight="1">
      <c r="B4" s="711" t="s">
        <v>170</v>
      </c>
      <c r="C4" s="712"/>
      <c r="D4" s="712"/>
      <c r="E4" s="712"/>
      <c r="F4" s="713"/>
      <c r="G4" s="711" t="s">
        <v>171</v>
      </c>
      <c r="H4" s="712"/>
      <c r="I4" s="712"/>
      <c r="J4" s="712"/>
      <c r="K4" s="714"/>
    </row>
    <row r="5" spans="2:11" ht="16.5" customHeight="1">
      <c r="B5" s="715" t="s">
        <v>172</v>
      </c>
      <c r="C5" s="716"/>
      <c r="D5" s="719" t="s">
        <v>460</v>
      </c>
      <c r="E5" s="719" t="s">
        <v>642</v>
      </c>
      <c r="F5" s="721" t="s">
        <v>173</v>
      </c>
      <c r="G5" s="715" t="s">
        <v>172</v>
      </c>
      <c r="H5" s="716"/>
      <c r="I5" s="719" t="s">
        <v>460</v>
      </c>
      <c r="J5" s="719" t="s">
        <v>642</v>
      </c>
      <c r="K5" s="723" t="s">
        <v>173</v>
      </c>
    </row>
    <row r="6" spans="2:11" ht="22.5" customHeight="1" thickBot="1">
      <c r="B6" s="717"/>
      <c r="C6" s="718"/>
      <c r="D6" s="720"/>
      <c r="E6" s="720"/>
      <c r="F6" s="722"/>
      <c r="G6" s="717"/>
      <c r="H6" s="718"/>
      <c r="I6" s="720"/>
      <c r="J6" s="720"/>
      <c r="K6" s="724"/>
    </row>
    <row r="7" spans="2:11" ht="24.95" customHeight="1" thickTop="1">
      <c r="B7" s="725" t="s">
        <v>174</v>
      </c>
      <c r="C7" s="726"/>
      <c r="D7" s="579">
        <f>SUM(D8:D23)/2</f>
        <v>65524000</v>
      </c>
      <c r="E7" s="579">
        <f>SUM(E8:E23)/2</f>
        <v>67361000</v>
      </c>
      <c r="F7" s="580">
        <f>SUM(F8:F23)/2</f>
        <v>1837000</v>
      </c>
      <c r="G7" s="725" t="s">
        <v>174</v>
      </c>
      <c r="H7" s="726"/>
      <c r="I7" s="579">
        <f>SUM(I8:I28)/2</f>
        <v>65524000</v>
      </c>
      <c r="J7" s="579">
        <f>SUM(J8:J28)/2</f>
        <v>67361000</v>
      </c>
      <c r="K7" s="581">
        <f>SUM(K8:K28)/2</f>
        <v>1837000</v>
      </c>
    </row>
    <row r="8" spans="2:11" ht="24.95" customHeight="1">
      <c r="B8" s="727" t="s">
        <v>175</v>
      </c>
      <c r="C8" s="582" t="s">
        <v>384</v>
      </c>
      <c r="D8" s="583">
        <f>D9</f>
        <v>7200000</v>
      </c>
      <c r="E8" s="583">
        <f>E9</f>
        <v>7200000</v>
      </c>
      <c r="F8" s="584">
        <f>F9</f>
        <v>0</v>
      </c>
      <c r="G8" s="727" t="s">
        <v>177</v>
      </c>
      <c r="H8" s="582" t="s">
        <v>384</v>
      </c>
      <c r="I8" s="583">
        <f>SUM(I9:I11)</f>
        <v>45675000</v>
      </c>
      <c r="J8" s="583">
        <f>SUM(J9:J11)</f>
        <v>46515000</v>
      </c>
      <c r="K8" s="588">
        <f>SUM(K9:K11)</f>
        <v>840000</v>
      </c>
    </row>
    <row r="9" spans="2:11" ht="24.95" customHeight="1">
      <c r="B9" s="728"/>
      <c r="C9" s="205" t="s">
        <v>176</v>
      </c>
      <c r="D9" s="206">
        <v>7200000</v>
      </c>
      <c r="E9" s="206">
        <v>7200000</v>
      </c>
      <c r="F9" s="207">
        <f>E9-D9</f>
        <v>0</v>
      </c>
      <c r="G9" s="729"/>
      <c r="H9" s="205" t="s">
        <v>178</v>
      </c>
      <c r="I9" s="206">
        <v>38284000</v>
      </c>
      <c r="J9" s="206">
        <v>38564000</v>
      </c>
      <c r="K9" s="208">
        <f>J9-I9</f>
        <v>280000</v>
      </c>
    </row>
    <row r="10" spans="2:11" ht="24.95" customHeight="1">
      <c r="B10" s="693" t="s">
        <v>179</v>
      </c>
      <c r="C10" s="585" t="s">
        <v>384</v>
      </c>
      <c r="D10" s="586">
        <f>SUM(D11:D14)</f>
        <v>52620000</v>
      </c>
      <c r="E10" s="586">
        <f>SUM(E11:E14)</f>
        <v>52860000</v>
      </c>
      <c r="F10" s="587">
        <f>SUM(F11:F14)</f>
        <v>240000</v>
      </c>
      <c r="G10" s="729"/>
      <c r="H10" s="205" t="s">
        <v>180</v>
      </c>
      <c r="I10" s="206">
        <v>100000</v>
      </c>
      <c r="J10" s="206">
        <v>60000</v>
      </c>
      <c r="K10" s="208">
        <f t="shared" ref="K10:K11" si="0">J10-I10</f>
        <v>-40000</v>
      </c>
    </row>
    <row r="11" spans="2:11" ht="24.95" customHeight="1">
      <c r="B11" s="694"/>
      <c r="C11" s="288" t="s">
        <v>265</v>
      </c>
      <c r="D11" s="206">
        <v>0</v>
      </c>
      <c r="E11" s="206">
        <v>0</v>
      </c>
      <c r="F11" s="207">
        <f t="shared" ref="F11:F23" si="1">E11-D11</f>
        <v>0</v>
      </c>
      <c r="G11" s="728"/>
      <c r="H11" s="205" t="s">
        <v>102</v>
      </c>
      <c r="I11" s="206">
        <v>7291000</v>
      </c>
      <c r="J11" s="206">
        <v>7891000</v>
      </c>
      <c r="K11" s="208">
        <f t="shared" si="0"/>
        <v>600000</v>
      </c>
    </row>
    <row r="12" spans="2:11" ht="24.95" customHeight="1">
      <c r="B12" s="694"/>
      <c r="C12" s="288" t="s">
        <v>266</v>
      </c>
      <c r="D12" s="206">
        <v>52620000</v>
      </c>
      <c r="E12" s="206">
        <v>52620000</v>
      </c>
      <c r="F12" s="207">
        <f t="shared" si="1"/>
        <v>0</v>
      </c>
      <c r="G12" s="727" t="s">
        <v>103</v>
      </c>
      <c r="H12" s="585" t="s">
        <v>384</v>
      </c>
      <c r="I12" s="586">
        <f>SUM(I13:I15)</f>
        <v>0</v>
      </c>
      <c r="J12" s="586">
        <f>SUM(J13:J15)</f>
        <v>1000000</v>
      </c>
      <c r="K12" s="589">
        <f>SUM(K13:K15)</f>
        <v>1000000</v>
      </c>
    </row>
    <row r="13" spans="2:11" ht="24.95" customHeight="1">
      <c r="B13" s="694"/>
      <c r="C13" s="288" t="s">
        <v>267</v>
      </c>
      <c r="D13" s="206">
        <v>0</v>
      </c>
      <c r="E13" s="206">
        <v>0</v>
      </c>
      <c r="F13" s="207">
        <f t="shared" ref="F13" si="2">E13-D13</f>
        <v>0</v>
      </c>
      <c r="G13" s="729"/>
      <c r="H13" s="205" t="s">
        <v>104</v>
      </c>
      <c r="I13" s="206">
        <v>0</v>
      </c>
      <c r="J13" s="206">
        <v>0</v>
      </c>
      <c r="K13" s="208">
        <f t="shared" ref="K13" si="3">J13-I13</f>
        <v>0</v>
      </c>
    </row>
    <row r="14" spans="2:11" ht="24.95" customHeight="1">
      <c r="B14" s="695"/>
      <c r="C14" s="696" t="s">
        <v>643</v>
      </c>
      <c r="D14" s="206">
        <v>0</v>
      </c>
      <c r="E14" s="206">
        <v>240000</v>
      </c>
      <c r="F14" s="207">
        <f t="shared" si="1"/>
        <v>240000</v>
      </c>
      <c r="G14" s="729"/>
      <c r="H14" s="205" t="s">
        <v>107</v>
      </c>
      <c r="I14" s="206">
        <v>0</v>
      </c>
      <c r="J14" s="206">
        <v>1000000</v>
      </c>
      <c r="K14" s="208">
        <f t="shared" ref="K14:K15" si="4">J14-I14</f>
        <v>1000000</v>
      </c>
    </row>
    <row r="15" spans="2:11" ht="24.95" customHeight="1">
      <c r="B15" s="727" t="s">
        <v>105</v>
      </c>
      <c r="C15" s="585" t="s">
        <v>384</v>
      </c>
      <c r="D15" s="586">
        <f>SUM(D16:D17)</f>
        <v>300000</v>
      </c>
      <c r="E15" s="586">
        <f>SUM(E16:E17)</f>
        <v>1900000</v>
      </c>
      <c r="F15" s="587">
        <f>SUM(F16:F17)</f>
        <v>1600000</v>
      </c>
      <c r="G15" s="728"/>
      <c r="H15" s="205" t="s">
        <v>109</v>
      </c>
      <c r="I15" s="206">
        <v>0</v>
      </c>
      <c r="J15" s="206">
        <v>0</v>
      </c>
      <c r="K15" s="208">
        <f t="shared" si="4"/>
        <v>0</v>
      </c>
    </row>
    <row r="16" spans="2:11" ht="24.95" customHeight="1">
      <c r="B16" s="729"/>
      <c r="C16" s="205" t="s">
        <v>106</v>
      </c>
      <c r="D16" s="206">
        <v>0</v>
      </c>
      <c r="E16" s="206">
        <v>1600000</v>
      </c>
      <c r="F16" s="207">
        <f t="shared" si="1"/>
        <v>1600000</v>
      </c>
      <c r="G16" s="727" t="s">
        <v>112</v>
      </c>
      <c r="H16" s="585" t="s">
        <v>384</v>
      </c>
      <c r="I16" s="586">
        <f>SUM(I17:I22)</f>
        <v>19840000</v>
      </c>
      <c r="J16" s="586">
        <f>SUM(J17:J22)</f>
        <v>19833000</v>
      </c>
      <c r="K16" s="589">
        <f>SUM(K17:K22)</f>
        <v>-7000</v>
      </c>
    </row>
    <row r="17" spans="2:11" ht="24.95" customHeight="1">
      <c r="B17" s="728"/>
      <c r="C17" s="205" t="s">
        <v>108</v>
      </c>
      <c r="D17" s="206">
        <v>300000</v>
      </c>
      <c r="E17" s="206">
        <v>300000</v>
      </c>
      <c r="F17" s="207">
        <f t="shared" si="1"/>
        <v>0</v>
      </c>
      <c r="G17" s="729"/>
      <c r="H17" s="205" t="s">
        <v>113</v>
      </c>
      <c r="I17" s="206">
        <v>12178000</v>
      </c>
      <c r="J17" s="206">
        <v>11050000</v>
      </c>
      <c r="K17" s="208">
        <f t="shared" ref="K17:K22" si="5">J17-I17</f>
        <v>-1128000</v>
      </c>
    </row>
    <row r="18" spans="2:11" ht="24.95" customHeight="1">
      <c r="B18" s="727" t="s">
        <v>110</v>
      </c>
      <c r="C18" s="585" t="s">
        <v>384</v>
      </c>
      <c r="D18" s="586">
        <f>D19</f>
        <v>0</v>
      </c>
      <c r="E18" s="586">
        <f>E19</f>
        <v>0</v>
      </c>
      <c r="F18" s="587">
        <f>F19</f>
        <v>0</v>
      </c>
      <c r="G18" s="729"/>
      <c r="H18" s="205" t="s">
        <v>116</v>
      </c>
      <c r="I18" s="206">
        <v>1442000</v>
      </c>
      <c r="J18" s="206">
        <v>1442000</v>
      </c>
      <c r="K18" s="208">
        <f t="shared" si="5"/>
        <v>0</v>
      </c>
    </row>
    <row r="19" spans="2:11" ht="24.95" customHeight="1">
      <c r="B19" s="728"/>
      <c r="C19" s="205" t="s">
        <v>111</v>
      </c>
      <c r="D19" s="206">
        <v>0</v>
      </c>
      <c r="E19" s="206">
        <v>0</v>
      </c>
      <c r="F19" s="207">
        <f t="shared" si="1"/>
        <v>0</v>
      </c>
      <c r="G19" s="729"/>
      <c r="H19" s="205" t="s">
        <v>119</v>
      </c>
      <c r="I19" s="206">
        <v>1000000</v>
      </c>
      <c r="J19" s="206">
        <v>1400000</v>
      </c>
      <c r="K19" s="208">
        <f t="shared" si="5"/>
        <v>400000</v>
      </c>
    </row>
    <row r="20" spans="2:11" ht="24.95" customHeight="1">
      <c r="B20" s="727" t="s">
        <v>114</v>
      </c>
      <c r="C20" s="585" t="s">
        <v>384</v>
      </c>
      <c r="D20" s="586">
        <f>D21</f>
        <v>5386000</v>
      </c>
      <c r="E20" s="586">
        <f>E21</f>
        <v>5388000</v>
      </c>
      <c r="F20" s="587">
        <f>F21</f>
        <v>2000</v>
      </c>
      <c r="G20" s="729"/>
      <c r="H20" s="205" t="s">
        <v>120</v>
      </c>
      <c r="I20" s="206">
        <v>360000</v>
      </c>
      <c r="J20" s="206">
        <v>360000</v>
      </c>
      <c r="K20" s="208">
        <f t="shared" si="5"/>
        <v>0</v>
      </c>
    </row>
    <row r="21" spans="2:11" ht="24.95" customHeight="1">
      <c r="B21" s="728"/>
      <c r="C21" s="205" t="s">
        <v>115</v>
      </c>
      <c r="D21" s="206">
        <v>5386000</v>
      </c>
      <c r="E21" s="206">
        <v>5388000</v>
      </c>
      <c r="F21" s="207">
        <f t="shared" si="1"/>
        <v>2000</v>
      </c>
      <c r="G21" s="729"/>
      <c r="H21" s="205" t="s">
        <v>121</v>
      </c>
      <c r="I21" s="206">
        <v>90000</v>
      </c>
      <c r="J21" s="206">
        <v>211000</v>
      </c>
      <c r="K21" s="208">
        <f t="shared" si="5"/>
        <v>121000</v>
      </c>
    </row>
    <row r="22" spans="2:11" ht="24.95" customHeight="1">
      <c r="B22" s="727" t="s">
        <v>117</v>
      </c>
      <c r="C22" s="585" t="s">
        <v>384</v>
      </c>
      <c r="D22" s="586">
        <f>D23</f>
        <v>18000</v>
      </c>
      <c r="E22" s="586">
        <f>E23</f>
        <v>13000</v>
      </c>
      <c r="F22" s="587">
        <f>F23</f>
        <v>-5000</v>
      </c>
      <c r="G22" s="728"/>
      <c r="H22" s="205" t="s">
        <v>122</v>
      </c>
      <c r="I22" s="206">
        <v>4770000</v>
      </c>
      <c r="J22" s="206">
        <v>5370000</v>
      </c>
      <c r="K22" s="208">
        <f t="shared" si="5"/>
        <v>600000</v>
      </c>
    </row>
    <row r="23" spans="2:11" ht="24.95" customHeight="1">
      <c r="B23" s="728"/>
      <c r="C23" s="205" t="s">
        <v>118</v>
      </c>
      <c r="D23" s="206">
        <v>18000</v>
      </c>
      <c r="E23" s="206">
        <v>13000</v>
      </c>
      <c r="F23" s="207">
        <f t="shared" si="1"/>
        <v>-5000</v>
      </c>
      <c r="G23" s="731" t="s">
        <v>165</v>
      </c>
      <c r="H23" s="585" t="s">
        <v>384</v>
      </c>
      <c r="I23" s="586">
        <f>I24</f>
        <v>9000</v>
      </c>
      <c r="J23" s="586">
        <f>J24</f>
        <v>5000</v>
      </c>
      <c r="K23" s="589">
        <f>K24</f>
        <v>-4000</v>
      </c>
    </row>
    <row r="24" spans="2:11" ht="24.95" customHeight="1">
      <c r="B24" s="697"/>
      <c r="C24" s="698"/>
      <c r="D24" s="698"/>
      <c r="E24" s="698"/>
      <c r="F24" s="698"/>
      <c r="G24" s="732"/>
      <c r="H24" s="205" t="s">
        <v>123</v>
      </c>
      <c r="I24" s="206">
        <v>9000</v>
      </c>
      <c r="J24" s="206">
        <v>5000</v>
      </c>
      <c r="K24" s="208">
        <f t="shared" ref="K24" si="6">J24-I24</f>
        <v>-4000</v>
      </c>
    </row>
    <row r="25" spans="2:11" ht="24.95" customHeight="1">
      <c r="B25" s="699"/>
      <c r="C25" s="700"/>
      <c r="D25" s="700"/>
      <c r="E25" s="700"/>
      <c r="F25" s="700"/>
      <c r="G25" s="727" t="s">
        <v>124</v>
      </c>
      <c r="H25" s="585" t="s">
        <v>384</v>
      </c>
      <c r="I25" s="586">
        <f>I26</f>
        <v>0</v>
      </c>
      <c r="J25" s="586">
        <f>J26</f>
        <v>0</v>
      </c>
      <c r="K25" s="589">
        <f>K26</f>
        <v>0</v>
      </c>
    </row>
    <row r="26" spans="2:11" ht="24.95" customHeight="1">
      <c r="B26" s="699"/>
      <c r="C26" s="700"/>
      <c r="D26" s="700"/>
      <c r="E26" s="700"/>
      <c r="F26" s="700"/>
      <c r="G26" s="728"/>
      <c r="H26" s="205" t="s">
        <v>125</v>
      </c>
      <c r="I26" s="206">
        <v>0</v>
      </c>
      <c r="J26" s="206">
        <v>0</v>
      </c>
      <c r="K26" s="208">
        <f t="shared" ref="K26" si="7">J26-I26</f>
        <v>0</v>
      </c>
    </row>
    <row r="27" spans="2:11" ht="24.95" customHeight="1">
      <c r="B27" s="699"/>
      <c r="C27" s="700"/>
      <c r="D27" s="700"/>
      <c r="E27" s="700"/>
      <c r="F27" s="700"/>
      <c r="G27" s="727" t="s">
        <v>126</v>
      </c>
      <c r="H27" s="585" t="s">
        <v>384</v>
      </c>
      <c r="I27" s="586">
        <f>I28</f>
        <v>0</v>
      </c>
      <c r="J27" s="586">
        <f>J28</f>
        <v>8000</v>
      </c>
      <c r="K27" s="589">
        <f>K28</f>
        <v>8000</v>
      </c>
    </row>
    <row r="28" spans="2:11" ht="24.95" customHeight="1" thickBot="1">
      <c r="B28" s="701"/>
      <c r="C28" s="702"/>
      <c r="D28" s="702"/>
      <c r="E28" s="702"/>
      <c r="F28" s="702"/>
      <c r="G28" s="730"/>
      <c r="H28" s="209" t="s">
        <v>127</v>
      </c>
      <c r="I28" s="210">
        <v>0</v>
      </c>
      <c r="J28" s="210">
        <v>8000</v>
      </c>
      <c r="K28" s="211">
        <f>J28-I28</f>
        <v>8000</v>
      </c>
    </row>
  </sheetData>
  <mergeCells count="23">
    <mergeCell ref="B20:B21"/>
    <mergeCell ref="B22:B23"/>
    <mergeCell ref="G8:G11"/>
    <mergeCell ref="G27:G28"/>
    <mergeCell ref="G12:G15"/>
    <mergeCell ref="G16:G22"/>
    <mergeCell ref="G23:G24"/>
    <mergeCell ref="G25:G26"/>
    <mergeCell ref="B7:C7"/>
    <mergeCell ref="G7:H7"/>
    <mergeCell ref="B8:B9"/>
    <mergeCell ref="B15:B17"/>
    <mergeCell ref="B18:B19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3"/>
  <sheetViews>
    <sheetView zoomScale="85" zoomScaleNormal="8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E76" sqref="E76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735" t="s">
        <v>463</v>
      </c>
      <c r="B1" s="735"/>
      <c r="C1" s="735"/>
      <c r="D1" s="735"/>
      <c r="E1" s="735"/>
      <c r="F1" s="10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736" t="s">
        <v>66</v>
      </c>
      <c r="B2" s="737"/>
      <c r="C2" s="737"/>
      <c r="D2" s="738" t="s">
        <v>462</v>
      </c>
      <c r="E2" s="738" t="s">
        <v>461</v>
      </c>
      <c r="F2" s="742" t="s">
        <v>23</v>
      </c>
      <c r="G2" s="742"/>
      <c r="H2" s="742" t="s">
        <v>55</v>
      </c>
      <c r="I2" s="742"/>
      <c r="J2" s="742"/>
      <c r="K2" s="742"/>
      <c r="L2" s="742"/>
      <c r="M2" s="742"/>
      <c r="N2" s="742"/>
      <c r="O2" s="742"/>
      <c r="P2" s="742"/>
      <c r="Q2" s="742"/>
      <c r="R2" s="742"/>
      <c r="S2" s="742"/>
      <c r="T2" s="742"/>
      <c r="U2" s="742"/>
      <c r="V2" s="742"/>
      <c r="W2" s="742"/>
      <c r="X2" s="743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181</v>
      </c>
      <c r="D3" s="739"/>
      <c r="E3" s="739"/>
      <c r="F3" s="152" t="s">
        <v>134</v>
      </c>
      <c r="G3" s="27" t="s">
        <v>4</v>
      </c>
      <c r="H3" s="744"/>
      <c r="I3" s="744"/>
      <c r="J3" s="744"/>
      <c r="K3" s="744"/>
      <c r="L3" s="744"/>
      <c r="M3" s="744"/>
      <c r="N3" s="744"/>
      <c r="O3" s="744"/>
      <c r="P3" s="744"/>
      <c r="Q3" s="744"/>
      <c r="R3" s="744"/>
      <c r="S3" s="744"/>
      <c r="T3" s="744"/>
      <c r="U3" s="744"/>
      <c r="V3" s="744"/>
      <c r="W3" s="744"/>
      <c r="X3" s="745"/>
      <c r="Y3" s="8"/>
    </row>
    <row r="4" spans="1:25" s="3" customFormat="1" ht="19.5" customHeight="1">
      <c r="A4" s="740" t="s">
        <v>24</v>
      </c>
      <c r="B4" s="741"/>
      <c r="C4" s="741"/>
      <c r="D4" s="230">
        <f>SUM(D5,D7,D9,D11,D27,D37,D44,D52,D76)</f>
        <v>65524</v>
      </c>
      <c r="E4" s="230">
        <f>SUM(E5,E7,E9,E11,E27,E37,E44,E52,E76)</f>
        <v>67361</v>
      </c>
      <c r="F4" s="385">
        <f>SUM(F5,F7,F9,F11,F27,F37,F44,F52,F76)</f>
        <v>1837</v>
      </c>
      <c r="G4" s="231">
        <f t="shared" ref="G4" si="0">IF(D4=0,0,F4/D4)</f>
        <v>2.8035528966485562E-2</v>
      </c>
      <c r="H4" s="28" t="s">
        <v>167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7">
        <f>SUM(W5,W7,W9,W11,W27,W37,W44,W52,W76)</f>
        <v>67361000</v>
      </c>
      <c r="X4" s="30" t="s">
        <v>168</v>
      </c>
      <c r="Y4" s="8"/>
    </row>
    <row r="5" spans="1:25" ht="21" customHeight="1" thickBot="1">
      <c r="A5" s="35" t="s">
        <v>60</v>
      </c>
      <c r="B5" s="36" t="s">
        <v>60</v>
      </c>
      <c r="C5" s="213" t="s">
        <v>132</v>
      </c>
      <c r="D5" s="224">
        <v>7200</v>
      </c>
      <c r="E5" s="224">
        <f>ROUND(W5/1000,0)</f>
        <v>7200</v>
      </c>
      <c r="F5" s="225">
        <f>E5-D5</f>
        <v>0</v>
      </c>
      <c r="G5" s="226">
        <f>IF(D5=0,0,F5/D5)</f>
        <v>0</v>
      </c>
      <c r="H5" s="40" t="s">
        <v>166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130</v>
      </c>
      <c r="C6" s="47" t="s">
        <v>130</v>
      </c>
      <c r="D6" s="48"/>
      <c r="E6" s="48"/>
      <c r="F6" s="49"/>
      <c r="G6" s="31"/>
      <c r="H6" s="379" t="s">
        <v>269</v>
      </c>
      <c r="I6" s="54"/>
      <c r="J6" s="55"/>
      <c r="K6" s="55"/>
      <c r="L6" s="232">
        <v>150000</v>
      </c>
      <c r="M6" s="232" t="s">
        <v>57</v>
      </c>
      <c r="N6" s="233" t="s">
        <v>58</v>
      </c>
      <c r="O6" s="135">
        <v>4</v>
      </c>
      <c r="P6" s="232" t="s">
        <v>56</v>
      </c>
      <c r="Q6" s="233" t="s">
        <v>58</v>
      </c>
      <c r="R6" s="56">
        <v>12</v>
      </c>
      <c r="S6" s="258" t="s">
        <v>0</v>
      </c>
      <c r="T6" s="258" t="s">
        <v>53</v>
      </c>
      <c r="U6" s="258"/>
      <c r="V6" s="232"/>
      <c r="W6" s="232">
        <f>L6*O6*R6</f>
        <v>7200000</v>
      </c>
      <c r="X6" s="57" t="s">
        <v>57</v>
      </c>
    </row>
    <row r="7" spans="1:25" s="11" customFormat="1" ht="19.5" customHeight="1" thickBot="1">
      <c r="A7" s="35" t="s">
        <v>182</v>
      </c>
      <c r="B7" s="36" t="s">
        <v>184</v>
      </c>
      <c r="C7" s="36" t="s">
        <v>182</v>
      </c>
      <c r="D7" s="224">
        <v>0</v>
      </c>
      <c r="E7" s="224">
        <f>ROUND(W7/1000,0)</f>
        <v>0</v>
      </c>
      <c r="F7" s="225">
        <f>E7-D7</f>
        <v>0</v>
      </c>
      <c r="G7" s="226">
        <f>IF(D7=0,0,F7/D7)</f>
        <v>0</v>
      </c>
      <c r="H7" s="40" t="s">
        <v>186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183</v>
      </c>
      <c r="B8" s="59" t="s">
        <v>185</v>
      </c>
      <c r="C8" s="59" t="s">
        <v>183</v>
      </c>
      <c r="D8" s="48"/>
      <c r="E8" s="48"/>
      <c r="F8" s="49"/>
      <c r="G8" s="31"/>
      <c r="H8" s="53" t="s">
        <v>268</v>
      </c>
      <c r="I8" s="54"/>
      <c r="J8" s="55"/>
      <c r="K8" s="55"/>
      <c r="L8" s="232"/>
      <c r="M8" s="232"/>
      <c r="N8" s="233"/>
      <c r="O8" s="232"/>
      <c r="P8" s="232"/>
      <c r="Q8" s="233"/>
      <c r="R8" s="56"/>
      <c r="S8" s="258"/>
      <c r="T8" s="258"/>
      <c r="U8" s="258"/>
      <c r="V8" s="232"/>
      <c r="W8" s="232">
        <v>0</v>
      </c>
      <c r="X8" s="57" t="s">
        <v>57</v>
      </c>
    </row>
    <row r="9" spans="1:25" ht="21" customHeight="1" thickBot="1">
      <c r="A9" s="35" t="s">
        <v>188</v>
      </c>
      <c r="B9" s="36" t="s">
        <v>190</v>
      </c>
      <c r="C9" s="36" t="s">
        <v>188</v>
      </c>
      <c r="D9" s="224">
        <v>0</v>
      </c>
      <c r="E9" s="224">
        <f>ROUND(W9/1000,0)</f>
        <v>0</v>
      </c>
      <c r="F9" s="225">
        <f>E9-D9</f>
        <v>0</v>
      </c>
      <c r="G9" s="226">
        <f>IF(D9=0,0,F9/D9)</f>
        <v>0</v>
      </c>
      <c r="H9" s="40" t="s">
        <v>233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230</v>
      </c>
      <c r="B10" s="59" t="s">
        <v>231</v>
      </c>
      <c r="C10" s="59" t="s">
        <v>231</v>
      </c>
      <c r="D10" s="236"/>
      <c r="E10" s="237">
        <v>0</v>
      </c>
      <c r="F10" s="238"/>
      <c r="G10" s="239"/>
      <c r="H10" s="240"/>
      <c r="I10" s="241"/>
      <c r="J10" s="242"/>
      <c r="K10" s="242"/>
      <c r="L10" s="242"/>
      <c r="M10" s="242"/>
      <c r="N10" s="242"/>
      <c r="O10" s="243"/>
      <c r="P10" s="243"/>
      <c r="Q10" s="243"/>
      <c r="R10" s="243"/>
      <c r="S10" s="243"/>
      <c r="T10" s="243"/>
      <c r="U10" s="243"/>
      <c r="V10" s="244"/>
      <c r="W10" s="244">
        <v>0</v>
      </c>
      <c r="X10" s="277" t="s">
        <v>232</v>
      </c>
    </row>
    <row r="11" spans="1:25" s="11" customFormat="1" ht="19.5" customHeight="1">
      <c r="A11" s="35" t="s">
        <v>187</v>
      </c>
      <c r="B11" s="36" t="s">
        <v>187</v>
      </c>
      <c r="C11" s="652" t="s">
        <v>250</v>
      </c>
      <c r="D11" s="260">
        <f>SUM(D12,D15,D21,D24)</f>
        <v>52620</v>
      </c>
      <c r="E11" s="260">
        <f>SUM(E12,E15,E21,E24)</f>
        <v>52860</v>
      </c>
      <c r="F11" s="261">
        <f t="shared" ref="F11:F12" si="1">E11-D11</f>
        <v>240</v>
      </c>
      <c r="G11" s="262">
        <f t="shared" ref="G11:G12" si="2">IF(D11=0,0,F11/D11)</f>
        <v>4.5610034207525657E-3</v>
      </c>
      <c r="H11" s="263" t="s">
        <v>251</v>
      </c>
      <c r="I11" s="264"/>
      <c r="J11" s="265"/>
      <c r="K11" s="265"/>
      <c r="L11" s="264"/>
      <c r="M11" s="264"/>
      <c r="N11" s="264"/>
      <c r="O11" s="264"/>
      <c r="P11" s="264"/>
      <c r="Q11" s="266"/>
      <c r="R11" s="266"/>
      <c r="S11" s="266"/>
      <c r="T11" s="266"/>
      <c r="U11" s="266"/>
      <c r="V11" s="266"/>
      <c r="W11" s="267">
        <f>SUM(W12,W15,W21,W24)</f>
        <v>52860000</v>
      </c>
      <c r="X11" s="278" t="s">
        <v>25</v>
      </c>
      <c r="Y11" s="6"/>
    </row>
    <row r="12" spans="1:25" s="11" customFormat="1" ht="19.5" customHeight="1">
      <c r="A12" s="45" t="s">
        <v>189</v>
      </c>
      <c r="B12" s="46" t="s">
        <v>185</v>
      </c>
      <c r="C12" s="36" t="s">
        <v>191</v>
      </c>
      <c r="D12" s="227">
        <v>0</v>
      </c>
      <c r="E12" s="227">
        <v>0</v>
      </c>
      <c r="F12" s="228">
        <f t="shared" si="1"/>
        <v>0</v>
      </c>
      <c r="G12" s="229">
        <f t="shared" si="2"/>
        <v>0</v>
      </c>
      <c r="H12" s="215" t="s">
        <v>192</v>
      </c>
      <c r="I12" s="216"/>
      <c r="J12" s="217"/>
      <c r="K12" s="217"/>
      <c r="L12" s="217"/>
      <c r="M12" s="217"/>
      <c r="N12" s="217"/>
      <c r="O12" s="218"/>
      <c r="P12" s="218"/>
      <c r="Q12" s="218"/>
      <c r="R12" s="218"/>
      <c r="S12" s="218"/>
      <c r="T12" s="218"/>
      <c r="U12" s="245" t="s">
        <v>234</v>
      </c>
      <c r="V12" s="246"/>
      <c r="W12" s="247">
        <v>0</v>
      </c>
      <c r="X12" s="279" t="s">
        <v>235</v>
      </c>
      <c r="Y12" s="6"/>
    </row>
    <row r="13" spans="1:25" s="11" customFormat="1" ht="19.5" customHeight="1">
      <c r="A13" s="45"/>
      <c r="B13" s="46"/>
      <c r="C13" s="46" t="s">
        <v>464</v>
      </c>
      <c r="D13" s="656"/>
      <c r="E13" s="656"/>
      <c r="F13" s="657"/>
      <c r="G13" s="658"/>
      <c r="H13" s="659"/>
      <c r="I13" s="660"/>
      <c r="J13" s="661"/>
      <c r="K13" s="661"/>
      <c r="L13" s="661"/>
      <c r="M13" s="661"/>
      <c r="N13" s="661"/>
      <c r="O13" s="662"/>
      <c r="P13" s="662"/>
      <c r="Q13" s="662"/>
      <c r="R13" s="662"/>
      <c r="S13" s="662"/>
      <c r="T13" s="662"/>
      <c r="U13" s="663"/>
      <c r="V13" s="664"/>
      <c r="W13" s="664"/>
      <c r="X13" s="665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48"/>
      <c r="I14" s="450"/>
      <c r="J14" s="530"/>
      <c r="K14" s="530"/>
      <c r="L14" s="449"/>
      <c r="M14" s="449"/>
      <c r="N14" s="531"/>
      <c r="O14" s="449"/>
      <c r="P14" s="532"/>
      <c r="Q14" s="533"/>
      <c r="R14" s="534"/>
      <c r="S14" s="535"/>
      <c r="T14" s="535"/>
      <c r="U14" s="536"/>
      <c r="V14" s="537"/>
      <c r="W14" s="450"/>
      <c r="X14" s="451"/>
      <c r="Y14" s="6"/>
    </row>
    <row r="15" spans="1:25" s="11" customFormat="1" ht="19.5" customHeight="1">
      <c r="A15" s="60"/>
      <c r="B15" s="46"/>
      <c r="C15" s="36" t="s">
        <v>193</v>
      </c>
      <c r="D15" s="227">
        <f>SUM(D16:D20)</f>
        <v>52620</v>
      </c>
      <c r="E15" s="227">
        <f>SUM(E16:E20)</f>
        <v>52620</v>
      </c>
      <c r="F15" s="228">
        <f t="shared" ref="F15" si="3">E15-D15</f>
        <v>0</v>
      </c>
      <c r="G15" s="229">
        <f t="shared" ref="G15" si="4">IF(D15=0,0,F15/D15)</f>
        <v>0</v>
      </c>
      <c r="H15" s="215" t="s">
        <v>236</v>
      </c>
      <c r="I15" s="216"/>
      <c r="J15" s="217"/>
      <c r="K15" s="217"/>
      <c r="L15" s="217"/>
      <c r="M15" s="217"/>
      <c r="N15" s="217"/>
      <c r="O15" s="218"/>
      <c r="P15" s="218"/>
      <c r="Q15" s="218"/>
      <c r="R15" s="218"/>
      <c r="S15" s="218"/>
      <c r="T15" s="218"/>
      <c r="U15" s="245" t="s">
        <v>70</v>
      </c>
      <c r="V15" s="246"/>
      <c r="W15" s="246">
        <f>W16</f>
        <v>52620000</v>
      </c>
      <c r="X15" s="279" t="s">
        <v>57</v>
      </c>
      <c r="Y15" s="6"/>
    </row>
    <row r="16" spans="1:25" s="11" customFormat="1" ht="19.5" customHeight="1" thickBot="1">
      <c r="A16" s="60"/>
      <c r="B16" s="46"/>
      <c r="C16" s="46" t="s">
        <v>464</v>
      </c>
      <c r="D16" s="37">
        <v>52620</v>
      </c>
      <c r="E16" s="248">
        <f>ROUND(W16/1000,0)</f>
        <v>52620</v>
      </c>
      <c r="F16" s="38">
        <f t="shared" ref="F16" si="5">E16-D16</f>
        <v>0</v>
      </c>
      <c r="G16" s="121">
        <f t="shared" ref="G16" si="6">IF(D16=0,0,F16/D16)</f>
        <v>0</v>
      </c>
      <c r="H16" s="254" t="s">
        <v>239</v>
      </c>
      <c r="I16" s="253"/>
      <c r="J16" s="259"/>
      <c r="K16" s="259"/>
      <c r="L16" s="88"/>
      <c r="M16" s="88"/>
      <c r="N16" s="249"/>
      <c r="O16" s="88"/>
      <c r="P16" s="250"/>
      <c r="Q16" s="251"/>
      <c r="R16" s="252"/>
      <c r="S16" s="257"/>
      <c r="T16" s="257"/>
      <c r="U16" s="255" t="s">
        <v>229</v>
      </c>
      <c r="V16" s="256"/>
      <c r="W16" s="256">
        <f>SUM(W17:W19)</f>
        <v>52620000</v>
      </c>
      <c r="X16" s="280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91" t="s">
        <v>472</v>
      </c>
      <c r="I17" s="68"/>
      <c r="J17" s="219"/>
      <c r="K17" s="219"/>
      <c r="L17" s="289"/>
      <c r="M17" s="289"/>
      <c r="N17" s="526"/>
      <c r="O17" s="527"/>
      <c r="P17" s="528"/>
      <c r="Q17" s="428"/>
      <c r="R17" s="529"/>
      <c r="S17" s="431"/>
      <c r="T17" s="429"/>
      <c r="U17" s="733"/>
      <c r="V17" s="733"/>
      <c r="W17" s="68">
        <v>51420000</v>
      </c>
      <c r="X17" s="57" t="s">
        <v>237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4" t="s">
        <v>465</v>
      </c>
      <c r="I18" s="68"/>
      <c r="J18" s="219"/>
      <c r="K18" s="219"/>
      <c r="L18" s="289"/>
      <c r="M18" s="289"/>
      <c r="N18" s="526"/>
      <c r="O18" s="527"/>
      <c r="P18" s="528"/>
      <c r="Q18" s="428"/>
      <c r="R18" s="529"/>
      <c r="S18" s="431"/>
      <c r="T18" s="429"/>
      <c r="U18" s="733"/>
      <c r="V18" s="733"/>
      <c r="W18" s="68">
        <v>0</v>
      </c>
      <c r="X18" s="57" t="s">
        <v>237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4" t="s">
        <v>466</v>
      </c>
      <c r="I19" s="68"/>
      <c r="J19" s="219"/>
      <c r="K19" s="219"/>
      <c r="L19" s="390">
        <v>100000</v>
      </c>
      <c r="M19" s="390" t="s">
        <v>467</v>
      </c>
      <c r="N19" s="391" t="s">
        <v>468</v>
      </c>
      <c r="O19" s="390">
        <v>1</v>
      </c>
      <c r="P19" s="390" t="s">
        <v>469</v>
      </c>
      <c r="Q19" s="391" t="s">
        <v>468</v>
      </c>
      <c r="R19" s="390">
        <v>12</v>
      </c>
      <c r="S19" s="390" t="s">
        <v>470</v>
      </c>
      <c r="T19" s="390" t="s">
        <v>471</v>
      </c>
      <c r="U19" s="390"/>
      <c r="V19" s="68"/>
      <c r="W19" s="68">
        <f>SUM(L19*O19*R19)</f>
        <v>1200000</v>
      </c>
      <c r="X19" s="57" t="s">
        <v>467</v>
      </c>
      <c r="Y19" s="6"/>
    </row>
    <row r="20" spans="1:25" s="11" customFormat="1" ht="19.5" customHeight="1">
      <c r="A20" s="60"/>
      <c r="B20" s="82"/>
      <c r="C20" s="83"/>
      <c r="D20" s="61"/>
      <c r="E20" s="61"/>
      <c r="F20" s="62"/>
      <c r="G20" s="84"/>
      <c r="H20" s="235"/>
      <c r="I20" s="234"/>
      <c r="J20" s="85"/>
      <c r="K20" s="85"/>
      <c r="L20" s="234"/>
      <c r="M20" s="234"/>
      <c r="N20" s="235"/>
      <c r="O20" s="234"/>
      <c r="P20" s="234"/>
      <c r="Q20" s="235"/>
      <c r="R20" s="235"/>
      <c r="S20" s="235"/>
      <c r="T20" s="235"/>
      <c r="U20" s="235"/>
      <c r="V20" s="235"/>
      <c r="W20" s="234"/>
      <c r="X20" s="73"/>
      <c r="Y20" s="6"/>
    </row>
    <row r="21" spans="1:25" s="11" customFormat="1" ht="19.5" customHeight="1">
      <c r="A21" s="45"/>
      <c r="B21" s="46"/>
      <c r="C21" s="46" t="s">
        <v>195</v>
      </c>
      <c r="D21" s="227">
        <f>SUM(D22:D23)</f>
        <v>0</v>
      </c>
      <c r="E21" s="227">
        <f>W21/1000</f>
        <v>0</v>
      </c>
      <c r="F21" s="228">
        <f t="shared" ref="F21:F22" si="7">E21-D21</f>
        <v>0</v>
      </c>
      <c r="G21" s="229">
        <f t="shared" ref="G21:G22" si="8">IF(D21=0,0,F21/D21)</f>
        <v>0</v>
      </c>
      <c r="H21" s="215" t="s">
        <v>196</v>
      </c>
      <c r="I21" s="216"/>
      <c r="J21" s="217"/>
      <c r="K21" s="217"/>
      <c r="L21" s="217"/>
      <c r="M21" s="217"/>
      <c r="N21" s="217"/>
      <c r="O21" s="218"/>
      <c r="P21" s="218"/>
      <c r="Q21" s="218"/>
      <c r="R21" s="218"/>
      <c r="S21" s="218"/>
      <c r="T21" s="218"/>
      <c r="U21" s="245" t="s">
        <v>70</v>
      </c>
      <c r="V21" s="246"/>
      <c r="W21" s="247">
        <f>W22</f>
        <v>0</v>
      </c>
      <c r="X21" s="279" t="s">
        <v>57</v>
      </c>
      <c r="Y21" s="6"/>
    </row>
    <row r="22" spans="1:25" ht="21" customHeight="1">
      <c r="A22" s="45"/>
      <c r="B22" s="46"/>
      <c r="C22" s="46"/>
      <c r="D22" s="48">
        <v>0</v>
      </c>
      <c r="E22" s="48">
        <f>W22/1000</f>
        <v>0</v>
      </c>
      <c r="F22" s="38">
        <f t="shared" si="7"/>
        <v>0</v>
      </c>
      <c r="G22" s="121">
        <f t="shared" si="8"/>
        <v>0</v>
      </c>
      <c r="H22" s="294" t="s">
        <v>473</v>
      </c>
      <c r="I22" s="291"/>
      <c r="J22" s="289"/>
      <c r="K22" s="289"/>
      <c r="L22" s="666">
        <v>0</v>
      </c>
      <c r="M22" s="667" t="s">
        <v>467</v>
      </c>
      <c r="N22" s="667" t="s">
        <v>468</v>
      </c>
      <c r="O22" s="668">
        <v>1</v>
      </c>
      <c r="P22" s="669"/>
      <c r="Q22" s="667"/>
      <c r="R22" s="670"/>
      <c r="S22" s="667"/>
      <c r="T22" s="667" t="s">
        <v>471</v>
      </c>
      <c r="U22" s="289"/>
      <c r="V22" s="292"/>
      <c r="W22" s="289">
        <f>ROUND(L22*O22,-3)</f>
        <v>0</v>
      </c>
      <c r="X22" s="398" t="s">
        <v>467</v>
      </c>
      <c r="Y22" s="671"/>
    </row>
    <row r="23" spans="1:25" ht="21" customHeight="1">
      <c r="A23" s="45"/>
      <c r="B23" s="46"/>
      <c r="C23" s="46"/>
      <c r="D23" s="48"/>
      <c r="E23" s="48"/>
      <c r="F23" s="49"/>
      <c r="G23" s="70"/>
      <c r="H23" s="67"/>
      <c r="I23" s="233"/>
      <c r="J23" s="232"/>
      <c r="K23" s="232"/>
      <c r="L23" s="232"/>
      <c r="M23" s="54"/>
      <c r="N23" s="74"/>
      <c r="O23" s="78"/>
      <c r="P23" s="74"/>
      <c r="Q23" s="74"/>
      <c r="R23" s="77"/>
      <c r="S23" s="76"/>
      <c r="T23" s="258"/>
      <c r="U23" s="232"/>
      <c r="V23" s="68"/>
      <c r="W23" s="68"/>
      <c r="X23" s="57"/>
    </row>
    <row r="24" spans="1:25" ht="21" customHeight="1">
      <c r="A24" s="45"/>
      <c r="B24" s="46"/>
      <c r="C24" s="36" t="s">
        <v>197</v>
      </c>
      <c r="D24" s="227">
        <f>D25</f>
        <v>0</v>
      </c>
      <c r="E24" s="227">
        <f>E25</f>
        <v>240</v>
      </c>
      <c r="F24" s="228">
        <f t="shared" ref="F24:F25" si="9">E24-D24</f>
        <v>240</v>
      </c>
      <c r="G24" s="229">
        <f t="shared" ref="G24:G25" si="10">IF(D24=0,0,F24/D24)</f>
        <v>0</v>
      </c>
      <c r="H24" s="215" t="s">
        <v>644</v>
      </c>
      <c r="I24" s="216"/>
      <c r="J24" s="217"/>
      <c r="K24" s="217"/>
      <c r="L24" s="217"/>
      <c r="M24" s="217"/>
      <c r="N24" s="217"/>
      <c r="O24" s="218"/>
      <c r="P24" s="218"/>
      <c r="Q24" s="218"/>
      <c r="R24" s="218"/>
      <c r="S24" s="218"/>
      <c r="T24" s="218"/>
      <c r="U24" s="245" t="s">
        <v>70</v>
      </c>
      <c r="V24" s="246"/>
      <c r="W24" s="246">
        <f>SUM(W25:W25)</f>
        <v>240000</v>
      </c>
      <c r="X24" s="279" t="s">
        <v>57</v>
      </c>
    </row>
    <row r="25" spans="1:25" ht="21" customHeight="1">
      <c r="A25" s="45"/>
      <c r="B25" s="46"/>
      <c r="C25" s="46" t="s">
        <v>194</v>
      </c>
      <c r="D25" s="48">
        <v>0</v>
      </c>
      <c r="E25" s="48">
        <f>ROUND(W25/1000,0)</f>
        <v>240</v>
      </c>
      <c r="F25" s="285">
        <f t="shared" si="9"/>
        <v>240</v>
      </c>
      <c r="G25" s="194">
        <f t="shared" si="10"/>
        <v>0</v>
      </c>
      <c r="H25" s="294" t="s">
        <v>646</v>
      </c>
      <c r="I25" s="233"/>
      <c r="J25" s="232"/>
      <c r="K25" s="232"/>
      <c r="L25" s="390">
        <v>80000</v>
      </c>
      <c r="M25" s="390" t="s">
        <v>57</v>
      </c>
      <c r="N25" s="391" t="s">
        <v>58</v>
      </c>
      <c r="O25" s="390">
        <v>1</v>
      </c>
      <c r="P25" s="390" t="s">
        <v>56</v>
      </c>
      <c r="Q25" s="391" t="s">
        <v>58</v>
      </c>
      <c r="R25" s="390">
        <v>3</v>
      </c>
      <c r="S25" s="390" t="s">
        <v>645</v>
      </c>
      <c r="T25" s="390" t="s">
        <v>53</v>
      </c>
      <c r="U25" s="390"/>
      <c r="V25" s="68"/>
      <c r="W25" s="68">
        <f>SUM(L25*O25*R25)</f>
        <v>240000</v>
      </c>
      <c r="X25" s="57" t="s">
        <v>57</v>
      </c>
    </row>
    <row r="26" spans="1:25" ht="21" customHeight="1">
      <c r="A26" s="281"/>
      <c r="B26" s="83"/>
      <c r="C26" s="83"/>
      <c r="D26" s="61"/>
      <c r="E26" s="61"/>
      <c r="F26" s="62"/>
      <c r="G26" s="84"/>
      <c r="H26" s="71"/>
      <c r="I26" s="234"/>
      <c r="J26" s="85"/>
      <c r="K26" s="85"/>
      <c r="L26" s="86"/>
      <c r="M26" s="234"/>
      <c r="N26" s="85"/>
      <c r="O26" s="234"/>
      <c r="P26" s="234"/>
      <c r="Q26" s="234"/>
      <c r="R26" s="234"/>
      <c r="S26" s="234"/>
      <c r="T26" s="234"/>
      <c r="U26" s="234"/>
      <c r="V26" s="234"/>
      <c r="W26" s="234"/>
      <c r="X26" s="73"/>
    </row>
    <row r="27" spans="1:25" s="11" customFormat="1" ht="19.5" customHeight="1">
      <c r="A27" s="35" t="s">
        <v>73</v>
      </c>
      <c r="B27" s="36" t="s">
        <v>30</v>
      </c>
      <c r="C27" s="652" t="s">
        <v>252</v>
      </c>
      <c r="D27" s="260">
        <f>SUM(D28,D33)</f>
        <v>300</v>
      </c>
      <c r="E27" s="260">
        <f>SUM(E28,E33)</f>
        <v>1900</v>
      </c>
      <c r="F27" s="261">
        <f t="shared" ref="F27" si="11">E27-D27</f>
        <v>1600</v>
      </c>
      <c r="G27" s="262">
        <f t="shared" ref="G27" si="12">IF(D27=0,0,F27/D27)</f>
        <v>5.333333333333333</v>
      </c>
      <c r="H27" s="263" t="s">
        <v>253</v>
      </c>
      <c r="I27" s="264"/>
      <c r="J27" s="265"/>
      <c r="K27" s="265"/>
      <c r="L27" s="264"/>
      <c r="M27" s="264"/>
      <c r="N27" s="264"/>
      <c r="O27" s="264"/>
      <c r="P27" s="264" t="s">
        <v>69</v>
      </c>
      <c r="Q27" s="266"/>
      <c r="R27" s="266"/>
      <c r="S27" s="266"/>
      <c r="T27" s="266"/>
      <c r="U27" s="266"/>
      <c r="V27" s="266"/>
      <c r="W27" s="267">
        <f>W28+W33</f>
        <v>1900000</v>
      </c>
      <c r="X27" s="278" t="s">
        <v>25</v>
      </c>
      <c r="Y27" s="6"/>
    </row>
    <row r="28" spans="1:25" ht="21" customHeight="1">
      <c r="A28" s="45" t="s">
        <v>185</v>
      </c>
      <c r="B28" s="46" t="s">
        <v>185</v>
      </c>
      <c r="C28" s="36" t="s">
        <v>198</v>
      </c>
      <c r="D28" s="227">
        <f>D29+D31</f>
        <v>0</v>
      </c>
      <c r="E28" s="227">
        <f>E29+E31</f>
        <v>1600</v>
      </c>
      <c r="F28" s="228">
        <f t="shared" ref="F28:F29" si="13">E28-D28</f>
        <v>1600</v>
      </c>
      <c r="G28" s="229">
        <v>1</v>
      </c>
      <c r="H28" s="215" t="s">
        <v>258</v>
      </c>
      <c r="I28" s="216"/>
      <c r="J28" s="217"/>
      <c r="K28" s="217"/>
      <c r="L28" s="217"/>
      <c r="M28" s="217"/>
      <c r="N28" s="217"/>
      <c r="O28" s="218"/>
      <c r="P28" s="218"/>
      <c r="Q28" s="218"/>
      <c r="R28" s="218"/>
      <c r="S28" s="218"/>
      <c r="T28" s="218"/>
      <c r="U28" s="245" t="s">
        <v>248</v>
      </c>
      <c r="V28" s="246"/>
      <c r="W28" s="247">
        <f>SUM(W29,W31)</f>
        <v>1600000</v>
      </c>
      <c r="X28" s="279" t="s">
        <v>247</v>
      </c>
    </row>
    <row r="29" spans="1:25" ht="21" customHeight="1">
      <c r="A29" s="45"/>
      <c r="B29" s="46"/>
      <c r="C29" s="46" t="s">
        <v>199</v>
      </c>
      <c r="D29" s="37">
        <v>0</v>
      </c>
      <c r="E29" s="48">
        <f>ROUND(W29/1000,0)</f>
        <v>1000</v>
      </c>
      <c r="F29" s="285">
        <f t="shared" si="13"/>
        <v>1000</v>
      </c>
      <c r="G29" s="194">
        <v>1</v>
      </c>
      <c r="H29" s="147" t="s">
        <v>200</v>
      </c>
      <c r="I29" s="166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734" t="s">
        <v>70</v>
      </c>
      <c r="V29" s="734"/>
      <c r="W29" s="149">
        <f>SUM(W30:W30)</f>
        <v>1000000</v>
      </c>
      <c r="X29" s="150" t="s">
        <v>67</v>
      </c>
    </row>
    <row r="30" spans="1:25" ht="21.75" customHeight="1">
      <c r="A30" s="45"/>
      <c r="B30" s="46"/>
      <c r="C30" s="46"/>
      <c r="D30" s="48"/>
      <c r="E30" s="61"/>
      <c r="F30" s="49"/>
      <c r="G30" s="31"/>
      <c r="H30" s="67" t="s">
        <v>474</v>
      </c>
      <c r="I30" s="233"/>
      <c r="J30" s="232"/>
      <c r="K30" s="232"/>
      <c r="L30" s="232"/>
      <c r="M30" s="258"/>
      <c r="N30" s="74"/>
      <c r="O30" s="69"/>
      <c r="P30" s="74"/>
      <c r="Q30" s="79"/>
      <c r="R30" s="76"/>
      <c r="S30" s="76"/>
      <c r="T30" s="258"/>
      <c r="U30" s="232"/>
      <c r="V30" s="68"/>
      <c r="W30" s="136">
        <v>1000000</v>
      </c>
      <c r="X30" s="57" t="s">
        <v>67</v>
      </c>
    </row>
    <row r="31" spans="1:25" ht="18" customHeight="1">
      <c r="A31" s="45"/>
      <c r="B31" s="46"/>
      <c r="C31" s="46"/>
      <c r="D31" s="37">
        <v>0</v>
      </c>
      <c r="E31" s="48">
        <f>ROUND(W31/1000,0)</f>
        <v>600</v>
      </c>
      <c r="F31" s="38">
        <f t="shared" ref="F31" si="14">E31-D31</f>
        <v>600</v>
      </c>
      <c r="G31" s="39">
        <f t="shared" ref="G31" si="15">IF(D31=0,0,F31/D31)</f>
        <v>0</v>
      </c>
      <c r="H31" s="147" t="s">
        <v>200</v>
      </c>
      <c r="I31" s="166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734" t="s">
        <v>70</v>
      </c>
      <c r="V31" s="734"/>
      <c r="W31" s="149">
        <f>W32</f>
        <v>600000</v>
      </c>
      <c r="X31" s="150" t="s">
        <v>57</v>
      </c>
    </row>
    <row r="32" spans="1:25" ht="18" customHeight="1">
      <c r="A32" s="45"/>
      <c r="B32" s="46"/>
      <c r="C32" s="59"/>
      <c r="D32" s="61"/>
      <c r="E32" s="61"/>
      <c r="F32" s="62"/>
      <c r="G32" s="214"/>
      <c r="H32" s="67" t="s">
        <v>249</v>
      </c>
      <c r="I32" s="233"/>
      <c r="J32" s="232"/>
      <c r="K32" s="232"/>
      <c r="L32" s="232">
        <v>50000</v>
      </c>
      <c r="M32" s="258" t="s">
        <v>57</v>
      </c>
      <c r="N32" s="74" t="s">
        <v>58</v>
      </c>
      <c r="O32" s="69">
        <v>12</v>
      </c>
      <c r="P32" s="74" t="s">
        <v>0</v>
      </c>
      <c r="Q32" s="79"/>
      <c r="R32" s="76"/>
      <c r="S32" s="76"/>
      <c r="T32" s="258" t="s">
        <v>53</v>
      </c>
      <c r="U32" s="232"/>
      <c r="V32" s="68"/>
      <c r="W32" s="68">
        <f>L32*O32</f>
        <v>600000</v>
      </c>
      <c r="X32" s="57" t="s">
        <v>57</v>
      </c>
    </row>
    <row r="33" spans="1:26" ht="18" customHeight="1">
      <c r="A33" s="45"/>
      <c r="B33" s="46"/>
      <c r="C33" s="46" t="s">
        <v>201</v>
      </c>
      <c r="D33" s="227">
        <f>D34</f>
        <v>300</v>
      </c>
      <c r="E33" s="227">
        <f>E34</f>
        <v>300</v>
      </c>
      <c r="F33" s="228">
        <f t="shared" ref="F33:F34" si="16">E33-D33</f>
        <v>0</v>
      </c>
      <c r="G33" s="229">
        <f t="shared" ref="G33:G34" si="17">IF(D33=0,0,F33/D33)</f>
        <v>0</v>
      </c>
      <c r="H33" s="215" t="s">
        <v>202</v>
      </c>
      <c r="I33" s="216"/>
      <c r="J33" s="217"/>
      <c r="K33" s="217"/>
      <c r="L33" s="217"/>
      <c r="M33" s="217"/>
      <c r="N33" s="217"/>
      <c r="O33" s="218"/>
      <c r="P33" s="218"/>
      <c r="Q33" s="218"/>
      <c r="R33" s="218"/>
      <c r="S33" s="218"/>
      <c r="T33" s="218"/>
      <c r="U33" s="245" t="s">
        <v>70</v>
      </c>
      <c r="V33" s="246"/>
      <c r="W33" s="246">
        <f>W34</f>
        <v>300000</v>
      </c>
      <c r="X33" s="279" t="s">
        <v>57</v>
      </c>
    </row>
    <row r="34" spans="1:26" ht="25.5" customHeight="1">
      <c r="A34" s="45"/>
      <c r="B34" s="46"/>
      <c r="C34" s="46" t="s">
        <v>199</v>
      </c>
      <c r="D34" s="48">
        <v>300</v>
      </c>
      <c r="E34" s="48">
        <f>ROUND(W34/1000,0)</f>
        <v>300</v>
      </c>
      <c r="F34" s="285">
        <f t="shared" si="16"/>
        <v>0</v>
      </c>
      <c r="G34" s="194">
        <f t="shared" si="17"/>
        <v>0</v>
      </c>
      <c r="H34" s="147" t="s">
        <v>387</v>
      </c>
      <c r="I34" s="166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734" t="s">
        <v>70</v>
      </c>
      <c r="V34" s="734"/>
      <c r="W34" s="149">
        <f>SUM(W35:W35)</f>
        <v>300000</v>
      </c>
      <c r="X34" s="150" t="s">
        <v>67</v>
      </c>
    </row>
    <row r="35" spans="1:26" ht="21" customHeight="1">
      <c r="A35" s="45"/>
      <c r="B35" s="46"/>
      <c r="C35" s="46"/>
      <c r="D35" s="48"/>
      <c r="E35" s="48"/>
      <c r="F35" s="283"/>
      <c r="G35" s="284"/>
      <c r="H35" s="67" t="s">
        <v>74</v>
      </c>
      <c r="I35" s="391"/>
      <c r="J35" s="390"/>
      <c r="K35" s="390"/>
      <c r="L35" s="390"/>
      <c r="M35" s="595"/>
      <c r="N35" s="74"/>
      <c r="O35" s="69"/>
      <c r="P35" s="74"/>
      <c r="Q35" s="79"/>
      <c r="R35" s="76"/>
      <c r="S35" s="76"/>
      <c r="T35" s="595"/>
      <c r="U35" s="390"/>
      <c r="V35" s="68"/>
      <c r="W35" s="68">
        <v>300000</v>
      </c>
      <c r="X35" s="57" t="s">
        <v>67</v>
      </c>
    </row>
    <row r="36" spans="1:26" ht="21" customHeight="1">
      <c r="A36" s="58"/>
      <c r="B36" s="59"/>
      <c r="C36" s="59"/>
      <c r="D36" s="61"/>
      <c r="E36" s="61"/>
      <c r="F36" s="62"/>
      <c r="G36" s="214"/>
      <c r="H36" s="71"/>
      <c r="I36" s="235"/>
      <c r="J36" s="234"/>
      <c r="K36" s="234"/>
      <c r="L36" s="234"/>
      <c r="M36" s="212"/>
      <c r="N36" s="220"/>
      <c r="O36" s="221"/>
      <c r="P36" s="220"/>
      <c r="Q36" s="222"/>
      <c r="R36" s="223"/>
      <c r="S36" s="223"/>
      <c r="T36" s="212"/>
      <c r="U36" s="234"/>
      <c r="V36" s="72"/>
      <c r="W36" s="72"/>
      <c r="X36" s="73"/>
    </row>
    <row r="37" spans="1:26" ht="21" customHeight="1">
      <c r="A37" s="35" t="s">
        <v>203</v>
      </c>
      <c r="B37" s="36" t="s">
        <v>203</v>
      </c>
      <c r="C37" s="652" t="s">
        <v>252</v>
      </c>
      <c r="D37" s="260">
        <f>D38+D41</f>
        <v>0</v>
      </c>
      <c r="E37" s="260">
        <f>E38+E41</f>
        <v>0</v>
      </c>
      <c r="F37" s="261">
        <f t="shared" ref="F37:F39" si="18">E37-D37</f>
        <v>0</v>
      </c>
      <c r="G37" s="262">
        <f t="shared" ref="G37:G39" si="19">IF(D37=0,0,F37/D37)</f>
        <v>0</v>
      </c>
      <c r="H37" s="263" t="s">
        <v>254</v>
      </c>
      <c r="I37" s="264"/>
      <c r="J37" s="265"/>
      <c r="K37" s="265"/>
      <c r="L37" s="264"/>
      <c r="M37" s="264"/>
      <c r="N37" s="264"/>
      <c r="O37" s="264"/>
      <c r="P37" s="264" t="s">
        <v>68</v>
      </c>
      <c r="Q37" s="266"/>
      <c r="R37" s="266"/>
      <c r="S37" s="266"/>
      <c r="T37" s="266"/>
      <c r="U37" s="266"/>
      <c r="V37" s="266"/>
      <c r="W37" s="267">
        <f>W38+W41</f>
        <v>0</v>
      </c>
      <c r="X37" s="278" t="s">
        <v>25</v>
      </c>
    </row>
    <row r="38" spans="1:26" ht="21" customHeight="1">
      <c r="A38" s="45"/>
      <c r="B38" s="46"/>
      <c r="C38" s="36" t="s">
        <v>204</v>
      </c>
      <c r="D38" s="227">
        <f>D39</f>
        <v>0</v>
      </c>
      <c r="E38" s="227">
        <f>E39</f>
        <v>0</v>
      </c>
      <c r="F38" s="228">
        <f t="shared" si="18"/>
        <v>0</v>
      </c>
      <c r="G38" s="229">
        <f t="shared" si="19"/>
        <v>0</v>
      </c>
      <c r="H38" s="215" t="s">
        <v>206</v>
      </c>
      <c r="I38" s="216"/>
      <c r="J38" s="217"/>
      <c r="K38" s="217"/>
      <c r="L38" s="217"/>
      <c r="M38" s="217"/>
      <c r="N38" s="217"/>
      <c r="O38" s="218"/>
      <c r="P38" s="218"/>
      <c r="Q38" s="218"/>
      <c r="R38" s="218"/>
      <c r="S38" s="218"/>
      <c r="T38" s="218"/>
      <c r="U38" s="245" t="s">
        <v>70</v>
      </c>
      <c r="V38" s="246"/>
      <c r="W38" s="247">
        <f>W39</f>
        <v>0</v>
      </c>
      <c r="X38" s="279" t="s">
        <v>57</v>
      </c>
    </row>
    <row r="39" spans="1:26" ht="21" customHeight="1">
      <c r="A39" s="45"/>
      <c r="B39" s="46"/>
      <c r="C39" s="46" t="s">
        <v>205</v>
      </c>
      <c r="D39" s="37">
        <v>0</v>
      </c>
      <c r="E39" s="48">
        <f>ROUND(W39/1000,0)</f>
        <v>0</v>
      </c>
      <c r="F39" s="38">
        <f t="shared" si="18"/>
        <v>0</v>
      </c>
      <c r="G39" s="39">
        <f t="shared" si="19"/>
        <v>0</v>
      </c>
      <c r="H39" s="147" t="s">
        <v>206</v>
      </c>
      <c r="I39" s="166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734" t="s">
        <v>70</v>
      </c>
      <c r="V39" s="734"/>
      <c r="W39" s="149">
        <f>W40</f>
        <v>0</v>
      </c>
      <c r="X39" s="150" t="s">
        <v>57</v>
      </c>
    </row>
    <row r="40" spans="1:26" ht="21" customHeight="1">
      <c r="A40" s="45"/>
      <c r="B40" s="46"/>
      <c r="C40" s="46" t="s">
        <v>203</v>
      </c>
      <c r="D40" s="48"/>
      <c r="E40" s="48"/>
      <c r="F40" s="49"/>
      <c r="G40" s="31"/>
      <c r="H40" s="67" t="s">
        <v>207</v>
      </c>
      <c r="I40" s="233"/>
      <c r="J40" s="232"/>
      <c r="K40" s="232"/>
      <c r="L40" s="232"/>
      <c r="M40" s="258"/>
      <c r="N40" s="74"/>
      <c r="O40" s="69"/>
      <c r="P40" s="74"/>
      <c r="Q40" s="79"/>
      <c r="R40" s="76"/>
      <c r="S40" s="76"/>
      <c r="T40" s="258"/>
      <c r="U40" s="232"/>
      <c r="V40" s="68"/>
      <c r="W40" s="68">
        <v>0</v>
      </c>
      <c r="X40" s="57" t="s">
        <v>57</v>
      </c>
    </row>
    <row r="41" spans="1:26" ht="21" customHeight="1">
      <c r="A41" s="45"/>
      <c r="B41" s="46"/>
      <c r="C41" s="36" t="s">
        <v>197</v>
      </c>
      <c r="D41" s="227">
        <f>D42</f>
        <v>0</v>
      </c>
      <c r="E41" s="227">
        <f>E42</f>
        <v>0</v>
      </c>
      <c r="F41" s="228">
        <f t="shared" ref="F41:F42" si="20">E41-D41</f>
        <v>0</v>
      </c>
      <c r="G41" s="229">
        <f t="shared" ref="G41:G42" si="21">IF(D41=0,0,F41/D41)</f>
        <v>0</v>
      </c>
      <c r="H41" s="215" t="s">
        <v>208</v>
      </c>
      <c r="I41" s="216"/>
      <c r="J41" s="217"/>
      <c r="K41" s="217"/>
      <c r="L41" s="217"/>
      <c r="M41" s="217"/>
      <c r="N41" s="217"/>
      <c r="O41" s="218"/>
      <c r="P41" s="218"/>
      <c r="Q41" s="218"/>
      <c r="R41" s="218"/>
      <c r="S41" s="218"/>
      <c r="T41" s="218"/>
      <c r="U41" s="245" t="s">
        <v>70</v>
      </c>
      <c r="V41" s="246"/>
      <c r="W41" s="246">
        <f>W42</f>
        <v>0</v>
      </c>
      <c r="X41" s="279" t="s">
        <v>57</v>
      </c>
    </row>
    <row r="42" spans="1:26" ht="21" customHeight="1">
      <c r="A42" s="45"/>
      <c r="B42" s="46"/>
      <c r="C42" s="46" t="s">
        <v>203</v>
      </c>
      <c r="D42" s="48">
        <v>0</v>
      </c>
      <c r="E42" s="48">
        <f>ROUND(W42/1000,0)</f>
        <v>0</v>
      </c>
      <c r="F42" s="38">
        <f t="shared" si="20"/>
        <v>0</v>
      </c>
      <c r="G42" s="39">
        <f t="shared" si="21"/>
        <v>0</v>
      </c>
      <c r="H42" s="67" t="s">
        <v>209</v>
      </c>
      <c r="I42" s="233"/>
      <c r="J42" s="232"/>
      <c r="K42" s="232"/>
      <c r="L42" s="232"/>
      <c r="M42" s="258"/>
      <c r="N42" s="74"/>
      <c r="O42" s="69"/>
      <c r="P42" s="74"/>
      <c r="Q42" s="79"/>
      <c r="R42" s="76"/>
      <c r="S42" s="76"/>
      <c r="T42" s="258"/>
      <c r="U42" s="232"/>
      <c r="V42" s="68"/>
      <c r="W42" s="68">
        <v>0</v>
      </c>
      <c r="X42" s="57" t="s">
        <v>57</v>
      </c>
    </row>
    <row r="43" spans="1:26" ht="21" customHeight="1">
      <c r="A43" s="58"/>
      <c r="B43" s="59"/>
      <c r="C43" s="59"/>
      <c r="D43" s="61"/>
      <c r="E43" s="61"/>
      <c r="F43" s="62"/>
      <c r="G43" s="214"/>
      <c r="H43" s="71"/>
      <c r="I43" s="235"/>
      <c r="J43" s="234"/>
      <c r="K43" s="234"/>
      <c r="L43" s="234"/>
      <c r="M43" s="212"/>
      <c r="N43" s="220"/>
      <c r="O43" s="221"/>
      <c r="P43" s="220"/>
      <c r="Q43" s="222"/>
      <c r="R43" s="223"/>
      <c r="S43" s="223"/>
      <c r="T43" s="212"/>
      <c r="U43" s="234"/>
      <c r="V43" s="72"/>
      <c r="W43" s="72"/>
      <c r="X43" s="73"/>
    </row>
    <row r="44" spans="1:26" ht="21" customHeight="1">
      <c r="A44" s="35" t="s">
        <v>75</v>
      </c>
      <c r="B44" s="36" t="s">
        <v>13</v>
      </c>
      <c r="C44" s="652" t="s">
        <v>252</v>
      </c>
      <c r="D44" s="260">
        <f>SUM(D45,D48)</f>
        <v>0</v>
      </c>
      <c r="E44" s="260">
        <f>SUM(E45,E48)</f>
        <v>0</v>
      </c>
      <c r="F44" s="261">
        <f t="shared" ref="F44:F46" si="22">E44-D44</f>
        <v>0</v>
      </c>
      <c r="G44" s="262">
        <f t="shared" ref="G44:G46" si="23">IF(D44=0,0,F44/D44)</f>
        <v>0</v>
      </c>
      <c r="H44" s="263" t="s">
        <v>255</v>
      </c>
      <c r="I44" s="264"/>
      <c r="J44" s="265"/>
      <c r="K44" s="265"/>
      <c r="L44" s="264"/>
      <c r="M44" s="264"/>
      <c r="N44" s="264"/>
      <c r="O44" s="264"/>
      <c r="P44" s="264" t="s">
        <v>68</v>
      </c>
      <c r="Q44" s="266"/>
      <c r="R44" s="266"/>
      <c r="S44" s="266"/>
      <c r="T44" s="266"/>
      <c r="U44" s="266"/>
      <c r="V44" s="266"/>
      <c r="W44" s="267">
        <f>W46+W48</f>
        <v>0</v>
      </c>
      <c r="X44" s="278" t="s">
        <v>25</v>
      </c>
    </row>
    <row r="45" spans="1:26" ht="21" customHeight="1">
      <c r="A45" s="45"/>
      <c r="B45" s="46"/>
      <c r="C45" s="36" t="s">
        <v>210</v>
      </c>
      <c r="D45" s="227">
        <f>D46</f>
        <v>0</v>
      </c>
      <c r="E45" s="227">
        <f>E46</f>
        <v>0</v>
      </c>
      <c r="F45" s="228">
        <f t="shared" si="22"/>
        <v>0</v>
      </c>
      <c r="G45" s="229">
        <f t="shared" si="23"/>
        <v>0</v>
      </c>
      <c r="H45" s="215" t="s">
        <v>259</v>
      </c>
      <c r="I45" s="216"/>
      <c r="J45" s="217"/>
      <c r="K45" s="217"/>
      <c r="L45" s="217"/>
      <c r="M45" s="217"/>
      <c r="N45" s="217"/>
      <c r="O45" s="218"/>
      <c r="P45" s="218"/>
      <c r="Q45" s="218"/>
      <c r="R45" s="218"/>
      <c r="S45" s="218"/>
      <c r="T45" s="218"/>
      <c r="U45" s="245" t="s">
        <v>248</v>
      </c>
      <c r="V45" s="246"/>
      <c r="W45" s="247">
        <f>SUM(W46:W46)</f>
        <v>0</v>
      </c>
      <c r="X45" s="279" t="s">
        <v>247</v>
      </c>
      <c r="Y45" s="23"/>
      <c r="Z45" s="24"/>
    </row>
    <row r="46" spans="1:26" ht="21" customHeight="1">
      <c r="A46" s="45"/>
      <c r="B46" s="46"/>
      <c r="C46" s="46" t="s">
        <v>211</v>
      </c>
      <c r="D46" s="37">
        <v>0</v>
      </c>
      <c r="E46" s="48">
        <f>ROUND(W46/1000,0)</f>
        <v>0</v>
      </c>
      <c r="F46" s="38">
        <f t="shared" si="22"/>
        <v>0</v>
      </c>
      <c r="G46" s="39">
        <f t="shared" si="23"/>
        <v>0</v>
      </c>
      <c r="H46" s="147" t="s">
        <v>214</v>
      </c>
      <c r="I46" s="166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734" t="s">
        <v>70</v>
      </c>
      <c r="V46" s="734"/>
      <c r="W46" s="149">
        <v>0</v>
      </c>
      <c r="X46" s="150" t="s">
        <v>57</v>
      </c>
      <c r="Y46" s="23"/>
      <c r="Z46" s="24"/>
    </row>
    <row r="47" spans="1:26" ht="21" customHeight="1">
      <c r="A47" s="45"/>
      <c r="B47" s="46"/>
      <c r="C47" s="46"/>
      <c r="D47" s="48"/>
      <c r="E47" s="48"/>
      <c r="F47" s="49"/>
      <c r="G47" s="31"/>
      <c r="H47" s="67" t="s">
        <v>240</v>
      </c>
      <c r="I47" s="233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58"/>
      <c r="V47" s="258"/>
      <c r="W47" s="68"/>
      <c r="X47" s="57" t="s">
        <v>241</v>
      </c>
      <c r="Y47" s="23"/>
      <c r="Z47" s="24"/>
    </row>
    <row r="48" spans="1:26" ht="21" customHeight="1">
      <c r="A48" s="45"/>
      <c r="B48" s="46"/>
      <c r="C48" s="36" t="s">
        <v>212</v>
      </c>
      <c r="D48" s="227">
        <f>D49</f>
        <v>0</v>
      </c>
      <c r="E48" s="227">
        <f>E49</f>
        <v>0</v>
      </c>
      <c r="F48" s="228">
        <f t="shared" ref="F48:F49" si="24">E48-D48</f>
        <v>0</v>
      </c>
      <c r="G48" s="229">
        <f t="shared" ref="G48:G49" si="25">IF(D48=0,0,F48/D48)</f>
        <v>0</v>
      </c>
      <c r="H48" s="215" t="s">
        <v>260</v>
      </c>
      <c r="I48" s="216"/>
      <c r="J48" s="217"/>
      <c r="K48" s="217"/>
      <c r="L48" s="217"/>
      <c r="M48" s="217"/>
      <c r="N48" s="217"/>
      <c r="O48" s="218"/>
      <c r="P48" s="218"/>
      <c r="Q48" s="218"/>
      <c r="R48" s="218"/>
      <c r="S48" s="218"/>
      <c r="T48" s="218"/>
      <c r="U48" s="245" t="s">
        <v>248</v>
      </c>
      <c r="V48" s="246"/>
      <c r="W48" s="246">
        <f>SUM(W49:W49)</f>
        <v>0</v>
      </c>
      <c r="X48" s="279" t="s">
        <v>247</v>
      </c>
      <c r="Y48" s="23"/>
      <c r="Z48" s="24"/>
    </row>
    <row r="49" spans="1:26" ht="21" customHeight="1">
      <c r="A49" s="45"/>
      <c r="B49" s="46"/>
      <c r="C49" s="46" t="s">
        <v>211</v>
      </c>
      <c r="D49" s="48">
        <v>0</v>
      </c>
      <c r="E49" s="48">
        <f>ROUND(W49/1000,0)</f>
        <v>0</v>
      </c>
      <c r="F49" s="38">
        <f t="shared" si="24"/>
        <v>0</v>
      </c>
      <c r="G49" s="39">
        <f t="shared" si="25"/>
        <v>0</v>
      </c>
      <c r="H49" s="147" t="s">
        <v>215</v>
      </c>
      <c r="I49" s="151"/>
      <c r="J49" s="232"/>
      <c r="K49" s="232"/>
      <c r="L49" s="232"/>
      <c r="M49" s="258"/>
      <c r="N49" s="74"/>
      <c r="O49" s="69"/>
      <c r="P49" s="74"/>
      <c r="Q49" s="79"/>
      <c r="R49" s="76"/>
      <c r="S49" s="76"/>
      <c r="T49" s="258"/>
      <c r="U49" s="734" t="s">
        <v>70</v>
      </c>
      <c r="V49" s="734"/>
      <c r="W49" s="149">
        <v>0</v>
      </c>
      <c r="X49" s="150" t="s">
        <v>57</v>
      </c>
      <c r="Y49" s="23"/>
      <c r="Z49" s="24"/>
    </row>
    <row r="50" spans="1:26" ht="21" customHeight="1">
      <c r="A50" s="45"/>
      <c r="B50" s="46"/>
      <c r="C50" s="46" t="s">
        <v>475</v>
      </c>
      <c r="D50" s="48"/>
      <c r="E50" s="48"/>
      <c r="F50" s="49"/>
      <c r="G50" s="31"/>
      <c r="H50" s="71"/>
      <c r="I50" s="524"/>
      <c r="J50" s="390"/>
      <c r="K50" s="390"/>
      <c r="L50" s="390"/>
      <c r="M50" s="651"/>
      <c r="N50" s="74"/>
      <c r="O50" s="69"/>
      <c r="P50" s="74"/>
      <c r="Q50" s="79"/>
      <c r="R50" s="76"/>
      <c r="S50" s="76"/>
      <c r="T50" s="651"/>
      <c r="U50" s="212"/>
      <c r="V50" s="212"/>
      <c r="W50" s="72"/>
      <c r="X50" s="73"/>
      <c r="Y50" s="23"/>
      <c r="Z50" s="24"/>
    </row>
    <row r="51" spans="1:26" ht="21" customHeight="1">
      <c r="A51" s="58"/>
      <c r="B51" s="59"/>
      <c r="C51" s="59"/>
      <c r="D51" s="61"/>
      <c r="E51" s="61"/>
      <c r="F51" s="62"/>
      <c r="G51" s="214"/>
      <c r="H51" s="71"/>
      <c r="I51" s="235"/>
      <c r="J51" s="234"/>
      <c r="K51" s="234"/>
      <c r="L51" s="234"/>
      <c r="M51" s="212"/>
      <c r="N51" s="220"/>
      <c r="O51" s="221"/>
      <c r="P51" s="220"/>
      <c r="Q51" s="222"/>
      <c r="R51" s="223"/>
      <c r="S51" s="223"/>
      <c r="T51" s="212"/>
      <c r="U51" s="234"/>
      <c r="V51" s="72"/>
      <c r="W51" s="72"/>
      <c r="X51" s="73"/>
    </row>
    <row r="52" spans="1:26" ht="21" customHeight="1">
      <c r="A52" s="35" t="s">
        <v>14</v>
      </c>
      <c r="B52" s="36" t="s">
        <v>14</v>
      </c>
      <c r="C52" s="652" t="s">
        <v>252</v>
      </c>
      <c r="D52" s="260">
        <f>SUM(D53,D68,D73)</f>
        <v>5386</v>
      </c>
      <c r="E52" s="260">
        <f>SUM(E53,E68,E73)</f>
        <v>5388</v>
      </c>
      <c r="F52" s="261">
        <f t="shared" ref="F52:F54" si="26">E52-D52</f>
        <v>2</v>
      </c>
      <c r="G52" s="262">
        <f t="shared" ref="G52:G54" si="27">IF(D52=0,0,F52/D52)</f>
        <v>3.713330857779428E-4</v>
      </c>
      <c r="H52" s="263" t="s">
        <v>256</v>
      </c>
      <c r="I52" s="264"/>
      <c r="J52" s="265"/>
      <c r="K52" s="265"/>
      <c r="L52" s="264"/>
      <c r="M52" s="264"/>
      <c r="N52" s="264"/>
      <c r="O52" s="264"/>
      <c r="P52" s="264" t="s">
        <v>68</v>
      </c>
      <c r="Q52" s="266"/>
      <c r="R52" s="266"/>
      <c r="S52" s="266"/>
      <c r="T52" s="266"/>
      <c r="U52" s="266"/>
      <c r="V52" s="266"/>
      <c r="W52" s="267">
        <f>SUM(W53,W68,W73)</f>
        <v>5388000</v>
      </c>
      <c r="X52" s="278" t="s">
        <v>25</v>
      </c>
    </row>
    <row r="53" spans="1:26" ht="21" customHeight="1">
      <c r="A53" s="45"/>
      <c r="B53" s="46"/>
      <c r="C53" s="36" t="s">
        <v>216</v>
      </c>
      <c r="D53" s="227">
        <f>SUM(D54,D57,D60,D64)</f>
        <v>4418</v>
      </c>
      <c r="E53" s="227">
        <f>SUM(E54,E57,E60,E64)</f>
        <v>4420</v>
      </c>
      <c r="F53" s="228">
        <f t="shared" si="26"/>
        <v>2</v>
      </c>
      <c r="G53" s="229">
        <f t="shared" si="27"/>
        <v>4.526935264825713E-4</v>
      </c>
      <c r="H53" s="215" t="s">
        <v>261</v>
      </c>
      <c r="I53" s="216"/>
      <c r="J53" s="217"/>
      <c r="K53" s="217"/>
      <c r="L53" s="217"/>
      <c r="M53" s="217"/>
      <c r="N53" s="217"/>
      <c r="O53" s="218"/>
      <c r="P53" s="218"/>
      <c r="Q53" s="218"/>
      <c r="R53" s="218"/>
      <c r="S53" s="218"/>
      <c r="T53" s="218"/>
      <c r="U53" s="245" t="s">
        <v>248</v>
      </c>
      <c r="V53" s="246"/>
      <c r="W53" s="247">
        <f>SUM(W54,W57,W60,W64)</f>
        <v>4420000</v>
      </c>
      <c r="X53" s="279" t="s">
        <v>247</v>
      </c>
    </row>
    <row r="54" spans="1:26" ht="21" customHeight="1">
      <c r="A54" s="45"/>
      <c r="B54" s="46"/>
      <c r="C54" s="46" t="s">
        <v>217</v>
      </c>
      <c r="D54" s="37">
        <v>3934</v>
      </c>
      <c r="E54" s="48">
        <f>ROUND(W54/1000,0)</f>
        <v>3935</v>
      </c>
      <c r="F54" s="38">
        <f t="shared" si="26"/>
        <v>1</v>
      </c>
      <c r="G54" s="39">
        <f t="shared" si="27"/>
        <v>2.5419420437214032E-4</v>
      </c>
      <c r="H54" s="147" t="s">
        <v>242</v>
      </c>
      <c r="I54" s="166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734" t="s">
        <v>70</v>
      </c>
      <c r="V54" s="734"/>
      <c r="W54" s="149">
        <f>ROUNDUP(SUM(V55:W56),-3)</f>
        <v>3935000</v>
      </c>
      <c r="X54" s="150" t="s">
        <v>57</v>
      </c>
    </row>
    <row r="55" spans="1:26" ht="21" customHeight="1">
      <c r="A55" s="45"/>
      <c r="B55" s="46"/>
      <c r="C55" s="46"/>
      <c r="D55" s="48"/>
      <c r="E55" s="48"/>
      <c r="F55" s="49"/>
      <c r="G55" s="31"/>
      <c r="H55" s="380" t="s">
        <v>270</v>
      </c>
      <c r="I55" s="233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58"/>
      <c r="V55" s="258"/>
      <c r="W55" s="68">
        <v>3928508</v>
      </c>
      <c r="X55" s="57" t="s">
        <v>241</v>
      </c>
    </row>
    <row r="56" spans="1:26" ht="21" customHeight="1">
      <c r="A56" s="45"/>
      <c r="B56" s="46"/>
      <c r="C56" s="46"/>
      <c r="D56" s="61"/>
      <c r="E56" s="61"/>
      <c r="F56" s="62"/>
      <c r="G56" s="214"/>
      <c r="H56" s="381" t="s">
        <v>271</v>
      </c>
      <c r="I56" s="235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12"/>
      <c r="V56" s="212"/>
      <c r="W56" s="72">
        <v>5719</v>
      </c>
      <c r="X56" s="73" t="s">
        <v>241</v>
      </c>
    </row>
    <row r="57" spans="1:26" ht="21" customHeight="1">
      <c r="A57" s="45"/>
      <c r="B57" s="46"/>
      <c r="C57" s="46"/>
      <c r="D57" s="37">
        <v>0</v>
      </c>
      <c r="E57" s="48">
        <f>ROUND(W57/1000,0)</f>
        <v>0</v>
      </c>
      <c r="F57" s="38">
        <f t="shared" ref="F57" si="28">E57-D57</f>
        <v>0</v>
      </c>
      <c r="G57" s="39">
        <f t="shared" ref="G57" si="29">IF(D57=0,0,F57/D57)</f>
        <v>0</v>
      </c>
      <c r="H57" s="147" t="s">
        <v>243</v>
      </c>
      <c r="I57" s="166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734" t="s">
        <v>70</v>
      </c>
      <c r="V57" s="734"/>
      <c r="W57" s="149">
        <f>ROUNDUP(SUM(V58:W58),-3)</f>
        <v>0</v>
      </c>
      <c r="X57" s="150" t="s">
        <v>57</v>
      </c>
    </row>
    <row r="58" spans="1:26" ht="21" customHeight="1">
      <c r="A58" s="45"/>
      <c r="B58" s="46"/>
      <c r="C58" s="46"/>
      <c r="D58" s="48"/>
      <c r="E58" s="48"/>
      <c r="F58" s="49"/>
      <c r="G58" s="31"/>
      <c r="H58" s="380" t="s">
        <v>272</v>
      </c>
      <c r="I58" s="233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58"/>
      <c r="V58" s="258"/>
      <c r="W58" s="68">
        <v>0</v>
      </c>
      <c r="X58" s="57" t="s">
        <v>241</v>
      </c>
    </row>
    <row r="59" spans="1:26" ht="21" customHeight="1">
      <c r="A59" s="45"/>
      <c r="B59" s="46"/>
      <c r="C59" s="46"/>
      <c r="D59" s="61"/>
      <c r="E59" s="61"/>
      <c r="F59" s="62"/>
      <c r="G59" s="214"/>
      <c r="H59" s="71"/>
      <c r="I59" s="235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12"/>
      <c r="V59" s="212"/>
      <c r="W59" s="72"/>
      <c r="X59" s="73"/>
    </row>
    <row r="60" spans="1:26" ht="21" customHeight="1">
      <c r="A60" s="45"/>
      <c r="B60" s="46"/>
      <c r="C60" s="46"/>
      <c r="D60" s="37">
        <v>484</v>
      </c>
      <c r="E60" s="37">
        <f>ROUND(W60/1000,0)</f>
        <v>485</v>
      </c>
      <c r="F60" s="38">
        <f t="shared" ref="F60" si="30">E60-D60</f>
        <v>1</v>
      </c>
      <c r="G60" s="39">
        <f t="shared" ref="G60" si="31">IF(D60=0,0,F60/D60)</f>
        <v>2.0661157024793389E-3</v>
      </c>
      <c r="H60" s="147" t="s">
        <v>244</v>
      </c>
      <c r="I60" s="166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734" t="s">
        <v>70</v>
      </c>
      <c r="V60" s="734"/>
      <c r="W60" s="149">
        <f>ROUNDUP(SUM(V61:W62),-3)</f>
        <v>485000</v>
      </c>
      <c r="X60" s="150" t="s">
        <v>57</v>
      </c>
    </row>
    <row r="61" spans="1:26" ht="21" customHeight="1">
      <c r="A61" s="45"/>
      <c r="B61" s="46"/>
      <c r="C61" s="46"/>
      <c r="D61" s="48"/>
      <c r="E61" s="48"/>
      <c r="F61" s="49"/>
      <c r="G61" s="31"/>
      <c r="H61" s="380" t="s">
        <v>273</v>
      </c>
      <c r="I61" s="233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58"/>
      <c r="V61" s="258"/>
      <c r="W61" s="68">
        <v>484089</v>
      </c>
      <c r="X61" s="57" t="s">
        <v>241</v>
      </c>
    </row>
    <row r="62" spans="1:26" ht="21" customHeight="1">
      <c r="A62" s="45"/>
      <c r="B62" s="46"/>
      <c r="C62" s="46"/>
      <c r="D62" s="48"/>
      <c r="E62" s="48"/>
      <c r="F62" s="49"/>
      <c r="G62" s="31"/>
      <c r="H62" s="380" t="s">
        <v>274</v>
      </c>
      <c r="I62" s="233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58"/>
      <c r="V62" s="258"/>
      <c r="W62" s="68">
        <v>238</v>
      </c>
      <c r="X62" s="57" t="s">
        <v>241</v>
      </c>
    </row>
    <row r="63" spans="1:26" ht="21" customHeight="1">
      <c r="A63" s="45"/>
      <c r="B63" s="46"/>
      <c r="C63" s="46"/>
      <c r="D63" s="61"/>
      <c r="E63" s="61"/>
      <c r="F63" s="62"/>
      <c r="G63" s="214"/>
      <c r="H63" s="71"/>
      <c r="I63" s="235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12"/>
      <c r="V63" s="212"/>
      <c r="W63" s="72"/>
      <c r="X63" s="73"/>
    </row>
    <row r="64" spans="1:26" ht="21" customHeight="1">
      <c r="A64" s="45"/>
      <c r="B64" s="46"/>
      <c r="C64" s="46"/>
      <c r="D64" s="48">
        <v>0</v>
      </c>
      <c r="E64" s="37">
        <f>ROUND(W64/1000,0)</f>
        <v>0</v>
      </c>
      <c r="F64" s="38">
        <f t="shared" ref="F64" si="32">E64-D64</f>
        <v>0</v>
      </c>
      <c r="G64" s="39">
        <f t="shared" ref="G64" si="33">IF(D64=0,0,F64/D64)</f>
        <v>0</v>
      </c>
      <c r="H64" s="147" t="s">
        <v>245</v>
      </c>
      <c r="I64" s="166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734" t="s">
        <v>70</v>
      </c>
      <c r="V64" s="734"/>
      <c r="W64" s="149">
        <f>ROUND(SUM(V65:W66),-3)</f>
        <v>0</v>
      </c>
      <c r="X64" s="150" t="s">
        <v>57</v>
      </c>
    </row>
    <row r="65" spans="1:46" ht="21" customHeight="1">
      <c r="A65" s="45"/>
      <c r="B65" s="46"/>
      <c r="C65" s="46"/>
      <c r="D65" s="48"/>
      <c r="E65" s="48"/>
      <c r="F65" s="49"/>
      <c r="G65" s="31"/>
      <c r="H65" s="380" t="s">
        <v>275</v>
      </c>
      <c r="I65" s="233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58"/>
      <c r="V65" s="258"/>
      <c r="W65" s="68">
        <v>0</v>
      </c>
      <c r="X65" s="57" t="s">
        <v>241</v>
      </c>
    </row>
    <row r="66" spans="1:46" ht="21" customHeight="1">
      <c r="A66" s="45"/>
      <c r="B66" s="46"/>
      <c r="C66" s="46"/>
      <c r="D66" s="48"/>
      <c r="E66" s="48"/>
      <c r="F66" s="49"/>
      <c r="G66" s="31"/>
      <c r="H66" s="380" t="s">
        <v>276</v>
      </c>
      <c r="I66" s="233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58"/>
      <c r="V66" s="258"/>
      <c r="W66" s="68">
        <v>0</v>
      </c>
      <c r="X66" s="57" t="s">
        <v>241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67"/>
      <c r="I67" s="233"/>
      <c r="J67" s="232"/>
      <c r="K67" s="232"/>
      <c r="L67" s="232"/>
      <c r="M67" s="258"/>
      <c r="N67" s="74"/>
      <c r="O67" s="69"/>
      <c r="P67" s="74"/>
      <c r="Q67" s="79"/>
      <c r="R67" s="76"/>
      <c r="S67" s="76"/>
      <c r="T67" s="258"/>
      <c r="U67" s="232"/>
      <c r="V67" s="68"/>
      <c r="W67" s="68"/>
      <c r="X67" s="57"/>
    </row>
    <row r="68" spans="1:46" ht="21" customHeight="1">
      <c r="A68" s="45"/>
      <c r="B68" s="46"/>
      <c r="C68" s="36" t="s">
        <v>216</v>
      </c>
      <c r="D68" s="227">
        <f>D69</f>
        <v>968</v>
      </c>
      <c r="E68" s="227">
        <f>E69</f>
        <v>968</v>
      </c>
      <c r="F68" s="228">
        <f t="shared" ref="F68:F69" si="34">E68-D68</f>
        <v>0</v>
      </c>
      <c r="G68" s="229">
        <f t="shared" ref="G68:G69" si="35">IF(D68=0,0,F68/D68)</f>
        <v>0</v>
      </c>
      <c r="H68" s="215" t="s">
        <v>218</v>
      </c>
      <c r="I68" s="216"/>
      <c r="J68" s="217"/>
      <c r="K68" s="217"/>
      <c r="L68" s="217"/>
      <c r="M68" s="217"/>
      <c r="N68" s="217"/>
      <c r="O68" s="218"/>
      <c r="P68" s="218"/>
      <c r="Q68" s="218"/>
      <c r="R68" s="218"/>
      <c r="S68" s="218"/>
      <c r="T68" s="218"/>
      <c r="U68" s="245" t="s">
        <v>70</v>
      </c>
      <c r="V68" s="246"/>
      <c r="W68" s="246">
        <f>W69</f>
        <v>968000</v>
      </c>
      <c r="X68" s="279" t="s">
        <v>57</v>
      </c>
    </row>
    <row r="69" spans="1:46" ht="21" customHeight="1">
      <c r="A69" s="45"/>
      <c r="B69" s="46"/>
      <c r="C69" s="46" t="s">
        <v>217</v>
      </c>
      <c r="D69" s="48">
        <v>968</v>
      </c>
      <c r="E69" s="48">
        <f>ROUND(W69/1000,0)</f>
        <v>968</v>
      </c>
      <c r="F69" s="38">
        <f t="shared" si="34"/>
        <v>0</v>
      </c>
      <c r="G69" s="39">
        <f t="shared" si="35"/>
        <v>0</v>
      </c>
      <c r="H69" s="382" t="s">
        <v>277</v>
      </c>
      <c r="I69" s="166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734"/>
      <c r="V69" s="734"/>
      <c r="W69" s="149">
        <f>ROUNDUP(SUM(V70:W71),-3)</f>
        <v>968000</v>
      </c>
      <c r="X69" s="150" t="s">
        <v>57</v>
      </c>
    </row>
    <row r="70" spans="1:46" ht="21" customHeight="1">
      <c r="A70" s="45"/>
      <c r="B70" s="46"/>
      <c r="C70" s="46" t="s">
        <v>213</v>
      </c>
      <c r="D70" s="48"/>
      <c r="E70" s="48"/>
      <c r="F70" s="49"/>
      <c r="G70" s="70"/>
      <c r="H70" s="380" t="s">
        <v>278</v>
      </c>
      <c r="I70" s="233"/>
      <c r="J70" s="232"/>
      <c r="K70" s="232"/>
      <c r="L70" s="232"/>
      <c r="M70" s="232"/>
      <c r="N70" s="232"/>
      <c r="O70" s="232"/>
      <c r="P70" s="54"/>
      <c r="Q70" s="54"/>
      <c r="R70" s="54"/>
      <c r="S70" s="232"/>
      <c r="T70" s="232"/>
      <c r="U70" s="232"/>
      <c r="V70" s="68"/>
      <c r="W70" s="68">
        <v>966771</v>
      </c>
      <c r="X70" s="57" t="s">
        <v>140</v>
      </c>
    </row>
    <row r="71" spans="1:46" ht="21" customHeight="1">
      <c r="A71" s="45"/>
      <c r="B71" s="46"/>
      <c r="C71" s="46"/>
      <c r="D71" s="48"/>
      <c r="E71" s="48"/>
      <c r="F71" s="49"/>
      <c r="G71" s="70"/>
      <c r="H71" s="380" t="s">
        <v>730</v>
      </c>
      <c r="I71" s="391"/>
      <c r="J71" s="390"/>
      <c r="K71" s="390"/>
      <c r="L71" s="390"/>
      <c r="M71" s="390"/>
      <c r="N71" s="390"/>
      <c r="O71" s="390"/>
      <c r="P71" s="390"/>
      <c r="Q71" s="390"/>
      <c r="R71" s="390"/>
      <c r="S71" s="390"/>
      <c r="T71" s="390"/>
      <c r="U71" s="703"/>
      <c r="V71" s="703"/>
      <c r="W71" s="68">
        <v>1030</v>
      </c>
      <c r="X71" s="57" t="s">
        <v>57</v>
      </c>
    </row>
    <row r="72" spans="1:46" ht="21" customHeight="1">
      <c r="A72" s="45"/>
      <c r="B72" s="46"/>
      <c r="C72" s="46"/>
      <c r="D72" s="48"/>
      <c r="E72" s="48"/>
      <c r="F72" s="49"/>
      <c r="G72" s="70"/>
      <c r="H72" s="67"/>
      <c r="I72" s="233"/>
      <c r="J72" s="232"/>
      <c r="K72" s="232"/>
      <c r="L72" s="232"/>
      <c r="M72" s="232"/>
      <c r="N72" s="232"/>
      <c r="O72" s="232"/>
      <c r="P72" s="54"/>
      <c r="Q72" s="54"/>
      <c r="R72" s="54"/>
      <c r="S72" s="232"/>
      <c r="T72" s="232"/>
      <c r="U72" s="232"/>
      <c r="V72" s="68"/>
      <c r="W72" s="68"/>
      <c r="X72" s="57"/>
    </row>
    <row r="73" spans="1:46" ht="21" customHeight="1">
      <c r="A73" s="45"/>
      <c r="B73" s="46"/>
      <c r="C73" s="36" t="s">
        <v>219</v>
      </c>
      <c r="D73" s="227">
        <f>D74</f>
        <v>0</v>
      </c>
      <c r="E73" s="227">
        <f>E74</f>
        <v>0</v>
      </c>
      <c r="F73" s="228">
        <f t="shared" ref="F73:F74" si="36">E73-D73</f>
        <v>0</v>
      </c>
      <c r="G73" s="229">
        <f t="shared" ref="G73:G74" si="37">IF(D73=0,0,F73/D73)</f>
        <v>0</v>
      </c>
      <c r="H73" s="215" t="s">
        <v>221</v>
      </c>
      <c r="I73" s="216"/>
      <c r="J73" s="217"/>
      <c r="K73" s="217"/>
      <c r="L73" s="217"/>
      <c r="M73" s="217"/>
      <c r="N73" s="217"/>
      <c r="O73" s="218"/>
      <c r="P73" s="218"/>
      <c r="Q73" s="218"/>
      <c r="R73" s="218"/>
      <c r="S73" s="218"/>
      <c r="T73" s="218"/>
      <c r="U73" s="245" t="s">
        <v>70</v>
      </c>
      <c r="V73" s="246"/>
      <c r="W73" s="246">
        <f>ROUND(SUM(V74:W75),-3)</f>
        <v>0</v>
      </c>
      <c r="X73" s="279" t="s">
        <v>57</v>
      </c>
    </row>
    <row r="74" spans="1:46" ht="21" customHeight="1">
      <c r="A74" s="45"/>
      <c r="B74" s="46"/>
      <c r="C74" s="46" t="s">
        <v>220</v>
      </c>
      <c r="D74" s="48">
        <v>0</v>
      </c>
      <c r="E74" s="48">
        <f>ROUND(W74/1000,0)</f>
        <v>0</v>
      </c>
      <c r="F74" s="38">
        <f t="shared" si="36"/>
        <v>0</v>
      </c>
      <c r="G74" s="39">
        <f t="shared" si="37"/>
        <v>0</v>
      </c>
      <c r="H74" s="67"/>
      <c r="I74" s="233"/>
      <c r="J74" s="232"/>
      <c r="K74" s="232"/>
      <c r="L74" s="232"/>
      <c r="M74" s="258"/>
      <c r="N74" s="74"/>
      <c r="O74" s="69"/>
      <c r="P74" s="74"/>
      <c r="Q74" s="79"/>
      <c r="R74" s="76"/>
      <c r="S74" s="76"/>
      <c r="T74" s="258"/>
      <c r="U74" s="232"/>
      <c r="V74" s="68"/>
      <c r="W74" s="68">
        <f>L74*O74</f>
        <v>0</v>
      </c>
      <c r="X74" s="57" t="s">
        <v>57</v>
      </c>
    </row>
    <row r="75" spans="1:46" ht="21" customHeight="1">
      <c r="A75" s="58"/>
      <c r="B75" s="59"/>
      <c r="C75" s="59"/>
      <c r="D75" s="61"/>
      <c r="E75" s="61"/>
      <c r="F75" s="62"/>
      <c r="G75" s="84"/>
      <c r="H75" s="71"/>
      <c r="I75" s="235"/>
      <c r="J75" s="234"/>
      <c r="K75" s="234"/>
      <c r="L75" s="234"/>
      <c r="M75" s="234"/>
      <c r="N75" s="234"/>
      <c r="O75" s="234"/>
      <c r="P75" s="131"/>
      <c r="Q75" s="131"/>
      <c r="R75" s="131"/>
      <c r="S75" s="234"/>
      <c r="T75" s="234"/>
      <c r="U75" s="234"/>
      <c r="V75" s="72"/>
      <c r="W75" s="72">
        <v>0</v>
      </c>
      <c r="X75" s="73" t="s">
        <v>57</v>
      </c>
    </row>
    <row r="76" spans="1:46" ht="21" customHeight="1">
      <c r="A76" s="45" t="s">
        <v>76</v>
      </c>
      <c r="B76" s="87" t="s">
        <v>16</v>
      </c>
      <c r="C76" s="652" t="s">
        <v>252</v>
      </c>
      <c r="D76" s="260">
        <f>SUM(D77,D80,D88)</f>
        <v>18</v>
      </c>
      <c r="E76" s="260">
        <f>SUM(E77,E80,E88)</f>
        <v>13</v>
      </c>
      <c r="F76" s="261">
        <f t="shared" ref="F76:F78" si="38">E76-D76</f>
        <v>-5</v>
      </c>
      <c r="G76" s="262">
        <f t="shared" ref="G76:G78" si="39">IF(D76=0,0,F76/D76)</f>
        <v>-0.27777777777777779</v>
      </c>
      <c r="H76" s="263" t="s">
        <v>257</v>
      </c>
      <c r="I76" s="264"/>
      <c r="J76" s="265"/>
      <c r="K76" s="265"/>
      <c r="L76" s="264"/>
      <c r="M76" s="264"/>
      <c r="N76" s="264"/>
      <c r="O76" s="264"/>
      <c r="P76" s="264" t="s">
        <v>68</v>
      </c>
      <c r="Q76" s="266"/>
      <c r="R76" s="266"/>
      <c r="S76" s="266"/>
      <c r="T76" s="266"/>
      <c r="U76" s="266"/>
      <c r="V76" s="266"/>
      <c r="W76" s="276">
        <f>SUM(W77,W80,W88)</f>
        <v>13000</v>
      </c>
      <c r="X76" s="282" t="s">
        <v>247</v>
      </c>
    </row>
    <row r="77" spans="1:46" s="4" customFormat="1" ht="21" customHeight="1">
      <c r="A77" s="45"/>
      <c r="B77" s="96"/>
      <c r="C77" s="36" t="s">
        <v>222</v>
      </c>
      <c r="D77" s="227">
        <f>D78</f>
        <v>0</v>
      </c>
      <c r="E77" s="227">
        <f>E78</f>
        <v>0</v>
      </c>
      <c r="F77" s="228">
        <f t="shared" si="38"/>
        <v>0</v>
      </c>
      <c r="G77" s="229">
        <f t="shared" si="39"/>
        <v>0</v>
      </c>
      <c r="H77" s="215" t="s">
        <v>227</v>
      </c>
      <c r="I77" s="216"/>
      <c r="J77" s="217"/>
      <c r="K77" s="217"/>
      <c r="L77" s="217"/>
      <c r="M77" s="217"/>
      <c r="N77" s="217"/>
      <c r="O77" s="218"/>
      <c r="P77" s="218"/>
      <c r="Q77" s="218"/>
      <c r="R77" s="218"/>
      <c r="S77" s="218"/>
      <c r="T77" s="218"/>
      <c r="U77" s="245" t="s">
        <v>70</v>
      </c>
      <c r="V77" s="246"/>
      <c r="W77" s="247">
        <f>SUM(W78:W78)</f>
        <v>0</v>
      </c>
      <c r="X77" s="279" t="s">
        <v>57</v>
      </c>
      <c r="Y77" s="268"/>
      <c r="Z77" s="269"/>
      <c r="AA77" s="269"/>
      <c r="AB77" s="270"/>
      <c r="AC77" s="271"/>
      <c r="AD77" s="272"/>
      <c r="AE77" s="273"/>
      <c r="AF77" s="274"/>
      <c r="AG77" s="274"/>
      <c r="AH77" s="273"/>
      <c r="AI77" s="273"/>
      <c r="AJ77" s="273"/>
      <c r="AK77" s="273"/>
      <c r="AL77" s="273"/>
      <c r="AM77" s="272"/>
      <c r="AN77" s="272"/>
      <c r="AO77" s="272"/>
      <c r="AP77" s="272"/>
      <c r="AQ77" s="272"/>
      <c r="AR77" s="272"/>
      <c r="AS77" s="275"/>
      <c r="AT77" s="273"/>
    </row>
    <row r="78" spans="1:46" ht="21" customHeight="1">
      <c r="A78" s="60"/>
      <c r="B78" s="98"/>
      <c r="C78" s="46" t="s">
        <v>223</v>
      </c>
      <c r="D78" s="37">
        <v>0</v>
      </c>
      <c r="E78" s="48">
        <f>ROUND(W78/1000,0)</f>
        <v>0</v>
      </c>
      <c r="F78" s="38">
        <f t="shared" si="38"/>
        <v>0</v>
      </c>
      <c r="G78" s="39">
        <f t="shared" si="39"/>
        <v>0</v>
      </c>
      <c r="H78" s="147" t="s">
        <v>227</v>
      </c>
      <c r="I78" s="166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734" t="s">
        <v>70</v>
      </c>
      <c r="V78" s="734"/>
      <c r="W78" s="149">
        <f>SUM(W79:W79)</f>
        <v>0</v>
      </c>
      <c r="X78" s="150" t="s">
        <v>57</v>
      </c>
    </row>
    <row r="79" spans="1:46" s="11" customFormat="1" ht="19.5" customHeight="1">
      <c r="A79" s="60"/>
      <c r="B79" s="90"/>
      <c r="C79" s="46"/>
      <c r="D79" s="48"/>
      <c r="E79" s="48"/>
      <c r="F79" s="49"/>
      <c r="G79" s="31"/>
      <c r="H79" s="67"/>
      <c r="I79" s="233"/>
      <c r="J79" s="232"/>
      <c r="K79" s="232"/>
      <c r="L79" s="232"/>
      <c r="M79" s="258"/>
      <c r="N79" s="74"/>
      <c r="O79" s="69"/>
      <c r="P79" s="74"/>
      <c r="Q79" s="79"/>
      <c r="R79" s="76"/>
      <c r="S79" s="76"/>
      <c r="T79" s="258"/>
      <c r="U79" s="232"/>
      <c r="V79" s="68"/>
      <c r="W79" s="68">
        <f>L79*O79</f>
        <v>0</v>
      </c>
      <c r="X79" s="57" t="s">
        <v>57</v>
      </c>
      <c r="Y79" s="6"/>
    </row>
    <row r="80" spans="1:46" s="11" customFormat="1" ht="19.5" customHeight="1">
      <c r="A80" s="60"/>
      <c r="B80" s="90"/>
      <c r="C80" s="36" t="s">
        <v>224</v>
      </c>
      <c r="D80" s="227">
        <f>D81</f>
        <v>18</v>
      </c>
      <c r="E80" s="227">
        <f>E81</f>
        <v>13</v>
      </c>
      <c r="F80" s="228">
        <f t="shared" ref="F80:F81" si="40">E80-D80</f>
        <v>-5</v>
      </c>
      <c r="G80" s="229">
        <f t="shared" ref="G80:G81" si="41">IF(D80=0,0,F80/D80)</f>
        <v>-0.27777777777777779</v>
      </c>
      <c r="H80" s="215" t="s">
        <v>228</v>
      </c>
      <c r="I80" s="216"/>
      <c r="J80" s="217"/>
      <c r="K80" s="217"/>
      <c r="L80" s="217"/>
      <c r="M80" s="217"/>
      <c r="N80" s="217"/>
      <c r="O80" s="218"/>
      <c r="P80" s="218"/>
      <c r="Q80" s="218"/>
      <c r="R80" s="218"/>
      <c r="S80" s="218"/>
      <c r="T80" s="218"/>
      <c r="U80" s="245" t="s">
        <v>70</v>
      </c>
      <c r="V80" s="246"/>
      <c r="W80" s="246">
        <f>SUM(W81:W81)</f>
        <v>13000</v>
      </c>
      <c r="X80" s="279" t="s">
        <v>57</v>
      </c>
      <c r="Y80" s="6"/>
    </row>
    <row r="81" spans="1:25" s="11" customFormat="1" ht="19.5" customHeight="1">
      <c r="A81" s="60"/>
      <c r="B81" s="90"/>
      <c r="C81" s="46" t="s">
        <v>225</v>
      </c>
      <c r="D81" s="48">
        <v>18</v>
      </c>
      <c r="E81" s="48">
        <f>ROUND(W81/1000,0)</f>
        <v>13</v>
      </c>
      <c r="F81" s="38">
        <f t="shared" si="40"/>
        <v>-5</v>
      </c>
      <c r="G81" s="39">
        <f t="shared" si="41"/>
        <v>-0.27777777777777779</v>
      </c>
      <c r="H81" s="672" t="s">
        <v>479</v>
      </c>
      <c r="I81" s="187"/>
      <c r="J81" s="186"/>
      <c r="K81" s="186"/>
      <c r="L81" s="186"/>
      <c r="M81" s="186"/>
      <c r="N81" s="186"/>
      <c r="O81" s="186"/>
      <c r="P81" s="186" t="s">
        <v>477</v>
      </c>
      <c r="Q81" s="186"/>
      <c r="R81" s="186"/>
      <c r="S81" s="186"/>
      <c r="T81" s="186"/>
      <c r="U81" s="734" t="s">
        <v>70</v>
      </c>
      <c r="V81" s="734"/>
      <c r="W81" s="149">
        <f>SUM(W82:W86)</f>
        <v>13000</v>
      </c>
      <c r="X81" s="150" t="s">
        <v>57</v>
      </c>
      <c r="Y81" s="6"/>
    </row>
    <row r="82" spans="1:25" s="11" customFormat="1" ht="19.5" customHeight="1">
      <c r="A82" s="60"/>
      <c r="B82" s="90"/>
      <c r="C82" s="46" t="s">
        <v>185</v>
      </c>
      <c r="D82" s="48"/>
      <c r="E82" s="48"/>
      <c r="F82" s="49"/>
      <c r="G82" s="70"/>
      <c r="H82" s="638" t="s">
        <v>736</v>
      </c>
      <c r="I82" s="391"/>
      <c r="J82" s="390"/>
      <c r="K82" s="390"/>
      <c r="L82" s="390"/>
      <c r="M82" s="390"/>
      <c r="N82" s="390"/>
      <c r="O82" s="390"/>
      <c r="P82" s="390"/>
      <c r="Q82" s="390"/>
      <c r="R82" s="390"/>
      <c r="S82" s="390"/>
      <c r="T82" s="390"/>
      <c r="U82" s="390"/>
      <c r="V82" s="68"/>
      <c r="W82" s="68">
        <v>5000</v>
      </c>
      <c r="X82" s="57" t="s">
        <v>25</v>
      </c>
      <c r="Y82" s="6"/>
    </row>
    <row r="83" spans="1:25" s="11" customFormat="1" ht="19.5" customHeight="1">
      <c r="A83" s="60"/>
      <c r="B83" s="90"/>
      <c r="C83" s="46"/>
      <c r="D83" s="48"/>
      <c r="E83" s="48"/>
      <c r="F83" s="49"/>
      <c r="G83" s="70"/>
      <c r="H83" s="67" t="s">
        <v>737</v>
      </c>
      <c r="I83" s="391"/>
      <c r="J83" s="390"/>
      <c r="K83" s="390"/>
      <c r="L83" s="390"/>
      <c r="M83" s="390"/>
      <c r="N83" s="390"/>
      <c r="O83" s="390"/>
      <c r="P83" s="390"/>
      <c r="Q83" s="390"/>
      <c r="R83" s="390"/>
      <c r="S83" s="390"/>
      <c r="T83" s="390"/>
      <c r="U83" s="390"/>
      <c r="V83" s="68"/>
      <c r="W83" s="68">
        <v>1000</v>
      </c>
      <c r="X83" s="57" t="s">
        <v>738</v>
      </c>
      <c r="Y83" s="6"/>
    </row>
    <row r="84" spans="1:25" s="11" customFormat="1" ht="19.5" customHeight="1">
      <c r="A84" s="60"/>
      <c r="B84" s="90"/>
      <c r="C84" s="46"/>
      <c r="D84" s="48"/>
      <c r="E84" s="48"/>
      <c r="F84" s="49"/>
      <c r="G84" s="70"/>
      <c r="H84" s="67" t="s">
        <v>739</v>
      </c>
      <c r="I84" s="391"/>
      <c r="J84" s="390"/>
      <c r="K84" s="390"/>
      <c r="L84" s="390"/>
      <c r="M84" s="390"/>
      <c r="N84" s="390"/>
      <c r="O84" s="390"/>
      <c r="P84" s="390"/>
      <c r="Q84" s="390"/>
      <c r="R84" s="390"/>
      <c r="S84" s="390"/>
      <c r="T84" s="390"/>
      <c r="U84" s="390"/>
      <c r="V84" s="68"/>
      <c r="W84" s="68">
        <v>4000</v>
      </c>
      <c r="X84" s="57" t="s">
        <v>738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 t="s">
        <v>740</v>
      </c>
      <c r="I85" s="391"/>
      <c r="J85" s="390"/>
      <c r="K85" s="390"/>
      <c r="L85" s="390"/>
      <c r="M85" s="390"/>
      <c r="N85" s="390"/>
      <c r="O85" s="390"/>
      <c r="P85" s="390"/>
      <c r="Q85" s="390"/>
      <c r="R85" s="390"/>
      <c r="S85" s="390"/>
      <c r="T85" s="390"/>
      <c r="U85" s="390"/>
      <c r="V85" s="68"/>
      <c r="W85" s="68">
        <v>1000</v>
      </c>
      <c r="X85" s="57" t="s">
        <v>25</v>
      </c>
      <c r="Y85" s="6"/>
    </row>
    <row r="86" spans="1:25" s="11" customFormat="1" ht="19.5" customHeight="1">
      <c r="A86" s="60"/>
      <c r="B86" s="90"/>
      <c r="C86" s="46"/>
      <c r="D86" s="48"/>
      <c r="E86" s="48"/>
      <c r="F86" s="49"/>
      <c r="G86" s="70"/>
      <c r="H86" s="67" t="s">
        <v>741</v>
      </c>
      <c r="I86" s="390"/>
      <c r="J86" s="390"/>
      <c r="K86" s="390"/>
      <c r="L86" s="390"/>
      <c r="M86" s="390"/>
      <c r="N86" s="390"/>
      <c r="O86" s="390"/>
      <c r="P86" s="733"/>
      <c r="Q86" s="733"/>
      <c r="R86" s="390"/>
      <c r="S86" s="390"/>
      <c r="T86" s="390"/>
      <c r="U86" s="390"/>
      <c r="V86" s="390"/>
      <c r="W86" s="390">
        <v>2000</v>
      </c>
      <c r="X86" s="57" t="s">
        <v>25</v>
      </c>
      <c r="Y86" s="6"/>
    </row>
    <row r="87" spans="1:25" s="11" customFormat="1" ht="19.5" customHeight="1">
      <c r="A87" s="60"/>
      <c r="B87" s="90"/>
      <c r="C87" s="46"/>
      <c r="D87" s="48"/>
      <c r="E87" s="48"/>
      <c r="F87" s="49"/>
      <c r="G87" s="70"/>
      <c r="H87" s="67"/>
      <c r="I87" s="233"/>
      <c r="J87" s="232"/>
      <c r="K87" s="232"/>
      <c r="L87" s="232"/>
      <c r="M87" s="232"/>
      <c r="N87" s="232"/>
      <c r="O87" s="232"/>
      <c r="P87" s="54"/>
      <c r="Q87" s="54"/>
      <c r="R87" s="54"/>
      <c r="S87" s="232"/>
      <c r="T87" s="232"/>
      <c r="U87" s="232"/>
      <c r="V87" s="68"/>
      <c r="W87" s="68"/>
      <c r="X87" s="57"/>
      <c r="Y87" s="6"/>
    </row>
    <row r="88" spans="1:25" s="11" customFormat="1" ht="19.5" customHeight="1">
      <c r="A88" s="60"/>
      <c r="B88" s="90"/>
      <c r="C88" s="36" t="s">
        <v>197</v>
      </c>
      <c r="D88" s="227">
        <f>D89</f>
        <v>0</v>
      </c>
      <c r="E88" s="227">
        <f>E89</f>
        <v>0</v>
      </c>
      <c r="F88" s="228">
        <f t="shared" ref="F88:F89" si="42">E88-D88</f>
        <v>0</v>
      </c>
      <c r="G88" s="229">
        <f t="shared" ref="G88:G89" si="43">IF(D88=0,0,F88/D88)</f>
        <v>0</v>
      </c>
      <c r="H88" s="215" t="s">
        <v>246</v>
      </c>
      <c r="I88" s="216"/>
      <c r="J88" s="217"/>
      <c r="K88" s="217"/>
      <c r="L88" s="217"/>
      <c r="M88" s="217"/>
      <c r="N88" s="217"/>
      <c r="O88" s="218"/>
      <c r="P88" s="218"/>
      <c r="Q88" s="218"/>
      <c r="R88" s="218"/>
      <c r="S88" s="218"/>
      <c r="T88" s="218"/>
      <c r="U88" s="245" t="s">
        <v>248</v>
      </c>
      <c r="V88" s="246"/>
      <c r="W88" s="246">
        <f>SUM(W89:W89)</f>
        <v>0</v>
      </c>
      <c r="X88" s="279" t="s">
        <v>247</v>
      </c>
      <c r="Y88" s="6"/>
    </row>
    <row r="89" spans="1:25" s="11" customFormat="1" ht="19.5" customHeight="1">
      <c r="A89" s="60"/>
      <c r="B89" s="90"/>
      <c r="C89" s="46" t="s">
        <v>226</v>
      </c>
      <c r="D89" s="48">
        <v>0</v>
      </c>
      <c r="E89" s="48">
        <f>ROUND(W89/1000,0)</f>
        <v>0</v>
      </c>
      <c r="F89" s="38">
        <f t="shared" si="42"/>
        <v>0</v>
      </c>
      <c r="G89" s="39">
        <f t="shared" si="43"/>
        <v>0</v>
      </c>
      <c r="H89" s="97" t="s">
        <v>476</v>
      </c>
      <c r="I89" s="191"/>
      <c r="J89" s="190"/>
      <c r="K89" s="190"/>
      <c r="L89" s="190"/>
      <c r="M89" s="190"/>
      <c r="N89" s="190"/>
      <c r="O89" s="190"/>
      <c r="P89" s="190" t="s">
        <v>477</v>
      </c>
      <c r="Q89" s="190"/>
      <c r="R89" s="190"/>
      <c r="S89" s="190"/>
      <c r="T89" s="190"/>
      <c r="U89" s="734" t="s">
        <v>70</v>
      </c>
      <c r="V89" s="734"/>
      <c r="W89" s="149">
        <f>SUM(W90:W90)</f>
        <v>0</v>
      </c>
      <c r="X89" s="150" t="s">
        <v>57</v>
      </c>
      <c r="Y89" s="6"/>
    </row>
    <row r="90" spans="1:25" s="11" customFormat="1" ht="19.5" customHeight="1">
      <c r="A90" s="60"/>
      <c r="B90" s="90"/>
      <c r="C90" s="46"/>
      <c r="D90" s="48"/>
      <c r="E90" s="48"/>
      <c r="F90" s="49"/>
      <c r="G90" s="31"/>
      <c r="H90" s="638" t="s">
        <v>478</v>
      </c>
      <c r="I90" s="391"/>
      <c r="J90" s="390"/>
      <c r="K90" s="390"/>
      <c r="L90" s="390"/>
      <c r="M90" s="390"/>
      <c r="N90" s="390"/>
      <c r="O90" s="390"/>
      <c r="P90" s="390"/>
      <c r="Q90" s="390"/>
      <c r="R90" s="390"/>
      <c r="S90" s="390"/>
      <c r="T90" s="390"/>
      <c r="U90" s="390"/>
      <c r="V90" s="68"/>
      <c r="W90" s="68">
        <v>0</v>
      </c>
      <c r="X90" s="57" t="s">
        <v>25</v>
      </c>
      <c r="Y90" s="6"/>
    </row>
    <row r="91" spans="1:25" s="11" customFormat="1" ht="19.5" customHeight="1" thickBot="1">
      <c r="A91" s="100"/>
      <c r="B91" s="101"/>
      <c r="C91" s="101"/>
      <c r="D91" s="103"/>
      <c r="E91" s="103"/>
      <c r="F91" s="104"/>
      <c r="G91" s="105"/>
      <c r="H91" s="63"/>
      <c r="I91" s="65"/>
      <c r="J91" s="65"/>
      <c r="K91" s="65"/>
      <c r="L91" s="65"/>
      <c r="M91" s="65"/>
      <c r="N91" s="64"/>
      <c r="O91" s="65"/>
      <c r="P91" s="64"/>
      <c r="Q91" s="64"/>
      <c r="R91" s="65"/>
      <c r="S91" s="65"/>
      <c r="T91" s="106"/>
      <c r="U91" s="106"/>
      <c r="V91" s="64"/>
      <c r="W91" s="65"/>
      <c r="X91" s="66"/>
      <c r="Y91" s="6"/>
    </row>
    <row r="92" spans="1:25" s="11" customFormat="1" ht="19.5" customHeight="1">
      <c r="A92" s="7"/>
      <c r="B92" s="7"/>
      <c r="C92" s="7"/>
      <c r="D92" s="9"/>
      <c r="E92" s="9"/>
      <c r="F92" s="10"/>
      <c r="G92" s="12"/>
      <c r="H92" s="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6"/>
    </row>
    <row r="103" spans="25:25" ht="19.5" customHeight="1">
      <c r="Y103" s="6" t="s">
        <v>65</v>
      </c>
    </row>
  </sheetData>
  <mergeCells count="24">
    <mergeCell ref="U81:V81"/>
    <mergeCell ref="U34:V34"/>
    <mergeCell ref="U31:V31"/>
    <mergeCell ref="U49:V49"/>
    <mergeCell ref="U57:V57"/>
    <mergeCell ref="U69:V69"/>
    <mergeCell ref="U60:V60"/>
    <mergeCell ref="U64:V64"/>
    <mergeCell ref="P86:Q86"/>
    <mergeCell ref="U89:V89"/>
    <mergeCell ref="A1:E1"/>
    <mergeCell ref="U17:V17"/>
    <mergeCell ref="U18:V18"/>
    <mergeCell ref="A2:C2"/>
    <mergeCell ref="D2:D3"/>
    <mergeCell ref="A4:C4"/>
    <mergeCell ref="U54:V54"/>
    <mergeCell ref="U78:V78"/>
    <mergeCell ref="E2:E3"/>
    <mergeCell ref="U39:V39"/>
    <mergeCell ref="F2:G2"/>
    <mergeCell ref="H2:X3"/>
    <mergeCell ref="U29:V29"/>
    <mergeCell ref="U46:V46"/>
  </mergeCells>
  <phoneticPr fontId="9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35"/>
  <sheetViews>
    <sheetView zoomScale="85" zoomScaleNormal="85" workbookViewId="0">
      <pane xSplit="3" ySplit="5" topLeftCell="D147" activePane="bottomRight" state="frozen"/>
      <selection pane="topRight" activeCell="D1" sqref="D1"/>
      <selection pane="bottomLeft" activeCell="A6" sqref="A6"/>
      <selection pane="bottomRight" activeCell="D4" sqref="D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7.5546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4.554687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35" t="s">
        <v>594</v>
      </c>
      <c r="B1" s="735"/>
      <c r="C1" s="735"/>
      <c r="D1" s="735"/>
      <c r="E1" s="107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36" t="s">
        <v>22</v>
      </c>
      <c r="B2" s="737"/>
      <c r="C2" s="737"/>
      <c r="D2" s="767" t="s">
        <v>595</v>
      </c>
      <c r="E2" s="767" t="s">
        <v>596</v>
      </c>
      <c r="F2" s="769"/>
      <c r="G2" s="769"/>
      <c r="H2" s="769"/>
      <c r="I2" s="769"/>
      <c r="J2" s="769"/>
      <c r="K2" s="769"/>
      <c r="L2" s="770"/>
      <c r="M2" s="742" t="s">
        <v>23</v>
      </c>
      <c r="N2" s="742"/>
      <c r="O2" s="753" t="s">
        <v>54</v>
      </c>
      <c r="P2" s="754"/>
      <c r="Q2" s="754"/>
      <c r="R2" s="754"/>
      <c r="S2" s="754"/>
      <c r="T2" s="754"/>
      <c r="U2" s="754"/>
      <c r="V2" s="754"/>
      <c r="W2" s="754"/>
      <c r="X2" s="754"/>
      <c r="Y2" s="754"/>
      <c r="Z2" s="754"/>
      <c r="AA2" s="754"/>
      <c r="AB2" s="754"/>
      <c r="AC2" s="754"/>
      <c r="AD2" s="754"/>
      <c r="AE2" s="755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68"/>
      <c r="E3" s="153" t="s">
        <v>133</v>
      </c>
      <c r="F3" s="184" t="s">
        <v>509</v>
      </c>
      <c r="G3" s="184" t="s">
        <v>508</v>
      </c>
      <c r="H3" s="184" t="s">
        <v>510</v>
      </c>
      <c r="I3" s="153" t="s">
        <v>63</v>
      </c>
      <c r="J3" s="153" t="s">
        <v>129</v>
      </c>
      <c r="K3" s="153" t="s">
        <v>131</v>
      </c>
      <c r="L3" s="153" t="s">
        <v>64</v>
      </c>
      <c r="M3" s="152" t="s">
        <v>134</v>
      </c>
      <c r="N3" s="108" t="s">
        <v>4</v>
      </c>
      <c r="O3" s="756"/>
      <c r="P3" s="757"/>
      <c r="Q3" s="757"/>
      <c r="R3" s="757"/>
      <c r="S3" s="757"/>
      <c r="T3" s="757"/>
      <c r="U3" s="757"/>
      <c r="V3" s="757"/>
      <c r="W3" s="757"/>
      <c r="X3" s="757"/>
      <c r="Y3" s="757"/>
      <c r="Z3" s="757"/>
      <c r="AA3" s="757"/>
      <c r="AB3" s="757"/>
      <c r="AC3" s="757"/>
      <c r="AD3" s="757"/>
      <c r="AE3" s="758"/>
    </row>
    <row r="4" spans="1:32" s="11" customFormat="1" ht="21" customHeight="1">
      <c r="A4" s="765" t="s">
        <v>31</v>
      </c>
      <c r="B4" s="766"/>
      <c r="C4" s="766"/>
      <c r="D4" s="408">
        <f t="shared" ref="D4:L4" si="0">SUM(D5,D116,D130,D205,D215,D218)</f>
        <v>65524</v>
      </c>
      <c r="E4" s="408">
        <f t="shared" si="0"/>
        <v>67360.850000000006</v>
      </c>
      <c r="F4" s="408">
        <f t="shared" si="0"/>
        <v>51424.85</v>
      </c>
      <c r="G4" s="408">
        <f t="shared" si="0"/>
        <v>1200</v>
      </c>
      <c r="H4" s="408">
        <f t="shared" si="0"/>
        <v>240</v>
      </c>
      <c r="I4" s="408">
        <f t="shared" si="0"/>
        <v>2870</v>
      </c>
      <c r="J4" s="408">
        <f t="shared" si="0"/>
        <v>11139</v>
      </c>
      <c r="K4" s="408">
        <f t="shared" si="0"/>
        <v>486</v>
      </c>
      <c r="L4" s="408">
        <f t="shared" si="0"/>
        <v>1</v>
      </c>
      <c r="M4" s="409">
        <f>E4-D4</f>
        <v>1836.8500000000058</v>
      </c>
      <c r="N4" s="410">
        <f>IF(D4=0,0,M4/D4)</f>
        <v>2.8033239728954364E-2</v>
      </c>
      <c r="O4" s="411" t="s">
        <v>291</v>
      </c>
      <c r="P4" s="412"/>
      <c r="Q4" s="412"/>
      <c r="R4" s="412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>
        <f>SUM(AD5,AD116,AD130,AD205,AD215,AD218)</f>
        <v>67360900</v>
      </c>
      <c r="AE4" s="414" t="s">
        <v>25</v>
      </c>
      <c r="AF4" s="2"/>
    </row>
    <row r="5" spans="1:32" s="11" customFormat="1" ht="21" customHeight="1">
      <c r="A5" s="112" t="s">
        <v>6</v>
      </c>
      <c r="B5" s="763" t="s">
        <v>7</v>
      </c>
      <c r="C5" s="764"/>
      <c r="D5" s="415">
        <f>SUM(D6,D63,D72)</f>
        <v>45675</v>
      </c>
      <c r="E5" s="415">
        <f t="shared" ref="E5:L5" si="1">SUM(E6,E63,E72)</f>
        <v>46514.720000000001</v>
      </c>
      <c r="F5" s="415">
        <f t="shared" si="1"/>
        <v>41385.32</v>
      </c>
      <c r="G5" s="415">
        <f t="shared" si="1"/>
        <v>1200</v>
      </c>
      <c r="H5" s="415">
        <f t="shared" si="1"/>
        <v>240</v>
      </c>
      <c r="I5" s="415">
        <f t="shared" si="1"/>
        <v>389.4</v>
      </c>
      <c r="J5" s="415">
        <f t="shared" si="1"/>
        <v>3300</v>
      </c>
      <c r="K5" s="415">
        <f t="shared" si="1"/>
        <v>0</v>
      </c>
      <c r="L5" s="415">
        <f t="shared" si="1"/>
        <v>0</v>
      </c>
      <c r="M5" s="416">
        <f>E5-D5</f>
        <v>839.72000000000116</v>
      </c>
      <c r="N5" s="417">
        <f>IF(D5=0,0,M5/D5)</f>
        <v>1.838467432950194E-2</v>
      </c>
      <c r="O5" s="418" t="s">
        <v>292</v>
      </c>
      <c r="P5" s="418"/>
      <c r="Q5" s="418"/>
      <c r="R5" s="418"/>
      <c r="S5" s="419"/>
      <c r="T5" s="419"/>
      <c r="U5" s="419"/>
      <c r="V5" s="419"/>
      <c r="W5" s="419"/>
      <c r="X5" s="419"/>
      <c r="Y5" s="419"/>
      <c r="Z5" s="419"/>
      <c r="AA5" s="419"/>
      <c r="AB5" s="419"/>
      <c r="AC5" s="419"/>
      <c r="AD5" s="419">
        <f>SUM(AD6,AD63,AD72)</f>
        <v>46514900</v>
      </c>
      <c r="AE5" s="420" t="s">
        <v>25</v>
      </c>
      <c r="AF5" s="2"/>
    </row>
    <row r="6" spans="1:32" s="11" customFormat="1" ht="21" customHeight="1">
      <c r="A6" s="45"/>
      <c r="B6" s="36" t="s">
        <v>8</v>
      </c>
      <c r="C6" s="421" t="s">
        <v>5</v>
      </c>
      <c r="D6" s="631">
        <f t="shared" ref="D6:L6" si="2">SUM(D7,D11,D14,D32,D36,D58)</f>
        <v>38284</v>
      </c>
      <c r="E6" s="422">
        <f t="shared" si="2"/>
        <v>38563.72</v>
      </c>
      <c r="F6" s="422">
        <f t="shared" si="2"/>
        <v>36694.32</v>
      </c>
      <c r="G6" s="422">
        <f t="shared" si="2"/>
        <v>1200</v>
      </c>
      <c r="H6" s="422">
        <f t="shared" si="2"/>
        <v>240</v>
      </c>
      <c r="I6" s="422">
        <f t="shared" si="2"/>
        <v>389.4</v>
      </c>
      <c r="J6" s="422">
        <f t="shared" si="2"/>
        <v>40</v>
      </c>
      <c r="K6" s="422">
        <f t="shared" si="2"/>
        <v>0</v>
      </c>
      <c r="L6" s="422">
        <f t="shared" si="2"/>
        <v>0</v>
      </c>
      <c r="M6" s="423">
        <f>E6-D6</f>
        <v>279.72000000000116</v>
      </c>
      <c r="N6" s="424">
        <f>IF(D6=0,0,M6/D6)</f>
        <v>7.3064465573085668E-3</v>
      </c>
      <c r="O6" s="425" t="s">
        <v>293</v>
      </c>
      <c r="P6" s="425"/>
      <c r="Q6" s="425"/>
      <c r="R6" s="425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>
        <f>SUM(AD7,AD11,AD14,AD32,AD36,AD58)</f>
        <v>38563900</v>
      </c>
      <c r="AE6" s="427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24504</v>
      </c>
      <c r="E7" s="114">
        <f>SUM(F7:L7)</f>
        <v>24504</v>
      </c>
      <c r="F7" s="114">
        <f>AD7/1000</f>
        <v>24504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3">
        <f>E7-D7</f>
        <v>0</v>
      </c>
      <c r="N7" s="295">
        <f>IF(D7=0,0,M7/D7)</f>
        <v>0</v>
      </c>
      <c r="O7" s="116" t="s">
        <v>78</v>
      </c>
      <c r="P7" s="116"/>
      <c r="Q7" s="159"/>
      <c r="R7" s="159"/>
      <c r="S7" s="159"/>
      <c r="T7" s="158"/>
      <c r="U7" s="158"/>
      <c r="V7" s="158"/>
      <c r="W7" s="99" t="s">
        <v>135</v>
      </c>
      <c r="X7" s="99"/>
      <c r="Y7" s="99"/>
      <c r="Z7" s="99"/>
      <c r="AA7" s="99"/>
      <c r="AB7" s="99"/>
      <c r="AC7" s="118"/>
      <c r="AD7" s="118">
        <f>SUM(AD8:AD9)</f>
        <v>24504000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391" t="s">
        <v>629</v>
      </c>
      <c r="P8" s="32"/>
      <c r="Q8" s="32"/>
      <c r="R8" s="391" t="s">
        <v>481</v>
      </c>
      <c r="S8" s="676">
        <v>1962000</v>
      </c>
      <c r="T8" s="390" t="s">
        <v>482</v>
      </c>
      <c r="U8" s="291" t="s">
        <v>58</v>
      </c>
      <c r="V8" s="390">
        <v>2</v>
      </c>
      <c r="W8" s="390" t="s">
        <v>483</v>
      </c>
      <c r="X8" s="390"/>
      <c r="Y8" s="390"/>
      <c r="Z8" s="390" t="s">
        <v>484</v>
      </c>
      <c r="AA8" s="390"/>
      <c r="AB8" s="390" t="s">
        <v>485</v>
      </c>
      <c r="AC8" s="68"/>
      <c r="AD8" s="68">
        <f>S8*V8</f>
        <v>3924000</v>
      </c>
      <c r="AE8" s="57" t="s">
        <v>482</v>
      </c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294"/>
      <c r="P9" s="291"/>
      <c r="Q9" s="291"/>
      <c r="R9" s="391" t="s">
        <v>630</v>
      </c>
      <c r="S9" s="550">
        <v>2058000</v>
      </c>
      <c r="T9" s="289" t="s">
        <v>482</v>
      </c>
      <c r="U9" s="291" t="s">
        <v>58</v>
      </c>
      <c r="V9" s="289">
        <v>10</v>
      </c>
      <c r="W9" s="289" t="s">
        <v>483</v>
      </c>
      <c r="X9" s="289"/>
      <c r="Y9" s="289"/>
      <c r="Z9" s="289" t="s">
        <v>484</v>
      </c>
      <c r="AA9" s="289"/>
      <c r="AB9" s="289" t="s">
        <v>485</v>
      </c>
      <c r="AC9" s="292"/>
      <c r="AD9" s="292">
        <f>S9*V9</f>
        <v>20580000</v>
      </c>
      <c r="AE9" s="398" t="s">
        <v>482</v>
      </c>
      <c r="AF9" s="2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50"/>
      <c r="P10" s="50"/>
      <c r="Q10" s="50"/>
      <c r="R10" s="50"/>
      <c r="S10" s="50"/>
      <c r="T10" s="51"/>
      <c r="U10" s="51"/>
      <c r="V10" s="154"/>
      <c r="W10" s="154"/>
      <c r="X10" s="154"/>
      <c r="Y10" s="154"/>
      <c r="Z10" s="154"/>
      <c r="AA10" s="154"/>
      <c r="AB10" s="154"/>
      <c r="AC10" s="72"/>
      <c r="AD10" s="72"/>
      <c r="AE10" s="73"/>
      <c r="AF10" s="1"/>
    </row>
    <row r="11" spans="1:32" s="11" customFormat="1" ht="21" customHeight="1">
      <c r="A11" s="45"/>
      <c r="B11" s="46"/>
      <c r="C11" s="36" t="s">
        <v>77</v>
      </c>
      <c r="D11" s="162">
        <v>0</v>
      </c>
      <c r="E11" s="114">
        <f>SUM(F11:L11)</f>
        <v>240</v>
      </c>
      <c r="F11" s="114">
        <v>0</v>
      </c>
      <c r="G11" s="114">
        <v>0</v>
      </c>
      <c r="H11" s="114">
        <f>AD12/1000</f>
        <v>240</v>
      </c>
      <c r="I11" s="114">
        <v>0</v>
      </c>
      <c r="J11" s="114">
        <v>0</v>
      </c>
      <c r="K11" s="114">
        <v>0</v>
      </c>
      <c r="L11" s="114">
        <v>0</v>
      </c>
      <c r="M11" s="123">
        <f>E11-D11</f>
        <v>240</v>
      </c>
      <c r="N11" s="121">
        <f>IF(D11=0,0,M11/D11)</f>
        <v>0</v>
      </c>
      <c r="O11" s="97" t="s">
        <v>80</v>
      </c>
      <c r="P11" s="177"/>
      <c r="Q11" s="93"/>
      <c r="R11" s="93"/>
      <c r="S11" s="93"/>
      <c r="T11" s="89"/>
      <c r="U11" s="89"/>
      <c r="V11" s="158"/>
      <c r="W11" s="99" t="s">
        <v>135</v>
      </c>
      <c r="X11" s="99"/>
      <c r="Y11" s="99"/>
      <c r="Z11" s="99"/>
      <c r="AA11" s="99"/>
      <c r="AB11" s="99"/>
      <c r="AC11" s="118"/>
      <c r="AD11" s="118">
        <f>SUM(AD12)</f>
        <v>240000</v>
      </c>
      <c r="AE11" s="119" t="s">
        <v>57</v>
      </c>
      <c r="AF11" s="1"/>
    </row>
    <row r="12" spans="1:32" s="11" customFormat="1" ht="21" customHeight="1">
      <c r="A12" s="45"/>
      <c r="B12" s="46"/>
      <c r="C12" s="46"/>
      <c r="D12" s="160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673" t="s">
        <v>500</v>
      </c>
      <c r="P12" s="81"/>
      <c r="Q12" s="50"/>
      <c r="R12" s="50"/>
      <c r="S12" s="125">
        <v>80000</v>
      </c>
      <c r="T12" s="125" t="s">
        <v>57</v>
      </c>
      <c r="U12" s="126" t="s">
        <v>58</v>
      </c>
      <c r="V12" s="125">
        <v>1</v>
      </c>
      <c r="W12" s="125" t="s">
        <v>56</v>
      </c>
      <c r="X12" s="126" t="s">
        <v>58</v>
      </c>
      <c r="Y12" s="393">
        <v>3</v>
      </c>
      <c r="Z12" s="91" t="s">
        <v>101</v>
      </c>
      <c r="AA12" s="91" t="s">
        <v>53</v>
      </c>
      <c r="AB12" s="390" t="s">
        <v>647</v>
      </c>
      <c r="AC12" s="68"/>
      <c r="AD12" s="135">
        <f>S12*V12*Y12</f>
        <v>240000</v>
      </c>
      <c r="AE12" s="57" t="s">
        <v>79</v>
      </c>
      <c r="AF12" s="1"/>
    </row>
    <row r="13" spans="1:32" s="11" customFormat="1" ht="21" customHeight="1">
      <c r="A13" s="45"/>
      <c r="B13" s="46"/>
      <c r="C13" s="46"/>
      <c r="D13" s="160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50"/>
      <c r="P13" s="50"/>
      <c r="Q13" s="50"/>
      <c r="R13" s="50"/>
      <c r="S13" s="51"/>
      <c r="T13" s="51"/>
      <c r="U13" s="50"/>
      <c r="V13" s="51"/>
      <c r="W13" s="51"/>
      <c r="X13" s="50"/>
      <c r="Y13" s="92"/>
      <c r="Z13" s="51"/>
      <c r="AA13" s="51"/>
      <c r="AB13" s="51"/>
      <c r="AC13" s="68"/>
      <c r="AD13" s="51"/>
      <c r="AE13" s="57"/>
      <c r="AF13" s="1"/>
    </row>
    <row r="14" spans="1:32" s="11" customFormat="1" ht="21" customHeight="1">
      <c r="A14" s="45"/>
      <c r="B14" s="46"/>
      <c r="C14" s="36" t="s">
        <v>33</v>
      </c>
      <c r="D14" s="162">
        <v>8009</v>
      </c>
      <c r="E14" s="114">
        <f>SUM(F14:L14)</f>
        <v>8008.5</v>
      </c>
      <c r="F14" s="114">
        <f>SUM(AD15,AD19,AD24:AD25)/1000</f>
        <v>6642</v>
      </c>
      <c r="G14" s="114">
        <f>AD28/1000</f>
        <v>1200</v>
      </c>
      <c r="H14" s="114">
        <v>0</v>
      </c>
      <c r="I14" s="114">
        <f>AD26/1000</f>
        <v>166.5</v>
      </c>
      <c r="J14" s="114">
        <v>0</v>
      </c>
      <c r="K14" s="114">
        <v>0</v>
      </c>
      <c r="L14" s="114">
        <v>0</v>
      </c>
      <c r="M14" s="123">
        <f>E14-D14</f>
        <v>-0.5</v>
      </c>
      <c r="N14" s="121">
        <f>IF(D14=0,0,M14/D14)</f>
        <v>-6.2429766512673248E-5</v>
      </c>
      <c r="O14" s="97" t="s">
        <v>34</v>
      </c>
      <c r="P14" s="177"/>
      <c r="Q14" s="93"/>
      <c r="R14" s="93"/>
      <c r="S14" s="93"/>
      <c r="T14" s="89"/>
      <c r="U14" s="89"/>
      <c r="V14" s="89"/>
      <c r="W14" s="178" t="s">
        <v>135</v>
      </c>
      <c r="X14" s="178"/>
      <c r="Y14" s="178"/>
      <c r="Z14" s="178"/>
      <c r="AA14" s="178"/>
      <c r="AB14" s="178"/>
      <c r="AC14" s="180"/>
      <c r="AD14" s="180">
        <f>SUM(명절휴가비,가족수당,연장근로수당,AD28)</f>
        <v>8009000</v>
      </c>
      <c r="AE14" s="179" t="s">
        <v>57</v>
      </c>
      <c r="AF14" s="1"/>
    </row>
    <row r="15" spans="1:32" s="11" customFormat="1" ht="21" customHeight="1">
      <c r="A15" s="45"/>
      <c r="B15" s="46"/>
      <c r="C15" s="46"/>
      <c r="D15" s="160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537" t="s">
        <v>357</v>
      </c>
      <c r="P15" s="291"/>
      <c r="Q15" s="291"/>
      <c r="R15" s="291"/>
      <c r="S15" s="291"/>
      <c r="T15" s="289"/>
      <c r="U15" s="289"/>
      <c r="V15" s="289"/>
      <c r="W15" s="449" t="s">
        <v>356</v>
      </c>
      <c r="X15" s="449"/>
      <c r="Y15" s="449"/>
      <c r="Z15" s="449"/>
      <c r="AA15" s="449"/>
      <c r="AB15" s="449"/>
      <c r="AC15" s="450" t="s">
        <v>358</v>
      </c>
      <c r="AD15" s="450">
        <f>ROUNDUP(SUM(AD16:AD17),-3)</f>
        <v>2412000</v>
      </c>
      <c r="AE15" s="451" t="s">
        <v>350</v>
      </c>
      <c r="AF15" s="17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291" t="s">
        <v>629</v>
      </c>
      <c r="P16" s="291"/>
      <c r="Q16" s="291"/>
      <c r="R16" s="391" t="s">
        <v>480</v>
      </c>
      <c r="S16" s="676">
        <v>1962000</v>
      </c>
      <c r="T16" s="289" t="s">
        <v>482</v>
      </c>
      <c r="U16" s="391" t="s">
        <v>58</v>
      </c>
      <c r="V16" s="677">
        <v>0.6</v>
      </c>
      <c r="W16" s="289"/>
      <c r="X16" s="289"/>
      <c r="Y16" s="289"/>
      <c r="Z16" s="289" t="s">
        <v>484</v>
      </c>
      <c r="AA16" s="289"/>
      <c r="AB16" s="289" t="s">
        <v>485</v>
      </c>
      <c r="AC16" s="292"/>
      <c r="AD16" s="292">
        <f>S16*V16</f>
        <v>1177200</v>
      </c>
      <c r="AE16" s="398" t="s">
        <v>350</v>
      </c>
      <c r="AF16" s="17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1"/>
      <c r="P17" s="291"/>
      <c r="Q17" s="291"/>
      <c r="R17" s="391" t="s">
        <v>630</v>
      </c>
      <c r="S17" s="550">
        <v>2058000</v>
      </c>
      <c r="T17" s="289" t="s">
        <v>482</v>
      </c>
      <c r="U17" s="391" t="s">
        <v>58</v>
      </c>
      <c r="V17" s="677">
        <v>0.6</v>
      </c>
      <c r="W17" s="289"/>
      <c r="X17" s="289"/>
      <c r="Y17" s="289"/>
      <c r="Z17" s="289" t="s">
        <v>484</v>
      </c>
      <c r="AA17" s="289"/>
      <c r="AB17" s="289" t="s">
        <v>485</v>
      </c>
      <c r="AC17" s="292"/>
      <c r="AD17" s="292">
        <f>S17*V17</f>
        <v>1234800</v>
      </c>
      <c r="AE17" s="398" t="s">
        <v>57</v>
      </c>
      <c r="AF17" s="17"/>
    </row>
    <row r="18" spans="1:32" s="11" customFormat="1" ht="21" customHeight="1">
      <c r="A18" s="45"/>
      <c r="B18" s="46"/>
      <c r="C18" s="46"/>
      <c r="D18" s="160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1"/>
      <c r="P18" s="291"/>
      <c r="Q18" s="291"/>
      <c r="R18" s="291"/>
      <c r="S18" s="291"/>
      <c r="T18" s="289"/>
      <c r="U18" s="289"/>
      <c r="V18" s="289"/>
      <c r="W18" s="289"/>
      <c r="X18" s="289"/>
      <c r="Y18" s="289"/>
      <c r="Z18" s="289"/>
      <c r="AA18" s="289"/>
      <c r="AB18" s="289"/>
      <c r="AC18" s="292"/>
      <c r="AD18" s="292"/>
      <c r="AE18" s="398"/>
      <c r="AF18" s="17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537" t="s">
        <v>359</v>
      </c>
      <c r="P19" s="291"/>
      <c r="Q19" s="291"/>
      <c r="R19" s="291"/>
      <c r="S19" s="291"/>
      <c r="T19" s="289"/>
      <c r="U19" s="289"/>
      <c r="V19" s="289"/>
      <c r="W19" s="449" t="s">
        <v>356</v>
      </c>
      <c r="X19" s="449"/>
      <c r="Y19" s="449"/>
      <c r="Z19" s="449"/>
      <c r="AA19" s="449"/>
      <c r="AB19" s="449"/>
      <c r="AC19" s="450" t="s">
        <v>358</v>
      </c>
      <c r="AD19" s="450">
        <f>SUM(AD20:AD21)</f>
        <v>0</v>
      </c>
      <c r="AE19" s="451" t="s">
        <v>350</v>
      </c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91" t="s">
        <v>631</v>
      </c>
      <c r="P20" s="291"/>
      <c r="Q20" s="291"/>
      <c r="R20" s="291"/>
      <c r="S20" s="676">
        <v>0</v>
      </c>
      <c r="T20" s="289" t="s">
        <v>482</v>
      </c>
      <c r="U20" s="391" t="s">
        <v>58</v>
      </c>
      <c r="V20" s="390">
        <v>6</v>
      </c>
      <c r="W20" s="390" t="s">
        <v>483</v>
      </c>
      <c r="X20" s="289"/>
      <c r="Y20" s="289"/>
      <c r="Z20" s="289" t="s">
        <v>484</v>
      </c>
      <c r="AA20" s="289"/>
      <c r="AB20" s="289" t="s">
        <v>485</v>
      </c>
      <c r="AC20" s="292"/>
      <c r="AD20" s="292">
        <f t="shared" ref="AD20" si="3">S20*V20</f>
        <v>0</v>
      </c>
      <c r="AE20" s="398" t="s">
        <v>57</v>
      </c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91"/>
      <c r="P21" s="291"/>
      <c r="Q21" s="291"/>
      <c r="R21" s="291"/>
      <c r="S21" s="676">
        <v>0</v>
      </c>
      <c r="T21" s="289" t="s">
        <v>482</v>
      </c>
      <c r="U21" s="391" t="s">
        <v>58</v>
      </c>
      <c r="V21" s="390">
        <v>6</v>
      </c>
      <c r="W21" s="390" t="s">
        <v>483</v>
      </c>
      <c r="X21" s="289"/>
      <c r="Y21" s="289"/>
      <c r="Z21" s="289" t="s">
        <v>484</v>
      </c>
      <c r="AA21" s="289"/>
      <c r="AB21" s="289" t="s">
        <v>485</v>
      </c>
      <c r="AC21" s="292"/>
      <c r="AD21" s="292">
        <f t="shared" ref="AD21" si="4">S21*V21</f>
        <v>0</v>
      </c>
      <c r="AE21" s="398" t="s">
        <v>57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91"/>
      <c r="P22" s="291"/>
      <c r="Q22" s="291"/>
      <c r="R22" s="291"/>
      <c r="S22" s="291"/>
      <c r="T22" s="289"/>
      <c r="U22" s="289"/>
      <c r="V22" s="289"/>
      <c r="W22" s="289"/>
      <c r="X22" s="289"/>
      <c r="Y22" s="289"/>
      <c r="Z22" s="289"/>
      <c r="AA22" s="289"/>
      <c r="AB22" s="289"/>
      <c r="AC22" s="292"/>
      <c r="AD22" s="292"/>
      <c r="AE22" s="398"/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537" t="s">
        <v>360</v>
      </c>
      <c r="P23" s="291"/>
      <c r="Q23" s="291"/>
      <c r="R23" s="291"/>
      <c r="S23" s="291"/>
      <c r="T23" s="289"/>
      <c r="U23" s="289"/>
      <c r="V23" s="289"/>
      <c r="W23" s="449" t="s">
        <v>356</v>
      </c>
      <c r="X23" s="449"/>
      <c r="Y23" s="449"/>
      <c r="Z23" s="449"/>
      <c r="AA23" s="449"/>
      <c r="AB23" s="449"/>
      <c r="AC23" s="450" t="s">
        <v>358</v>
      </c>
      <c r="AD23" s="450">
        <f>ROUND(SUM(AD24:AD26),-3)</f>
        <v>4397000</v>
      </c>
      <c r="AE23" s="451" t="s">
        <v>350</v>
      </c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91" t="s">
        <v>629</v>
      </c>
      <c r="P24" s="291"/>
      <c r="Q24" s="291"/>
      <c r="R24" s="391" t="s">
        <v>480</v>
      </c>
      <c r="S24" s="676">
        <v>1962000</v>
      </c>
      <c r="T24" s="289" t="s">
        <v>482</v>
      </c>
      <c r="U24" s="429" t="s">
        <v>71</v>
      </c>
      <c r="V24" s="678">
        <v>209</v>
      </c>
      <c r="W24" s="679">
        <v>1.5</v>
      </c>
      <c r="X24" s="291" t="s">
        <v>58</v>
      </c>
      <c r="Y24" s="682">
        <v>25</v>
      </c>
      <c r="Z24" s="681">
        <v>2</v>
      </c>
      <c r="AA24" s="289" t="s">
        <v>484</v>
      </c>
      <c r="AB24" s="289" t="s">
        <v>485</v>
      </c>
      <c r="AC24" s="292"/>
      <c r="AD24" s="292">
        <f>ROUNDDOWN(S24/V24*W24,-1)*Y24*Z24</f>
        <v>704000</v>
      </c>
      <c r="AE24" s="398" t="s">
        <v>350</v>
      </c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91"/>
      <c r="P25" s="291"/>
      <c r="Q25" s="291"/>
      <c r="R25" s="391" t="s">
        <v>630</v>
      </c>
      <c r="S25" s="550">
        <v>2058000</v>
      </c>
      <c r="T25" s="289" t="s">
        <v>482</v>
      </c>
      <c r="U25" s="429" t="s">
        <v>71</v>
      </c>
      <c r="V25" s="678">
        <v>209</v>
      </c>
      <c r="W25" s="679">
        <v>1.5</v>
      </c>
      <c r="X25" s="291" t="s">
        <v>58</v>
      </c>
      <c r="Y25" s="682">
        <v>25</v>
      </c>
      <c r="Z25" s="681">
        <v>10</v>
      </c>
      <c r="AA25" s="289" t="s">
        <v>484</v>
      </c>
      <c r="AB25" s="289" t="s">
        <v>485</v>
      </c>
      <c r="AC25" s="292"/>
      <c r="AD25" s="292">
        <f>ROUNDDOWN(S25/V25*W25,-1)*Y25*Z25-166500</f>
        <v>3526000</v>
      </c>
      <c r="AE25" s="398" t="s">
        <v>452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1"/>
      <c r="P26" s="291"/>
      <c r="Q26" s="291"/>
      <c r="R26" s="653"/>
      <c r="S26" s="289"/>
      <c r="T26" s="289"/>
      <c r="U26" s="429"/>
      <c r="V26" s="678"/>
      <c r="W26" s="679"/>
      <c r="X26" s="291"/>
      <c r="Y26" s="680"/>
      <c r="Z26" s="291"/>
      <c r="AA26" s="681"/>
      <c r="AB26" s="289" t="s">
        <v>486</v>
      </c>
      <c r="AC26" s="292"/>
      <c r="AD26" s="292">
        <v>166500</v>
      </c>
      <c r="AE26" s="398" t="s">
        <v>482</v>
      </c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291"/>
      <c r="P27" s="291"/>
      <c r="Q27" s="291"/>
      <c r="R27" s="291"/>
      <c r="S27" s="291"/>
      <c r="T27" s="289"/>
      <c r="U27" s="289"/>
      <c r="V27" s="289"/>
      <c r="W27" s="289"/>
      <c r="X27" s="289"/>
      <c r="Y27" s="289"/>
      <c r="Z27" s="289"/>
      <c r="AA27" s="289"/>
      <c r="AB27" s="289"/>
      <c r="AC27" s="292"/>
      <c r="AD27" s="292"/>
      <c r="AE27" s="398"/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537" t="s">
        <v>487</v>
      </c>
      <c r="P28" s="291"/>
      <c r="Q28" s="291"/>
      <c r="R28" s="291"/>
      <c r="S28" s="291"/>
      <c r="T28" s="289"/>
      <c r="U28" s="289"/>
      <c r="V28" s="289"/>
      <c r="W28" s="449" t="s">
        <v>356</v>
      </c>
      <c r="X28" s="449"/>
      <c r="Y28" s="449"/>
      <c r="Z28" s="449"/>
      <c r="AA28" s="449"/>
      <c r="AB28" s="449"/>
      <c r="AC28" s="450" t="s">
        <v>358</v>
      </c>
      <c r="AD28" s="450">
        <f>SUM(AD29:AD30)</f>
        <v>1200000</v>
      </c>
      <c r="AE28" s="451" t="s">
        <v>350</v>
      </c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91" t="s">
        <v>629</v>
      </c>
      <c r="P29" s="291"/>
      <c r="Q29" s="291"/>
      <c r="R29" s="291"/>
      <c r="S29" s="676">
        <v>100000</v>
      </c>
      <c r="T29" s="289" t="s">
        <v>482</v>
      </c>
      <c r="U29" s="391" t="s">
        <v>58</v>
      </c>
      <c r="V29" s="390">
        <v>12</v>
      </c>
      <c r="W29" s="390" t="s">
        <v>483</v>
      </c>
      <c r="X29" s="289"/>
      <c r="Y29" s="289"/>
      <c r="Z29" s="289" t="s">
        <v>484</v>
      </c>
      <c r="AA29" s="289"/>
      <c r="AB29" s="289" t="s">
        <v>485</v>
      </c>
      <c r="AC29" s="292"/>
      <c r="AD29" s="292">
        <f t="shared" ref="AD29:AD30" si="5">S29*V29</f>
        <v>1200000</v>
      </c>
      <c r="AE29" s="398" t="s">
        <v>57</v>
      </c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91"/>
      <c r="P30" s="291"/>
      <c r="Q30" s="291"/>
      <c r="R30" s="291"/>
      <c r="S30" s="676">
        <v>100000</v>
      </c>
      <c r="T30" s="289" t="s">
        <v>482</v>
      </c>
      <c r="U30" s="391" t="s">
        <v>58</v>
      </c>
      <c r="V30" s="390">
        <v>0</v>
      </c>
      <c r="W30" s="390" t="s">
        <v>483</v>
      </c>
      <c r="X30" s="289"/>
      <c r="Y30" s="289"/>
      <c r="Z30" s="289" t="s">
        <v>484</v>
      </c>
      <c r="AA30" s="289"/>
      <c r="AB30" s="289" t="s">
        <v>485</v>
      </c>
      <c r="AC30" s="292"/>
      <c r="AD30" s="292">
        <f t="shared" si="5"/>
        <v>0</v>
      </c>
      <c r="AE30" s="398" t="s">
        <v>57</v>
      </c>
      <c r="AF30" s="17"/>
    </row>
    <row r="31" spans="1:32" s="11" customFormat="1" ht="21" customHeight="1">
      <c r="A31" s="45"/>
      <c r="B31" s="46"/>
      <c r="C31" s="46"/>
      <c r="D31" s="160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91"/>
      <c r="P31" s="291"/>
      <c r="Q31" s="291"/>
      <c r="R31" s="291"/>
      <c r="S31" s="289"/>
      <c r="T31" s="432"/>
      <c r="U31" s="543"/>
      <c r="V31" s="432"/>
      <c r="W31" s="544"/>
      <c r="X31" s="544"/>
      <c r="Y31" s="289"/>
      <c r="Z31" s="289"/>
      <c r="AA31" s="289"/>
      <c r="AB31" s="289"/>
      <c r="AC31" s="289"/>
      <c r="AD31" s="289"/>
      <c r="AE31" s="398"/>
      <c r="AF31" s="17"/>
    </row>
    <row r="32" spans="1:32" s="11" customFormat="1" ht="21" customHeight="1">
      <c r="A32" s="45"/>
      <c r="B32" s="46"/>
      <c r="C32" s="36" t="s">
        <v>9</v>
      </c>
      <c r="D32" s="162">
        <v>2709</v>
      </c>
      <c r="E32" s="114">
        <f>SUM(F32:L32)</f>
        <v>2709.32</v>
      </c>
      <c r="F32" s="114">
        <f>AD33/1000</f>
        <v>2659.32</v>
      </c>
      <c r="G32" s="114">
        <v>0</v>
      </c>
      <c r="H32" s="114">
        <v>0</v>
      </c>
      <c r="I32" s="114">
        <f>AD34/1000</f>
        <v>50</v>
      </c>
      <c r="J32" s="114">
        <v>0</v>
      </c>
      <c r="K32" s="114">
        <v>0</v>
      </c>
      <c r="L32" s="114">
        <v>0</v>
      </c>
      <c r="M32" s="113">
        <f>E32-D32</f>
        <v>0.32000000000016371</v>
      </c>
      <c r="N32" s="121">
        <f>IF(D32=0,0,M32/D32)</f>
        <v>1.1812476928762042E-4</v>
      </c>
      <c r="O32" s="97" t="s">
        <v>35</v>
      </c>
      <c r="P32" s="177"/>
      <c r="Q32" s="156"/>
      <c r="R32" s="93"/>
      <c r="S32" s="93"/>
      <c r="T32" s="89"/>
      <c r="U32" s="89"/>
      <c r="V32" s="89"/>
      <c r="W32" s="286" t="s">
        <v>262</v>
      </c>
      <c r="X32" s="286"/>
      <c r="Y32" s="286"/>
      <c r="Z32" s="286"/>
      <c r="AA32" s="286"/>
      <c r="AB32" s="286"/>
      <c r="AC32" s="180" t="s">
        <v>263</v>
      </c>
      <c r="AD32" s="180">
        <f>ROUND(SUM(AD33:AD34),-3)</f>
        <v>2709000</v>
      </c>
      <c r="AE32" s="179" t="s">
        <v>264</v>
      </c>
      <c r="AF32" s="2"/>
    </row>
    <row r="33" spans="1:32" s="11" customFormat="1" ht="21" customHeight="1">
      <c r="A33" s="45"/>
      <c r="B33" s="46"/>
      <c r="C33" s="46"/>
      <c r="D33" s="163"/>
      <c r="E33" s="109"/>
      <c r="F33" s="109"/>
      <c r="G33" s="109"/>
      <c r="H33" s="109"/>
      <c r="I33" s="109"/>
      <c r="J33" s="109"/>
      <c r="K33" s="109"/>
      <c r="L33" s="109"/>
      <c r="M33" s="115"/>
      <c r="N33" s="70"/>
      <c r="O33" s="291"/>
      <c r="P33" s="291"/>
      <c r="Q33" s="291"/>
      <c r="R33" s="291"/>
      <c r="S33" s="289">
        <f>SUM(AD7,AD14)-AD26</f>
        <v>32346500</v>
      </c>
      <c r="T33" s="429" t="s">
        <v>350</v>
      </c>
      <c r="U33" s="429" t="s">
        <v>361</v>
      </c>
      <c r="V33" s="545">
        <v>12</v>
      </c>
      <c r="W33" s="428" t="s">
        <v>351</v>
      </c>
      <c r="X33" s="289"/>
      <c r="Y33" s="289"/>
      <c r="Z33" s="289"/>
      <c r="AA33" s="289" t="s">
        <v>354</v>
      </c>
      <c r="AB33" s="289" t="s">
        <v>485</v>
      </c>
      <c r="AC33" s="292"/>
      <c r="AD33" s="292">
        <f>ROUND(S33/V33,-3)-36680</f>
        <v>2659320</v>
      </c>
      <c r="AE33" s="398" t="s">
        <v>350</v>
      </c>
      <c r="AF33" s="2"/>
    </row>
    <row r="34" spans="1:32" s="11" customFormat="1" ht="21" customHeight="1">
      <c r="A34" s="45"/>
      <c r="B34" s="46"/>
      <c r="C34" s="46"/>
      <c r="D34" s="163"/>
      <c r="E34" s="109"/>
      <c r="F34" s="109"/>
      <c r="G34" s="109"/>
      <c r="H34" s="109"/>
      <c r="I34" s="109"/>
      <c r="J34" s="109"/>
      <c r="K34" s="109"/>
      <c r="L34" s="109"/>
      <c r="M34" s="115"/>
      <c r="N34" s="70"/>
      <c r="O34" s="291"/>
      <c r="P34" s="291"/>
      <c r="Q34" s="291"/>
      <c r="R34" s="291"/>
      <c r="S34" s="289"/>
      <c r="T34" s="429"/>
      <c r="U34" s="429"/>
      <c r="V34" s="545"/>
      <c r="W34" s="428"/>
      <c r="X34" s="289"/>
      <c r="Y34" s="289"/>
      <c r="Z34" s="289"/>
      <c r="AA34" s="289"/>
      <c r="AB34" s="289" t="s">
        <v>488</v>
      </c>
      <c r="AC34" s="292"/>
      <c r="AD34" s="292">
        <v>50000</v>
      </c>
      <c r="AE34" s="398" t="s">
        <v>57</v>
      </c>
      <c r="AF34" s="2"/>
    </row>
    <row r="35" spans="1:32" s="11" customFormat="1" ht="21" customHeight="1">
      <c r="A35" s="45"/>
      <c r="B35" s="46"/>
      <c r="C35" s="46"/>
      <c r="D35" s="164"/>
      <c r="E35" s="109"/>
      <c r="F35" s="109"/>
      <c r="G35" s="109"/>
      <c r="H35" s="109"/>
      <c r="I35" s="109"/>
      <c r="J35" s="109"/>
      <c r="K35" s="109"/>
      <c r="L35" s="109"/>
      <c r="M35" s="115"/>
      <c r="N35" s="70"/>
      <c r="O35" s="32"/>
      <c r="P35" s="32"/>
      <c r="Q35" s="32"/>
      <c r="R35" s="32"/>
      <c r="S35" s="32"/>
      <c r="T35" s="33"/>
      <c r="U35" s="33"/>
      <c r="V35" s="33"/>
      <c r="W35" s="33"/>
      <c r="X35" s="33"/>
      <c r="Y35" s="33"/>
      <c r="Z35" s="33"/>
      <c r="AA35" s="33"/>
      <c r="AB35" s="33"/>
      <c r="AC35" s="52"/>
      <c r="AD35" s="52"/>
      <c r="AE35" s="34"/>
      <c r="AF35" s="2"/>
    </row>
    <row r="36" spans="1:32" s="11" customFormat="1" ht="21" customHeight="1">
      <c r="A36" s="45"/>
      <c r="B36" s="46"/>
      <c r="C36" s="122" t="s">
        <v>82</v>
      </c>
      <c r="D36" s="162">
        <v>3062</v>
      </c>
      <c r="E36" s="114">
        <f>SUM(F36:L36)</f>
        <v>3061.9</v>
      </c>
      <c r="F36" s="114">
        <f>SUM(AD38,AD41,AD45,AD48,AD52)/1000</f>
        <v>2889</v>
      </c>
      <c r="G36" s="114">
        <v>0</v>
      </c>
      <c r="H36" s="114">
        <v>0</v>
      </c>
      <c r="I36" s="114">
        <f>AD56/1000</f>
        <v>172.9</v>
      </c>
      <c r="J36" s="114">
        <v>0</v>
      </c>
      <c r="K36" s="114">
        <v>0</v>
      </c>
      <c r="L36" s="114">
        <v>0</v>
      </c>
      <c r="M36" s="123">
        <f>E36-D36</f>
        <v>-9.9999999999909051E-2</v>
      </c>
      <c r="N36" s="121">
        <f>IF(D36=0,0,M36/D36)</f>
        <v>-3.2658393207024508E-5</v>
      </c>
      <c r="O36" s="97" t="s">
        <v>36</v>
      </c>
      <c r="P36" s="177"/>
      <c r="Q36" s="93"/>
      <c r="R36" s="93"/>
      <c r="S36" s="93"/>
      <c r="T36" s="89"/>
      <c r="U36" s="89"/>
      <c r="V36" s="89"/>
      <c r="W36" s="178" t="s">
        <v>135</v>
      </c>
      <c r="X36" s="178"/>
      <c r="Y36" s="178"/>
      <c r="Z36" s="178"/>
      <c r="AA36" s="178"/>
      <c r="AB36" s="178"/>
      <c r="AC36" s="180"/>
      <c r="AD36" s="180">
        <f>SUM(AD38,AD41,AD45,AD48,AD52,AD56)</f>
        <v>3061900</v>
      </c>
      <c r="AE36" s="179" t="s">
        <v>25</v>
      </c>
    </row>
    <row r="37" spans="1:32" s="11" customFormat="1" ht="21" customHeight="1">
      <c r="A37" s="45"/>
      <c r="B37" s="46"/>
      <c r="C37" s="46" t="s">
        <v>136</v>
      </c>
      <c r="D37" s="160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159"/>
      <c r="P37" s="32"/>
      <c r="Q37" s="32"/>
      <c r="R37" s="32"/>
      <c r="S37" s="32"/>
      <c r="T37" s="33"/>
      <c r="U37" s="33"/>
      <c r="V37" s="33"/>
      <c r="W37" s="33"/>
      <c r="X37" s="33"/>
      <c r="Y37" s="33"/>
      <c r="Z37" s="33"/>
      <c r="AA37" s="33"/>
      <c r="AB37" s="33"/>
      <c r="AC37" s="52"/>
      <c r="AD37" s="52"/>
      <c r="AE37" s="34"/>
      <c r="AF37" s="2"/>
    </row>
    <row r="38" spans="1:32" s="11" customFormat="1" ht="21" customHeight="1">
      <c r="A38" s="45"/>
      <c r="B38" s="46"/>
      <c r="C38" s="46"/>
      <c r="D38" s="160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537" t="s">
        <v>365</v>
      </c>
      <c r="P38" s="291"/>
      <c r="Q38" s="291"/>
      <c r="R38" s="291"/>
      <c r="S38" s="291"/>
      <c r="T38" s="289"/>
      <c r="U38" s="289"/>
      <c r="V38" s="289"/>
      <c r="W38" s="449" t="s">
        <v>356</v>
      </c>
      <c r="X38" s="449"/>
      <c r="Y38" s="449"/>
      <c r="Z38" s="449"/>
      <c r="AA38" s="449"/>
      <c r="AB38" s="449"/>
      <c r="AC38" s="450"/>
      <c r="AD38" s="450">
        <f>ROUND(SUM(AD39:AD39),-3)</f>
        <v>1356000</v>
      </c>
      <c r="AE38" s="451" t="s">
        <v>350</v>
      </c>
      <c r="AF38" s="2"/>
    </row>
    <row r="39" spans="1:32" s="11" customFormat="1" ht="21" customHeight="1">
      <c r="A39" s="45"/>
      <c r="B39" s="46"/>
      <c r="C39" s="46"/>
      <c r="D39" s="160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291"/>
      <c r="P39" s="291"/>
      <c r="Q39" s="291"/>
      <c r="R39" s="291"/>
      <c r="S39" s="289">
        <f>S33</f>
        <v>32346500</v>
      </c>
      <c r="T39" s="429" t="s">
        <v>350</v>
      </c>
      <c r="U39" s="428" t="s">
        <v>353</v>
      </c>
      <c r="V39" s="546">
        <v>0.09</v>
      </c>
      <c r="W39" s="429" t="s">
        <v>361</v>
      </c>
      <c r="X39" s="547">
        <v>2</v>
      </c>
      <c r="Y39" s="431"/>
      <c r="Z39" s="431"/>
      <c r="AA39" s="429" t="s">
        <v>354</v>
      </c>
      <c r="AB39" s="289" t="s">
        <v>485</v>
      </c>
      <c r="AC39" s="292"/>
      <c r="AD39" s="292">
        <f>S39*V39/X39-100000</f>
        <v>1355592.5</v>
      </c>
      <c r="AE39" s="398" t="s">
        <v>350</v>
      </c>
      <c r="AF39" s="2"/>
    </row>
    <row r="40" spans="1:32" s="11" customFormat="1" ht="21" customHeight="1">
      <c r="A40" s="45"/>
      <c r="B40" s="46"/>
      <c r="C40" s="46"/>
      <c r="D40" s="160"/>
      <c r="E40" s="109"/>
      <c r="F40" s="109"/>
      <c r="G40" s="109"/>
      <c r="H40" s="109"/>
      <c r="I40" s="109"/>
      <c r="J40" s="109"/>
      <c r="K40" s="109"/>
      <c r="L40" s="109"/>
      <c r="M40" s="109"/>
      <c r="N40" s="70"/>
      <c r="O40" s="291"/>
      <c r="P40" s="291"/>
      <c r="Q40" s="291"/>
      <c r="R40" s="291"/>
      <c r="S40" s="291"/>
      <c r="T40" s="289"/>
      <c r="U40" s="289"/>
      <c r="V40" s="289"/>
      <c r="W40" s="289"/>
      <c r="X40" s="289"/>
      <c r="Y40" s="289"/>
      <c r="Z40" s="289"/>
      <c r="AA40" s="289"/>
      <c r="AB40" s="289"/>
      <c r="AC40" s="292"/>
      <c r="AD40" s="292"/>
      <c r="AE40" s="398"/>
      <c r="AF40" s="2"/>
    </row>
    <row r="41" spans="1:32" s="11" customFormat="1" ht="21" customHeight="1">
      <c r="A41" s="45"/>
      <c r="B41" s="46"/>
      <c r="C41" s="46"/>
      <c r="D41" s="160"/>
      <c r="E41" s="109"/>
      <c r="F41" s="109"/>
      <c r="G41" s="109"/>
      <c r="H41" s="109"/>
      <c r="I41" s="109"/>
      <c r="J41" s="109"/>
      <c r="K41" s="109"/>
      <c r="L41" s="109"/>
      <c r="M41" s="109"/>
      <c r="N41" s="70"/>
      <c r="O41" s="537" t="s">
        <v>367</v>
      </c>
      <c r="P41" s="291"/>
      <c r="Q41" s="291"/>
      <c r="R41" s="291"/>
      <c r="S41" s="291"/>
      <c r="T41" s="289"/>
      <c r="U41" s="289"/>
      <c r="V41" s="289"/>
      <c r="W41" s="449" t="s">
        <v>355</v>
      </c>
      <c r="X41" s="449"/>
      <c r="Y41" s="449"/>
      <c r="Z41" s="449"/>
      <c r="AA41" s="449"/>
      <c r="AB41" s="449"/>
      <c r="AC41" s="450" t="s">
        <v>364</v>
      </c>
      <c r="AD41" s="450">
        <f>ROUNDDOWN(SUM(AD42:AD43),-3)</f>
        <v>935000</v>
      </c>
      <c r="AE41" s="451" t="s">
        <v>352</v>
      </c>
      <c r="AF41" s="2"/>
    </row>
    <row r="42" spans="1:32" s="11" customFormat="1" ht="21" customHeight="1">
      <c r="A42" s="45"/>
      <c r="B42" s="46"/>
      <c r="C42" s="46"/>
      <c r="D42" s="160"/>
      <c r="E42" s="109"/>
      <c r="F42" s="109"/>
      <c r="G42" s="109"/>
      <c r="H42" s="109"/>
      <c r="I42" s="109"/>
      <c r="J42" s="109"/>
      <c r="K42" s="109"/>
      <c r="L42" s="109"/>
      <c r="M42" s="109"/>
      <c r="N42" s="70"/>
      <c r="O42" s="291"/>
      <c r="P42" s="291"/>
      <c r="Q42" s="291"/>
      <c r="R42" s="291"/>
      <c r="S42" s="289">
        <f>S39</f>
        <v>32346500</v>
      </c>
      <c r="T42" s="429" t="s">
        <v>352</v>
      </c>
      <c r="U42" s="428" t="s">
        <v>366</v>
      </c>
      <c r="V42" s="548">
        <v>6.1199999999999997E-2</v>
      </c>
      <c r="W42" s="429" t="s">
        <v>362</v>
      </c>
      <c r="X42" s="549">
        <v>2</v>
      </c>
      <c r="Y42" s="431"/>
      <c r="Z42" s="431"/>
      <c r="AA42" s="429" t="s">
        <v>363</v>
      </c>
      <c r="AB42" s="289" t="s">
        <v>485</v>
      </c>
      <c r="AC42" s="292"/>
      <c r="AD42" s="292">
        <f>S42*V42/X42-54000</f>
        <v>935802.89999999991</v>
      </c>
      <c r="AE42" s="398" t="s">
        <v>352</v>
      </c>
      <c r="AF42" s="2"/>
    </row>
    <row r="43" spans="1:32" s="11" customFormat="1" ht="21" customHeight="1">
      <c r="A43" s="45"/>
      <c r="B43" s="46"/>
      <c r="C43" s="46"/>
      <c r="D43" s="160"/>
      <c r="E43" s="109"/>
      <c r="F43" s="109"/>
      <c r="G43" s="109"/>
      <c r="H43" s="109"/>
      <c r="I43" s="109"/>
      <c r="J43" s="109"/>
      <c r="K43" s="109"/>
      <c r="L43" s="109"/>
      <c r="M43" s="109"/>
      <c r="N43" s="70"/>
      <c r="O43" s="291"/>
      <c r="P43" s="291"/>
      <c r="Q43" s="291"/>
      <c r="R43" s="291"/>
      <c r="S43" s="289"/>
      <c r="T43" s="429"/>
      <c r="U43" s="428"/>
      <c r="V43" s="548"/>
      <c r="W43" s="429"/>
      <c r="X43" s="549"/>
      <c r="Y43" s="431" t="s">
        <v>489</v>
      </c>
      <c r="AA43" s="429"/>
      <c r="AB43" s="289" t="s">
        <v>485</v>
      </c>
      <c r="AC43" s="292"/>
      <c r="AD43" s="292">
        <v>0</v>
      </c>
      <c r="AE43" s="398" t="s">
        <v>482</v>
      </c>
      <c r="AF43" s="2"/>
    </row>
    <row r="44" spans="1:32" s="11" customFormat="1" ht="21" customHeight="1">
      <c r="A44" s="45"/>
      <c r="B44" s="46"/>
      <c r="C44" s="46"/>
      <c r="D44" s="160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291"/>
      <c r="P44" s="291"/>
      <c r="Q44" s="291"/>
      <c r="R44" s="291"/>
      <c r="S44" s="291"/>
      <c r="T44" s="289"/>
      <c r="U44" s="289"/>
      <c r="V44" s="289"/>
      <c r="W44" s="289"/>
      <c r="X44" s="289"/>
      <c r="Y44" s="289"/>
      <c r="Z44" s="289"/>
      <c r="AA44" s="289"/>
      <c r="AB44" s="289"/>
      <c r="AC44" s="292"/>
      <c r="AD44" s="292"/>
      <c r="AE44" s="398"/>
      <c r="AF44" s="2"/>
    </row>
    <row r="45" spans="1:32" s="11" customFormat="1" ht="21" customHeight="1">
      <c r="A45" s="45"/>
      <c r="B45" s="46"/>
      <c r="C45" s="46"/>
      <c r="D45" s="160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537" t="s">
        <v>368</v>
      </c>
      <c r="P45" s="291"/>
      <c r="Q45" s="291"/>
      <c r="R45" s="291"/>
      <c r="S45" s="291"/>
      <c r="T45" s="289"/>
      <c r="U45" s="289"/>
      <c r="V45" s="289"/>
      <c r="W45" s="449" t="s">
        <v>355</v>
      </c>
      <c r="X45" s="449"/>
      <c r="Y45" s="449"/>
      <c r="Z45" s="449"/>
      <c r="AA45" s="449"/>
      <c r="AB45" s="449"/>
      <c r="AC45" s="450" t="s">
        <v>364</v>
      </c>
      <c r="AD45" s="450">
        <f>ROUND(SUM(AD46:AD46),-3)</f>
        <v>61000</v>
      </c>
      <c r="AE45" s="451" t="s">
        <v>352</v>
      </c>
      <c r="AF45" s="2"/>
    </row>
    <row r="46" spans="1:32" s="11" customFormat="1" ht="21" customHeight="1">
      <c r="A46" s="45"/>
      <c r="B46" s="46"/>
      <c r="C46" s="46"/>
      <c r="D46" s="160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1"/>
      <c r="P46" s="291"/>
      <c r="Q46" s="291"/>
      <c r="R46" s="291"/>
      <c r="S46" s="550">
        <f>AD41</f>
        <v>935000</v>
      </c>
      <c r="T46" s="429" t="s">
        <v>352</v>
      </c>
      <c r="U46" s="428" t="s">
        <v>366</v>
      </c>
      <c r="V46" s="548">
        <v>6.5500000000000003E-2</v>
      </c>
      <c r="W46" s="428"/>
      <c r="X46" s="430"/>
      <c r="Y46" s="431"/>
      <c r="Z46" s="431"/>
      <c r="AA46" s="429" t="s">
        <v>363</v>
      </c>
      <c r="AB46" s="289" t="s">
        <v>485</v>
      </c>
      <c r="AC46" s="292"/>
      <c r="AD46" s="292">
        <f>S46*V46</f>
        <v>61242.5</v>
      </c>
      <c r="AE46" s="398" t="s">
        <v>352</v>
      </c>
      <c r="AF46" s="2"/>
    </row>
    <row r="47" spans="1:32" s="11" customFormat="1" ht="21" customHeight="1">
      <c r="A47" s="45"/>
      <c r="B47" s="46"/>
      <c r="C47" s="46"/>
      <c r="D47" s="160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291"/>
      <c r="P47" s="291"/>
      <c r="Q47" s="291"/>
      <c r="R47" s="291"/>
      <c r="S47" s="291"/>
      <c r="T47" s="289"/>
      <c r="U47" s="289"/>
      <c r="V47" s="289"/>
      <c r="W47" s="289"/>
      <c r="X47" s="289"/>
      <c r="Y47" s="289"/>
      <c r="Z47" s="289"/>
      <c r="AA47" s="289"/>
      <c r="AB47" s="289"/>
      <c r="AC47" s="292"/>
      <c r="AD47" s="292"/>
      <c r="AE47" s="398"/>
      <c r="AF47" s="2"/>
    </row>
    <row r="48" spans="1:32" s="11" customFormat="1" ht="21" customHeight="1">
      <c r="A48" s="45"/>
      <c r="B48" s="46"/>
      <c r="C48" s="46"/>
      <c r="D48" s="160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537" t="s">
        <v>369</v>
      </c>
      <c r="P48" s="291"/>
      <c r="Q48" s="291"/>
      <c r="R48" s="291"/>
      <c r="S48" s="291"/>
      <c r="T48" s="289"/>
      <c r="U48" s="289"/>
      <c r="V48" s="289"/>
      <c r="W48" s="449" t="s">
        <v>355</v>
      </c>
      <c r="X48" s="449"/>
      <c r="Y48" s="449"/>
      <c r="Z48" s="449"/>
      <c r="AA48" s="449"/>
      <c r="AB48" s="449"/>
      <c r="AC48" s="450" t="s">
        <v>364</v>
      </c>
      <c r="AD48" s="450">
        <f>ROUND(SUM(AD49:AD50),-3)</f>
        <v>291000</v>
      </c>
      <c r="AE48" s="451" t="s">
        <v>352</v>
      </c>
      <c r="AF48" s="2"/>
    </row>
    <row r="49" spans="1:32" s="11" customFormat="1" ht="21" customHeight="1">
      <c r="A49" s="45"/>
      <c r="B49" s="46"/>
      <c r="C49" s="46"/>
      <c r="D49" s="160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291"/>
      <c r="P49" s="291"/>
      <c r="Q49" s="291"/>
      <c r="R49" s="291"/>
      <c r="S49" s="289">
        <f>S42</f>
        <v>32346500</v>
      </c>
      <c r="T49" s="429" t="s">
        <v>352</v>
      </c>
      <c r="U49" s="428" t="s">
        <v>366</v>
      </c>
      <c r="V49" s="548">
        <v>8.9999999999999993E-3</v>
      </c>
      <c r="W49" s="428"/>
      <c r="X49" s="430"/>
      <c r="Y49" s="431"/>
      <c r="Z49" s="431"/>
      <c r="AA49" s="429" t="s">
        <v>363</v>
      </c>
      <c r="AB49" s="289" t="s">
        <v>485</v>
      </c>
      <c r="AC49" s="292"/>
      <c r="AD49" s="292">
        <f>S49*V49-380</f>
        <v>290738.5</v>
      </c>
      <c r="AE49" s="398" t="s">
        <v>352</v>
      </c>
      <c r="AF49" s="2"/>
    </row>
    <row r="50" spans="1:32" s="11" customFormat="1" ht="21" customHeight="1">
      <c r="A50" s="45"/>
      <c r="B50" s="46"/>
      <c r="C50" s="46"/>
      <c r="D50" s="160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1"/>
      <c r="P50" s="291"/>
      <c r="Q50" s="291"/>
      <c r="R50" s="291"/>
      <c r="S50" s="289"/>
      <c r="T50" s="429"/>
      <c r="U50" s="428"/>
      <c r="V50" s="548"/>
      <c r="W50" s="428"/>
      <c r="X50" s="430"/>
      <c r="Y50" s="431" t="s">
        <v>489</v>
      </c>
      <c r="Z50" s="431"/>
      <c r="AA50" s="429"/>
      <c r="AB50" s="289" t="s">
        <v>485</v>
      </c>
      <c r="AC50" s="292"/>
      <c r="AD50" s="292">
        <v>0</v>
      </c>
      <c r="AE50" s="398" t="s">
        <v>482</v>
      </c>
      <c r="AF50" s="2"/>
    </row>
    <row r="51" spans="1:32" s="11" customFormat="1" ht="21" customHeight="1">
      <c r="A51" s="45"/>
      <c r="B51" s="46"/>
      <c r="C51" s="46"/>
      <c r="D51" s="160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291"/>
      <c r="P51" s="291"/>
      <c r="Q51" s="291"/>
      <c r="R51" s="291"/>
      <c r="S51" s="291"/>
      <c r="T51" s="289"/>
      <c r="U51" s="289"/>
      <c r="V51" s="289"/>
      <c r="W51" s="289"/>
      <c r="X51" s="289"/>
      <c r="Y51" s="289"/>
      <c r="Z51" s="289"/>
      <c r="AA51" s="289"/>
      <c r="AB51" s="289"/>
      <c r="AC51" s="292"/>
      <c r="AD51" s="292"/>
      <c r="AE51" s="398"/>
      <c r="AF51" s="2"/>
    </row>
    <row r="52" spans="1:32" s="11" customFormat="1" ht="21" customHeight="1">
      <c r="A52" s="45"/>
      <c r="B52" s="46"/>
      <c r="C52" s="46"/>
      <c r="D52" s="160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537" t="s">
        <v>370</v>
      </c>
      <c r="P52" s="291"/>
      <c r="Q52" s="291"/>
      <c r="R52" s="291"/>
      <c r="S52" s="291"/>
      <c r="T52" s="289"/>
      <c r="U52" s="289"/>
      <c r="V52" s="289"/>
      <c r="W52" s="449" t="s">
        <v>355</v>
      </c>
      <c r="X52" s="449"/>
      <c r="Y52" s="449"/>
      <c r="Z52" s="449"/>
      <c r="AA52" s="449"/>
      <c r="AB52" s="449"/>
      <c r="AC52" s="450" t="s">
        <v>364</v>
      </c>
      <c r="AD52" s="450">
        <f>ROUND(SUM(AD53:AD54),-3)</f>
        <v>246000</v>
      </c>
      <c r="AE52" s="451" t="s">
        <v>352</v>
      </c>
      <c r="AF52" s="2"/>
    </row>
    <row r="53" spans="1:32" s="11" customFormat="1" ht="21" customHeight="1">
      <c r="A53" s="45"/>
      <c r="B53" s="46"/>
      <c r="C53" s="46"/>
      <c r="D53" s="160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291"/>
      <c r="P53" s="291"/>
      <c r="Q53" s="291"/>
      <c r="R53" s="291"/>
      <c r="S53" s="289">
        <f>S49</f>
        <v>32346500</v>
      </c>
      <c r="T53" s="429" t="s">
        <v>352</v>
      </c>
      <c r="U53" s="428" t="s">
        <v>366</v>
      </c>
      <c r="V53" s="551">
        <v>7.6E-3</v>
      </c>
      <c r="W53" s="428"/>
      <c r="X53" s="430"/>
      <c r="Y53" s="431"/>
      <c r="Z53" s="431"/>
      <c r="AA53" s="429" t="s">
        <v>363</v>
      </c>
      <c r="AB53" s="289" t="s">
        <v>485</v>
      </c>
      <c r="AC53" s="292"/>
      <c r="AD53" s="292">
        <f>S53*V53</f>
        <v>245833.4</v>
      </c>
      <c r="AE53" s="398" t="s">
        <v>352</v>
      </c>
      <c r="AF53" s="2"/>
    </row>
    <row r="54" spans="1:32" s="11" customFormat="1" ht="21" customHeight="1">
      <c r="A54" s="45"/>
      <c r="B54" s="46"/>
      <c r="C54" s="46"/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1"/>
      <c r="P54" s="291"/>
      <c r="Q54" s="291"/>
      <c r="R54" s="291"/>
      <c r="S54" s="289"/>
      <c r="T54" s="429"/>
      <c r="U54" s="428"/>
      <c r="V54" s="551"/>
      <c r="W54" s="428"/>
      <c r="X54" s="430"/>
      <c r="Y54" s="431" t="s">
        <v>489</v>
      </c>
      <c r="Z54" s="431"/>
      <c r="AA54" s="429"/>
      <c r="AB54" s="289" t="s">
        <v>485</v>
      </c>
      <c r="AC54" s="292"/>
      <c r="AD54" s="292">
        <v>0</v>
      </c>
      <c r="AE54" s="398" t="s">
        <v>482</v>
      </c>
      <c r="AF54" s="2"/>
    </row>
    <row r="55" spans="1:32" s="11" customFormat="1" ht="21" customHeight="1">
      <c r="A55" s="45"/>
      <c r="B55" s="46"/>
      <c r="C55" s="46"/>
      <c r="D55" s="160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291"/>
      <c r="P55" s="291"/>
      <c r="Q55" s="291"/>
      <c r="R55" s="291"/>
      <c r="S55" s="289"/>
      <c r="T55" s="429"/>
      <c r="U55" s="428"/>
      <c r="V55" s="551"/>
      <c r="W55" s="428"/>
      <c r="X55" s="430"/>
      <c r="Y55" s="431"/>
      <c r="Z55" s="431"/>
      <c r="AA55" s="429"/>
      <c r="AB55" s="289"/>
      <c r="AC55" s="292"/>
      <c r="AD55" s="292"/>
      <c r="AE55" s="398"/>
      <c r="AF55" s="2"/>
    </row>
    <row r="56" spans="1:32" s="11" customFormat="1" ht="21" customHeight="1">
      <c r="A56" s="45"/>
      <c r="B56" s="46"/>
      <c r="C56" s="46"/>
      <c r="D56" s="160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537" t="s">
        <v>632</v>
      </c>
      <c r="P56" s="291"/>
      <c r="Q56" s="291"/>
      <c r="R56" s="291"/>
      <c r="S56" s="289"/>
      <c r="T56" s="429"/>
      <c r="U56" s="428"/>
      <c r="V56" s="551"/>
      <c r="W56" s="428"/>
      <c r="X56" s="430"/>
      <c r="Y56" s="431"/>
      <c r="Z56" s="431"/>
      <c r="AA56" s="429"/>
      <c r="AB56" s="289" t="s">
        <v>633</v>
      </c>
      <c r="AC56" s="292"/>
      <c r="AD56" s="292">
        <v>172900</v>
      </c>
      <c r="AE56" s="398" t="s">
        <v>634</v>
      </c>
      <c r="AF56" s="2"/>
    </row>
    <row r="57" spans="1:32" s="11" customFormat="1" ht="21" customHeight="1">
      <c r="A57" s="45"/>
      <c r="B57" s="46"/>
      <c r="C57" s="46"/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91"/>
      <c r="P57" s="291"/>
      <c r="Q57" s="291"/>
      <c r="R57" s="291"/>
      <c r="S57" s="291"/>
      <c r="T57" s="289"/>
      <c r="U57" s="289"/>
      <c r="V57" s="289"/>
      <c r="W57" s="289"/>
      <c r="X57" s="289"/>
      <c r="Y57" s="289"/>
      <c r="Z57" s="289"/>
      <c r="AA57" s="289"/>
      <c r="AB57" s="289"/>
      <c r="AC57" s="292"/>
      <c r="AD57" s="292"/>
      <c r="AE57" s="398"/>
      <c r="AF57" s="2"/>
    </row>
    <row r="58" spans="1:32" s="11" customFormat="1" ht="21" customHeight="1">
      <c r="A58" s="45"/>
      <c r="B58" s="46"/>
      <c r="C58" s="36" t="s">
        <v>83</v>
      </c>
      <c r="D58" s="162">
        <v>0</v>
      </c>
      <c r="E58" s="114">
        <f>SUM(F58:L58)</f>
        <v>40</v>
      </c>
      <c r="F58" s="114">
        <v>0</v>
      </c>
      <c r="G58" s="114">
        <v>0</v>
      </c>
      <c r="H58" s="114">
        <f>AD59/1000</f>
        <v>0</v>
      </c>
      <c r="I58" s="114">
        <f>AD61/1000</f>
        <v>0</v>
      </c>
      <c r="J58" s="114">
        <f>AD60/1000</f>
        <v>40</v>
      </c>
      <c r="K58" s="114">
        <v>0</v>
      </c>
      <c r="L58" s="114">
        <v>0</v>
      </c>
      <c r="M58" s="113">
        <f>E58-D58</f>
        <v>40</v>
      </c>
      <c r="N58" s="121">
        <f>IF(D58=0,0,M58/D58)</f>
        <v>0</v>
      </c>
      <c r="O58" s="97" t="s">
        <v>84</v>
      </c>
      <c r="P58" s="177"/>
      <c r="Q58" s="93"/>
      <c r="R58" s="93"/>
      <c r="S58" s="93"/>
      <c r="T58" s="89"/>
      <c r="U58" s="89"/>
      <c r="V58" s="89"/>
      <c r="W58" s="178" t="s">
        <v>135</v>
      </c>
      <c r="X58" s="178"/>
      <c r="Y58" s="178"/>
      <c r="Z58" s="178"/>
      <c r="AA58" s="178"/>
      <c r="AB58" s="178"/>
      <c r="AC58" s="180"/>
      <c r="AD58" s="180">
        <f>SUM(AD59:AD61)</f>
        <v>40000</v>
      </c>
      <c r="AE58" s="179" t="s">
        <v>25</v>
      </c>
      <c r="AF58" s="21"/>
    </row>
    <row r="59" spans="1:32" s="11" customFormat="1" ht="21" customHeight="1">
      <c r="A59" s="45"/>
      <c r="B59" s="46"/>
      <c r="C59" s="46" t="s">
        <v>138</v>
      </c>
      <c r="D59" s="160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655" t="s">
        <v>490</v>
      </c>
      <c r="P59" s="655"/>
      <c r="Q59" s="655"/>
      <c r="R59" s="655"/>
      <c r="S59" s="654">
        <v>0</v>
      </c>
      <c r="T59" s="386" t="s">
        <v>491</v>
      </c>
      <c r="U59" s="552" t="s">
        <v>492</v>
      </c>
      <c r="V59" s="554">
        <v>1</v>
      </c>
      <c r="W59" s="552" t="s">
        <v>493</v>
      </c>
      <c r="X59" s="555"/>
      <c r="Y59" s="76"/>
      <c r="Z59" s="76"/>
      <c r="AA59" s="386" t="s">
        <v>494</v>
      </c>
      <c r="AB59" s="654" t="s">
        <v>495</v>
      </c>
      <c r="AC59" s="136"/>
      <c r="AD59" s="136">
        <f>ROUNDUP(S59*V59,-3)</f>
        <v>0</v>
      </c>
      <c r="AE59" s="137" t="s">
        <v>491</v>
      </c>
      <c r="AF59" s="2"/>
    </row>
    <row r="60" spans="1:32" s="11" customFormat="1" ht="21" customHeight="1">
      <c r="A60" s="45"/>
      <c r="B60" s="46"/>
      <c r="C60" s="46"/>
      <c r="D60" s="160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684" t="s">
        <v>731</v>
      </c>
      <c r="P60" s="684"/>
      <c r="Q60" s="684"/>
      <c r="R60" s="684"/>
      <c r="S60" s="683">
        <v>40000</v>
      </c>
      <c r="T60" s="386" t="s">
        <v>732</v>
      </c>
      <c r="U60" s="552" t="s">
        <v>733</v>
      </c>
      <c r="V60" s="554">
        <v>1</v>
      </c>
      <c r="W60" s="552" t="s">
        <v>734</v>
      </c>
      <c r="X60" s="555"/>
      <c r="Y60" s="76"/>
      <c r="Z60" s="76"/>
      <c r="AA60" s="386"/>
      <c r="AB60" s="683" t="s">
        <v>735</v>
      </c>
      <c r="AC60" s="136"/>
      <c r="AD60" s="136">
        <f>ROUNDUP(S60*V60,-3)</f>
        <v>40000</v>
      </c>
      <c r="AE60" s="137" t="s">
        <v>732</v>
      </c>
      <c r="AF60" s="2"/>
    </row>
    <row r="61" spans="1:32" s="11" customFormat="1" ht="21" customHeight="1">
      <c r="A61" s="45"/>
      <c r="B61" s="46"/>
      <c r="C61" s="46"/>
      <c r="D61" s="160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675" t="s">
        <v>498</v>
      </c>
      <c r="P61" s="675"/>
      <c r="Q61" s="675"/>
      <c r="R61" s="675"/>
      <c r="S61" s="674">
        <v>0</v>
      </c>
      <c r="T61" s="386" t="s">
        <v>57</v>
      </c>
      <c r="U61" s="552" t="s">
        <v>58</v>
      </c>
      <c r="V61" s="554">
        <v>1</v>
      </c>
      <c r="W61" s="552" t="s">
        <v>56</v>
      </c>
      <c r="X61" s="555"/>
      <c r="Y61" s="76"/>
      <c r="Z61" s="76"/>
      <c r="AA61" s="386" t="s">
        <v>53</v>
      </c>
      <c r="AB61" s="674" t="s">
        <v>499</v>
      </c>
      <c r="AC61" s="136"/>
      <c r="AD61" s="136">
        <f>ROUNDUP(S61*V61,-3)</f>
        <v>0</v>
      </c>
      <c r="AE61" s="137" t="s">
        <v>57</v>
      </c>
      <c r="AF61" s="2"/>
    </row>
    <row r="62" spans="1:32" s="11" customFormat="1" ht="21" customHeight="1">
      <c r="A62" s="45"/>
      <c r="B62" s="59"/>
      <c r="C62" s="59"/>
      <c r="D62" s="161"/>
      <c r="E62" s="111"/>
      <c r="F62" s="111"/>
      <c r="G62" s="111"/>
      <c r="H62" s="111"/>
      <c r="I62" s="111"/>
      <c r="J62" s="111"/>
      <c r="K62" s="111"/>
      <c r="L62" s="111"/>
      <c r="M62" s="111"/>
      <c r="N62" s="84"/>
      <c r="O62" s="384"/>
      <c r="P62" s="384"/>
      <c r="Q62" s="384"/>
      <c r="R62" s="384"/>
      <c r="S62" s="556"/>
      <c r="T62" s="557"/>
      <c r="U62" s="557"/>
      <c r="V62" s="557"/>
      <c r="W62" s="556"/>
      <c r="X62" s="557"/>
      <c r="Y62" s="557"/>
      <c r="Z62" s="557"/>
      <c r="AA62" s="556"/>
      <c r="AB62" s="557"/>
      <c r="AC62" s="557"/>
      <c r="AD62" s="556"/>
      <c r="AE62" s="558"/>
      <c r="AF62" s="2"/>
    </row>
    <row r="63" spans="1:32" s="11" customFormat="1" ht="21" customHeight="1">
      <c r="A63" s="45"/>
      <c r="B63" s="46" t="s">
        <v>137</v>
      </c>
      <c r="C63" s="46" t="s">
        <v>5</v>
      </c>
      <c r="D63" s="109">
        <f>SUM(D64,D67,D69)</f>
        <v>100</v>
      </c>
      <c r="E63" s="109">
        <f>SUM(E64,E67,E69)</f>
        <v>60</v>
      </c>
      <c r="F63" s="109">
        <f t="shared" ref="F63:L63" si="6">SUM(F64,F67,F69)</f>
        <v>0</v>
      </c>
      <c r="G63" s="109">
        <f t="shared" si="6"/>
        <v>0</v>
      </c>
      <c r="H63" s="109">
        <f t="shared" si="6"/>
        <v>0</v>
      </c>
      <c r="I63" s="109">
        <f t="shared" si="6"/>
        <v>0</v>
      </c>
      <c r="J63" s="109">
        <f t="shared" si="6"/>
        <v>60</v>
      </c>
      <c r="K63" s="109">
        <f t="shared" si="6"/>
        <v>0</v>
      </c>
      <c r="L63" s="109">
        <f t="shared" si="6"/>
        <v>0</v>
      </c>
      <c r="M63" s="109">
        <f>E63-D63</f>
        <v>-40</v>
      </c>
      <c r="N63" s="70">
        <f>IF(D63=0,0,M63/D63)</f>
        <v>-0.4</v>
      </c>
      <c r="O63" s="187" t="s">
        <v>145</v>
      </c>
      <c r="P63" s="32"/>
      <c r="Q63" s="32"/>
      <c r="R63" s="32"/>
      <c r="S63" s="33"/>
      <c r="T63" s="33"/>
      <c r="U63" s="33"/>
      <c r="V63" s="33"/>
      <c r="W63" s="190"/>
      <c r="X63" s="190"/>
      <c r="Y63" s="190"/>
      <c r="Z63" s="190"/>
      <c r="AA63" s="190"/>
      <c r="AB63" s="190"/>
      <c r="AC63" s="94"/>
      <c r="AD63" s="94">
        <f>SUM(AD64,AD67,AD69)</f>
        <v>60000</v>
      </c>
      <c r="AE63" s="95" t="s">
        <v>25</v>
      </c>
      <c r="AF63" s="5"/>
    </row>
    <row r="64" spans="1:32" s="11" customFormat="1" ht="21" customHeight="1">
      <c r="A64" s="45"/>
      <c r="B64" s="46" t="s">
        <v>144</v>
      </c>
      <c r="C64" s="36" t="s">
        <v>10</v>
      </c>
      <c r="D64" s="162">
        <v>50</v>
      </c>
      <c r="E64" s="114">
        <f>SUM(F64:L64)</f>
        <v>30</v>
      </c>
      <c r="F64" s="113">
        <v>0</v>
      </c>
      <c r="G64" s="113">
        <v>0</v>
      </c>
      <c r="H64" s="113">
        <v>0</v>
      </c>
      <c r="I64" s="113">
        <v>0</v>
      </c>
      <c r="J64" s="113">
        <f>AD65/1000</f>
        <v>30</v>
      </c>
      <c r="K64" s="113">
        <v>0</v>
      </c>
      <c r="L64" s="113">
        <v>0</v>
      </c>
      <c r="M64" s="113">
        <f>E64-D64</f>
        <v>-20</v>
      </c>
      <c r="N64" s="121">
        <f>IF(D64=0,0,M64/D64)</f>
        <v>-0.4</v>
      </c>
      <c r="O64" s="97" t="s">
        <v>37</v>
      </c>
      <c r="P64" s="151"/>
      <c r="Q64" s="166"/>
      <c r="R64" s="166"/>
      <c r="S64" s="166"/>
      <c r="T64" s="88"/>
      <c r="U64" s="88"/>
      <c r="V64" s="88"/>
      <c r="W64" s="88"/>
      <c r="X64" s="88"/>
      <c r="Y64" s="178" t="s">
        <v>147</v>
      </c>
      <c r="Z64" s="178"/>
      <c r="AA64" s="178"/>
      <c r="AB64" s="178"/>
      <c r="AC64" s="180"/>
      <c r="AD64" s="180">
        <f>AD65</f>
        <v>30000</v>
      </c>
      <c r="AE64" s="179" t="s">
        <v>25</v>
      </c>
    </row>
    <row r="65" spans="1:34" s="11" customFormat="1" ht="21" customHeight="1">
      <c r="A65" s="45"/>
      <c r="B65" s="46"/>
      <c r="C65" s="46"/>
      <c r="D65" s="160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684" t="s">
        <v>511</v>
      </c>
      <c r="P65" s="539"/>
      <c r="Q65" s="539"/>
      <c r="R65" s="539"/>
      <c r="S65" s="538"/>
      <c r="T65" s="392"/>
      <c r="U65" s="392"/>
      <c r="V65" s="538"/>
      <c r="W65" s="539"/>
      <c r="X65" s="538"/>
      <c r="Y65" s="538"/>
      <c r="Z65" s="538"/>
      <c r="AA65" s="538"/>
      <c r="AB65" s="683" t="s">
        <v>512</v>
      </c>
      <c r="AC65" s="538"/>
      <c r="AD65" s="629">
        <v>30000</v>
      </c>
      <c r="AE65" s="137" t="s">
        <v>375</v>
      </c>
      <c r="AF65" s="2"/>
    </row>
    <row r="66" spans="1:34" s="11" customFormat="1" ht="21" customHeight="1">
      <c r="A66" s="45"/>
      <c r="B66" s="46"/>
      <c r="C66" s="59"/>
      <c r="D66" s="161"/>
      <c r="E66" s="111"/>
      <c r="F66" s="111"/>
      <c r="G66" s="111"/>
      <c r="H66" s="111"/>
      <c r="I66" s="111"/>
      <c r="J66" s="111"/>
      <c r="K66" s="111"/>
      <c r="L66" s="111"/>
      <c r="M66" s="111"/>
      <c r="N66" s="84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124"/>
      <c r="AF66" s="1"/>
    </row>
    <row r="67" spans="1:34" s="11" customFormat="1" ht="21" customHeight="1">
      <c r="A67" s="45"/>
      <c r="B67" s="46"/>
      <c r="C67" s="46" t="s">
        <v>11</v>
      </c>
      <c r="D67" s="160">
        <v>0</v>
      </c>
      <c r="E67" s="114">
        <f>SUM(F67:L67)</f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f>E67-D67</f>
        <v>0</v>
      </c>
      <c r="N67" s="70">
        <f>IF(D67=0,0,M67/D67)</f>
        <v>0</v>
      </c>
      <c r="O67" s="97" t="s">
        <v>146</v>
      </c>
      <c r="P67" s="177"/>
      <c r="Q67" s="32"/>
      <c r="R67" s="32"/>
      <c r="S67" s="32"/>
      <c r="T67" s="33"/>
      <c r="U67" s="33"/>
      <c r="V67" s="33"/>
      <c r="W67" s="33"/>
      <c r="X67" s="33"/>
      <c r="Y67" s="178" t="s">
        <v>147</v>
      </c>
      <c r="Z67" s="178"/>
      <c r="AA67" s="178"/>
      <c r="AB67" s="178"/>
      <c r="AC67" s="180"/>
      <c r="AD67" s="180">
        <v>0</v>
      </c>
      <c r="AE67" s="179" t="s">
        <v>25</v>
      </c>
      <c r="AF67" s="1"/>
    </row>
    <row r="68" spans="1:34" s="11" customFormat="1" ht="21" customHeight="1">
      <c r="A68" s="45"/>
      <c r="B68" s="46"/>
      <c r="C68" s="59"/>
      <c r="D68" s="161"/>
      <c r="E68" s="111"/>
      <c r="F68" s="111"/>
      <c r="G68" s="111"/>
      <c r="H68" s="111"/>
      <c r="I68" s="111"/>
      <c r="J68" s="111"/>
      <c r="K68" s="111"/>
      <c r="L68" s="111"/>
      <c r="M68" s="111"/>
      <c r="N68" s="84"/>
      <c r="O68" s="155"/>
      <c r="P68" s="81"/>
      <c r="Q68" s="81"/>
      <c r="R68" s="81"/>
      <c r="S68" s="80"/>
      <c r="T68" s="85"/>
      <c r="U68" s="85"/>
      <c r="V68" s="80"/>
      <c r="W68" s="81"/>
      <c r="X68" s="80"/>
      <c r="Y68" s="80"/>
      <c r="Z68" s="80"/>
      <c r="AA68" s="80"/>
      <c r="AB68" s="80"/>
      <c r="AC68" s="80"/>
      <c r="AD68" s="80"/>
      <c r="AE68" s="73"/>
      <c r="AF68" s="1"/>
    </row>
    <row r="69" spans="1:34" s="11" customFormat="1" ht="21" customHeight="1">
      <c r="A69" s="45"/>
      <c r="B69" s="46"/>
      <c r="C69" s="46" t="s">
        <v>85</v>
      </c>
      <c r="D69" s="160">
        <v>50</v>
      </c>
      <c r="E69" s="114">
        <f>SUM(F69:L69)</f>
        <v>30</v>
      </c>
      <c r="F69" s="109">
        <v>0</v>
      </c>
      <c r="G69" s="109">
        <v>0</v>
      </c>
      <c r="H69" s="109">
        <v>0</v>
      </c>
      <c r="I69" s="109">
        <v>0</v>
      </c>
      <c r="J69" s="109">
        <f>AD70/1000</f>
        <v>30</v>
      </c>
      <c r="K69" s="113">
        <v>0</v>
      </c>
      <c r="L69" s="109">
        <v>0</v>
      </c>
      <c r="M69" s="109">
        <f>E69-D69</f>
        <v>-20</v>
      </c>
      <c r="N69" s="70">
        <f>IF(D69=0,0,M69/D69)</f>
        <v>-0.4</v>
      </c>
      <c r="O69" s="116" t="s">
        <v>38</v>
      </c>
      <c r="P69" s="32"/>
      <c r="Q69" s="32"/>
      <c r="R69" s="32"/>
      <c r="S69" s="32"/>
      <c r="T69" s="33"/>
      <c r="U69" s="33"/>
      <c r="V69" s="33"/>
      <c r="W69" s="33"/>
      <c r="X69" s="33"/>
      <c r="Y69" s="178" t="s">
        <v>147</v>
      </c>
      <c r="Z69" s="178"/>
      <c r="AA69" s="178"/>
      <c r="AB69" s="178"/>
      <c r="AC69" s="180"/>
      <c r="AD69" s="180">
        <f>SUM(AD70:AD70)</f>
        <v>30000</v>
      </c>
      <c r="AE69" s="179" t="s">
        <v>25</v>
      </c>
      <c r="AF69" s="1"/>
    </row>
    <row r="70" spans="1:34" s="14" customFormat="1" ht="21" customHeight="1">
      <c r="A70" s="45"/>
      <c r="B70" s="46"/>
      <c r="C70" s="46"/>
      <c r="D70" s="160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291" t="s">
        <v>513</v>
      </c>
      <c r="P70" s="291"/>
      <c r="Q70" s="291"/>
      <c r="R70" s="291"/>
      <c r="S70" s="683">
        <v>25000</v>
      </c>
      <c r="T70" s="683" t="s">
        <v>57</v>
      </c>
      <c r="U70" s="684" t="s">
        <v>58</v>
      </c>
      <c r="V70" s="683">
        <v>2</v>
      </c>
      <c r="W70" s="683" t="s">
        <v>514</v>
      </c>
      <c r="X70" s="684"/>
      <c r="Y70" s="393"/>
      <c r="Z70" s="386"/>
      <c r="AA70" s="386" t="s">
        <v>53</v>
      </c>
      <c r="AB70" s="386" t="s">
        <v>512</v>
      </c>
      <c r="AC70" s="627"/>
      <c r="AD70" s="627">
        <v>30000</v>
      </c>
      <c r="AE70" s="137" t="s">
        <v>57</v>
      </c>
      <c r="AF70" s="4"/>
    </row>
    <row r="71" spans="1:34" s="14" customFormat="1" ht="21" customHeight="1">
      <c r="A71" s="45"/>
      <c r="B71" s="46"/>
      <c r="C71" s="46"/>
      <c r="D71" s="160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539"/>
      <c r="P71" s="539"/>
      <c r="Q71" s="539"/>
      <c r="R71" s="539"/>
      <c r="S71" s="538"/>
      <c r="T71" s="392"/>
      <c r="U71" s="392"/>
      <c r="V71" s="538"/>
      <c r="W71" s="539"/>
      <c r="X71" s="538"/>
      <c r="Y71" s="538"/>
      <c r="Z71" s="538"/>
      <c r="AA71" s="538"/>
      <c r="AB71" s="538"/>
      <c r="AC71" s="538"/>
      <c r="AD71" s="538"/>
      <c r="AE71" s="137"/>
      <c r="AF71" s="4"/>
    </row>
    <row r="72" spans="1:34" s="11" customFormat="1" ht="21" customHeight="1">
      <c r="A72" s="45"/>
      <c r="B72" s="36" t="s">
        <v>12</v>
      </c>
      <c r="C72" s="174" t="s">
        <v>5</v>
      </c>
      <c r="D72" s="175">
        <f t="shared" ref="D72:L72" si="7">SUM(D73,D76,D81,D88,D107,D112)</f>
        <v>7291</v>
      </c>
      <c r="E72" s="175">
        <f t="shared" si="7"/>
        <v>7891</v>
      </c>
      <c r="F72" s="175">
        <f t="shared" si="7"/>
        <v>4691</v>
      </c>
      <c r="G72" s="175">
        <f t="shared" si="7"/>
        <v>0</v>
      </c>
      <c r="H72" s="175">
        <f t="shared" si="7"/>
        <v>0</v>
      </c>
      <c r="I72" s="175">
        <f t="shared" si="7"/>
        <v>0</v>
      </c>
      <c r="J72" s="175">
        <f t="shared" si="7"/>
        <v>3200</v>
      </c>
      <c r="K72" s="175">
        <f t="shared" si="7"/>
        <v>0</v>
      </c>
      <c r="L72" s="175">
        <f t="shared" si="7"/>
        <v>0</v>
      </c>
      <c r="M72" s="175">
        <f>E72-D72</f>
        <v>600</v>
      </c>
      <c r="N72" s="176">
        <f>IF(D72=0,0,M72/D72)</f>
        <v>8.2293238238924704E-2</v>
      </c>
      <c r="O72" s="177" t="s">
        <v>149</v>
      </c>
      <c r="P72" s="177"/>
      <c r="Q72" s="177"/>
      <c r="R72" s="177"/>
      <c r="S72" s="178"/>
      <c r="T72" s="192"/>
      <c r="U72" s="178"/>
      <c r="V72" s="761"/>
      <c r="W72" s="762"/>
      <c r="X72" s="178"/>
      <c r="Y72" s="178"/>
      <c r="Z72" s="178"/>
      <c r="AA72" s="178"/>
      <c r="AB72" s="178"/>
      <c r="AC72" s="178"/>
      <c r="AD72" s="178">
        <f>SUM(AD73,AD76,AD81,AD88,AD107,AD112)</f>
        <v>7891000</v>
      </c>
      <c r="AE72" s="179" t="s">
        <v>25</v>
      </c>
      <c r="AF72" s="1"/>
    </row>
    <row r="73" spans="1:34" s="11" customFormat="1" ht="21" customHeight="1">
      <c r="A73" s="45"/>
      <c r="B73" s="46"/>
      <c r="C73" s="46" t="s">
        <v>86</v>
      </c>
      <c r="D73" s="160">
        <v>90</v>
      </c>
      <c r="E73" s="114">
        <f>SUM(F73:L73)</f>
        <v>90</v>
      </c>
      <c r="F73" s="109">
        <v>0</v>
      </c>
      <c r="G73" s="109">
        <v>0</v>
      </c>
      <c r="H73" s="109">
        <v>0</v>
      </c>
      <c r="I73" s="109">
        <v>0</v>
      </c>
      <c r="J73" s="109">
        <f>AD74/1000</f>
        <v>90</v>
      </c>
      <c r="K73" s="109">
        <v>0</v>
      </c>
      <c r="L73" s="109">
        <v>0</v>
      </c>
      <c r="M73" s="109">
        <f>E73-D73</f>
        <v>0</v>
      </c>
      <c r="N73" s="70">
        <f>IF(D73=0,0,M73/D73)</f>
        <v>0</v>
      </c>
      <c r="O73" s="116" t="s">
        <v>40</v>
      </c>
      <c r="P73" s="32"/>
      <c r="Q73" s="32"/>
      <c r="R73" s="32"/>
      <c r="S73" s="32"/>
      <c r="T73" s="33"/>
      <c r="U73" s="33"/>
      <c r="V73" s="33"/>
      <c r="W73" s="33"/>
      <c r="X73" s="33"/>
      <c r="Y73" s="525" t="s">
        <v>147</v>
      </c>
      <c r="Z73" s="525"/>
      <c r="AA73" s="525"/>
      <c r="AB73" s="525"/>
      <c r="AC73" s="180"/>
      <c r="AD73" s="180">
        <f>SUM(AD74:AD74)</f>
        <v>90000</v>
      </c>
      <c r="AE73" s="179" t="s">
        <v>25</v>
      </c>
      <c r="AF73" s="20"/>
      <c r="AG73" s="19"/>
      <c r="AH73" s="19"/>
    </row>
    <row r="74" spans="1:34" s="11" customFormat="1" ht="21" customHeight="1">
      <c r="A74" s="45"/>
      <c r="B74" s="46"/>
      <c r="C74" s="46"/>
      <c r="D74" s="160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291" t="s">
        <v>294</v>
      </c>
      <c r="P74" s="291"/>
      <c r="Q74" s="291"/>
      <c r="R74" s="291"/>
      <c r="S74" s="289">
        <v>30000</v>
      </c>
      <c r="T74" s="432" t="s">
        <v>25</v>
      </c>
      <c r="U74" s="432" t="s">
        <v>26</v>
      </c>
      <c r="V74" s="289">
        <v>1</v>
      </c>
      <c r="W74" s="432" t="s">
        <v>150</v>
      </c>
      <c r="X74" s="289" t="s">
        <v>26</v>
      </c>
      <c r="Y74" s="289">
        <v>3</v>
      </c>
      <c r="Z74" s="289" t="s">
        <v>281</v>
      </c>
      <c r="AA74" s="289" t="s">
        <v>27</v>
      </c>
      <c r="AB74" s="289" t="s">
        <v>750</v>
      </c>
      <c r="AC74" s="289"/>
      <c r="AD74" s="289">
        <f>S74*V74*Y74</f>
        <v>90000</v>
      </c>
      <c r="AE74" s="398" t="s">
        <v>280</v>
      </c>
      <c r="AF74" s="2"/>
    </row>
    <row r="75" spans="1:34" s="11" customFormat="1" ht="21" customHeight="1">
      <c r="A75" s="45"/>
      <c r="B75" s="46"/>
      <c r="C75" s="46"/>
      <c r="D75" s="160"/>
      <c r="E75" s="109"/>
      <c r="F75" s="109"/>
      <c r="G75" s="109"/>
      <c r="H75" s="109"/>
      <c r="I75" s="109"/>
      <c r="J75" s="109"/>
      <c r="K75" s="109"/>
      <c r="L75" s="109"/>
      <c r="M75" s="109"/>
      <c r="N75" s="70"/>
      <c r="O75" s="189"/>
      <c r="P75" s="50"/>
      <c r="Q75" s="50"/>
      <c r="R75" s="50"/>
      <c r="S75" s="51"/>
      <c r="T75" s="55"/>
      <c r="U75" s="55"/>
      <c r="V75" s="51"/>
      <c r="W75" s="55"/>
      <c r="X75" s="51"/>
      <c r="Y75" s="51"/>
      <c r="Z75" s="188"/>
      <c r="AA75" s="51"/>
      <c r="AB75" s="188"/>
      <c r="AC75" s="51"/>
      <c r="AD75" s="51"/>
      <c r="AE75" s="57" t="s">
        <v>67</v>
      </c>
      <c r="AF75" s="2"/>
    </row>
    <row r="76" spans="1:34" s="11" customFormat="1" ht="21" customHeight="1">
      <c r="A76" s="45"/>
      <c r="B76" s="46"/>
      <c r="C76" s="36" t="s">
        <v>41</v>
      </c>
      <c r="D76" s="162">
        <v>2489</v>
      </c>
      <c r="E76" s="114">
        <f>SUM(F76:L76)</f>
        <v>2789</v>
      </c>
      <c r="F76" s="123">
        <f>ROUNDDOWN(SUM(AD77,AD78),-3)/1000</f>
        <v>1589</v>
      </c>
      <c r="G76" s="123">
        <v>0</v>
      </c>
      <c r="H76" s="123">
        <v>0</v>
      </c>
      <c r="I76" s="123">
        <v>0</v>
      </c>
      <c r="J76" s="123">
        <f>AD79/1000</f>
        <v>1200</v>
      </c>
      <c r="K76" s="123">
        <v>0</v>
      </c>
      <c r="L76" s="123">
        <v>0</v>
      </c>
      <c r="M76" s="113">
        <f>E76-D76</f>
        <v>300</v>
      </c>
      <c r="N76" s="121">
        <f>IF(D76=0,0,M76/D76)</f>
        <v>0.12053033346725593</v>
      </c>
      <c r="O76" s="399" t="s">
        <v>42</v>
      </c>
      <c r="P76" s="400"/>
      <c r="Q76" s="400"/>
      <c r="R76" s="400"/>
      <c r="S76" s="400"/>
      <c r="T76" s="401"/>
      <c r="U76" s="401"/>
      <c r="V76" s="401"/>
      <c r="W76" s="401"/>
      <c r="X76" s="401"/>
      <c r="Y76" s="402" t="s">
        <v>28</v>
      </c>
      <c r="Z76" s="402"/>
      <c r="AA76" s="402"/>
      <c r="AB76" s="402"/>
      <c r="AC76" s="403"/>
      <c r="AD76" s="403">
        <f>ROUNDDOWN(SUM(AD77:AD79),-3)</f>
        <v>2789000</v>
      </c>
      <c r="AE76" s="179" t="s">
        <v>25</v>
      </c>
      <c r="AF76" s="1"/>
    </row>
    <row r="77" spans="1:34" s="11" customFormat="1" ht="21" customHeight="1">
      <c r="A77" s="45"/>
      <c r="B77" s="46"/>
      <c r="C77" s="46" t="s">
        <v>154</v>
      </c>
      <c r="D77" s="160"/>
      <c r="E77" s="109"/>
      <c r="F77" s="109"/>
      <c r="G77" s="109"/>
      <c r="H77" s="109"/>
      <c r="I77" s="109"/>
      <c r="J77" s="109"/>
      <c r="K77" s="109"/>
      <c r="L77" s="109"/>
      <c r="M77" s="109"/>
      <c r="N77" s="70"/>
      <c r="O77" s="404" t="s">
        <v>516</v>
      </c>
      <c r="P77" s="539"/>
      <c r="Q77" s="539"/>
      <c r="R77" s="539"/>
      <c r="S77" s="538"/>
      <c r="T77" s="392"/>
      <c r="U77" s="538"/>
      <c r="V77" s="405">
        <v>89590</v>
      </c>
      <c r="W77" s="406" t="s">
        <v>57</v>
      </c>
      <c r="X77" s="406" t="s">
        <v>26</v>
      </c>
      <c r="Y77" s="405">
        <v>12</v>
      </c>
      <c r="Z77" s="407" t="s">
        <v>29</v>
      </c>
      <c r="AA77" s="405" t="s">
        <v>27</v>
      </c>
      <c r="AB77" s="388" t="s">
        <v>381</v>
      </c>
      <c r="AC77" s="388"/>
      <c r="AD77" s="627">
        <f>V77*Y77+49920</f>
        <v>1125000</v>
      </c>
      <c r="AE77" s="559" t="s">
        <v>25</v>
      </c>
      <c r="AF77" s="1"/>
    </row>
    <row r="78" spans="1:34" s="11" customFormat="1" ht="21" customHeight="1">
      <c r="A78" s="45"/>
      <c r="B78" s="46"/>
      <c r="C78" s="46"/>
      <c r="D78" s="160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684" t="s">
        <v>515</v>
      </c>
      <c r="P78" s="539"/>
      <c r="Q78" s="539"/>
      <c r="R78" s="539"/>
      <c r="S78" s="538"/>
      <c r="T78" s="392"/>
      <c r="U78" s="392"/>
      <c r="V78" s="405">
        <v>38700</v>
      </c>
      <c r="W78" s="406" t="s">
        <v>57</v>
      </c>
      <c r="X78" s="406" t="s">
        <v>26</v>
      </c>
      <c r="Y78" s="405">
        <v>12</v>
      </c>
      <c r="Z78" s="407" t="s">
        <v>29</v>
      </c>
      <c r="AA78" s="405" t="s">
        <v>27</v>
      </c>
      <c r="AB78" s="627" t="s">
        <v>445</v>
      </c>
      <c r="AC78" s="627"/>
      <c r="AD78" s="627">
        <f>V78*Y78</f>
        <v>464400</v>
      </c>
      <c r="AE78" s="137" t="s">
        <v>57</v>
      </c>
      <c r="AF78" s="20"/>
    </row>
    <row r="79" spans="1:34" s="11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684" t="s">
        <v>517</v>
      </c>
      <c r="P79" s="539"/>
      <c r="Q79" s="539"/>
      <c r="R79" s="539"/>
      <c r="S79" s="538"/>
      <c r="T79" s="392"/>
      <c r="U79" s="392"/>
      <c r="V79" s="538"/>
      <c r="W79" s="539"/>
      <c r="X79" s="538"/>
      <c r="Y79" s="538"/>
      <c r="Z79" s="538"/>
      <c r="AA79" s="538"/>
      <c r="AB79" s="683" t="s">
        <v>512</v>
      </c>
      <c r="AC79" s="538"/>
      <c r="AD79" s="538">
        <v>1200000</v>
      </c>
      <c r="AE79" s="137" t="s">
        <v>372</v>
      </c>
      <c r="AF79" s="20"/>
    </row>
    <row r="80" spans="1:34" s="11" customFormat="1" ht="21" customHeight="1">
      <c r="A80" s="45"/>
      <c r="B80" s="46"/>
      <c r="C80" s="59"/>
      <c r="D80" s="161"/>
      <c r="E80" s="111"/>
      <c r="F80" s="111"/>
      <c r="G80" s="111"/>
      <c r="H80" s="111"/>
      <c r="I80" s="111"/>
      <c r="J80" s="111"/>
      <c r="K80" s="111"/>
      <c r="L80" s="111"/>
      <c r="M80" s="111"/>
      <c r="N80" s="84"/>
      <c r="O80" s="540"/>
      <c r="P80" s="540"/>
      <c r="Q80" s="540"/>
      <c r="R80" s="540"/>
      <c r="S80" s="540"/>
      <c r="T80" s="540"/>
      <c r="U80" s="540"/>
      <c r="V80" s="540"/>
      <c r="W80" s="540"/>
      <c r="X80" s="540"/>
      <c r="Y80" s="540"/>
      <c r="Z80" s="540"/>
      <c r="AA80" s="540"/>
      <c r="AB80" s="540"/>
      <c r="AC80" s="540"/>
      <c r="AD80" s="541"/>
      <c r="AE80" s="542"/>
      <c r="AF80" s="1"/>
    </row>
    <row r="81" spans="1:32" s="11" customFormat="1" ht="21" customHeight="1">
      <c r="A81" s="45"/>
      <c r="B81" s="46"/>
      <c r="C81" s="46" t="s">
        <v>39</v>
      </c>
      <c r="D81" s="160">
        <v>3552</v>
      </c>
      <c r="E81" s="114">
        <f>SUM(F81:L81)</f>
        <v>3852</v>
      </c>
      <c r="F81" s="592">
        <f>SUM(AD82,AD84)/1000</f>
        <v>3102</v>
      </c>
      <c r="G81" s="592">
        <v>0</v>
      </c>
      <c r="H81" s="592">
        <v>0</v>
      </c>
      <c r="I81" s="592">
        <v>0</v>
      </c>
      <c r="J81" s="592">
        <f>SUM(AD83,AD85:AD86)/1000</f>
        <v>750</v>
      </c>
      <c r="K81" s="592">
        <v>0</v>
      </c>
      <c r="L81" s="592">
        <v>0</v>
      </c>
      <c r="M81" s="109">
        <f>E81-D81</f>
        <v>300</v>
      </c>
      <c r="N81" s="70">
        <f>IF(D81=0,0,M81/D81)</f>
        <v>8.4459459459459457E-2</v>
      </c>
      <c r="O81" s="433" t="s">
        <v>43</v>
      </c>
      <c r="P81" s="434"/>
      <c r="Q81" s="434"/>
      <c r="R81" s="434"/>
      <c r="S81" s="434"/>
      <c r="T81" s="435"/>
      <c r="U81" s="435"/>
      <c r="V81" s="435"/>
      <c r="W81" s="435"/>
      <c r="X81" s="435"/>
      <c r="Y81" s="436" t="s">
        <v>286</v>
      </c>
      <c r="Z81" s="436"/>
      <c r="AA81" s="436"/>
      <c r="AB81" s="436"/>
      <c r="AC81" s="437"/>
      <c r="AD81" s="437">
        <f>ROUND(SUM(AD82:AD86),-3)</f>
        <v>3852000</v>
      </c>
      <c r="AE81" s="438" t="s">
        <v>25</v>
      </c>
      <c r="AF81" s="1"/>
    </row>
    <row r="82" spans="1:32" s="11" customFormat="1" ht="21" customHeight="1">
      <c r="A82" s="45"/>
      <c r="B82" s="46"/>
      <c r="C82" s="46"/>
      <c r="D82" s="160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439" t="s">
        <v>518</v>
      </c>
      <c r="P82" s="291"/>
      <c r="Q82" s="291"/>
      <c r="R82" s="291"/>
      <c r="S82" s="289">
        <v>42000</v>
      </c>
      <c r="T82" s="441" t="s">
        <v>25</v>
      </c>
      <c r="U82" s="441" t="s">
        <v>26</v>
      </c>
      <c r="V82" s="440">
        <v>11</v>
      </c>
      <c r="W82" s="442" t="s">
        <v>29</v>
      </c>
      <c r="X82" s="440" t="s">
        <v>27</v>
      </c>
      <c r="Y82" s="289"/>
      <c r="Z82" s="289"/>
      <c r="AA82" s="289"/>
      <c r="AB82" s="289" t="s">
        <v>290</v>
      </c>
      <c r="AC82" s="289"/>
      <c r="AD82" s="289">
        <f>S82*V82</f>
        <v>462000</v>
      </c>
      <c r="AE82" s="398" t="s">
        <v>25</v>
      </c>
      <c r="AF82" s="1"/>
    </row>
    <row r="83" spans="1:32" s="11" customFormat="1" ht="21" customHeight="1">
      <c r="A83" s="45"/>
      <c r="B83" s="46"/>
      <c r="C83" s="46"/>
      <c r="D83" s="160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291"/>
      <c r="P83" s="291"/>
      <c r="Q83" s="291"/>
      <c r="R83" s="291"/>
      <c r="S83" s="289">
        <v>50000</v>
      </c>
      <c r="T83" s="432" t="s">
        <v>280</v>
      </c>
      <c r="U83" s="432" t="s">
        <v>26</v>
      </c>
      <c r="V83" s="289">
        <v>1</v>
      </c>
      <c r="W83" s="291" t="s">
        <v>284</v>
      </c>
      <c r="X83" s="289" t="s">
        <v>27</v>
      </c>
      <c r="Y83" s="289"/>
      <c r="Z83" s="289"/>
      <c r="AA83" s="289"/>
      <c r="AB83" s="289" t="s">
        <v>519</v>
      </c>
      <c r="AC83" s="289"/>
      <c r="AD83" s="289">
        <f>S83*V83</f>
        <v>50000</v>
      </c>
      <c r="AE83" s="398" t="s">
        <v>280</v>
      </c>
      <c r="AF83" s="1"/>
    </row>
    <row r="84" spans="1:32" s="11" customFormat="1" ht="21" customHeight="1">
      <c r="A84" s="45"/>
      <c r="B84" s="46"/>
      <c r="C84" s="46"/>
      <c r="D84" s="160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291" t="s">
        <v>520</v>
      </c>
      <c r="P84" s="291"/>
      <c r="Q84" s="291"/>
      <c r="R84" s="291"/>
      <c r="S84" s="289">
        <v>240000</v>
      </c>
      <c r="T84" s="432" t="s">
        <v>280</v>
      </c>
      <c r="U84" s="432" t="s">
        <v>26</v>
      </c>
      <c r="V84" s="289">
        <v>11</v>
      </c>
      <c r="W84" s="291" t="s">
        <v>284</v>
      </c>
      <c r="X84" s="289" t="s">
        <v>27</v>
      </c>
      <c r="Y84" s="289"/>
      <c r="Z84" s="289"/>
      <c r="AA84" s="289"/>
      <c r="AB84" s="289" t="s">
        <v>290</v>
      </c>
      <c r="AC84" s="289"/>
      <c r="AD84" s="289">
        <f>S84*V84</f>
        <v>2640000</v>
      </c>
      <c r="AE84" s="398" t="s">
        <v>25</v>
      </c>
      <c r="AF84" s="1"/>
    </row>
    <row r="85" spans="1:32" s="11" customFormat="1" ht="21" customHeight="1">
      <c r="A85" s="45"/>
      <c r="B85" s="46"/>
      <c r="C85" s="46"/>
      <c r="D85" s="160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291"/>
      <c r="P85" s="291"/>
      <c r="Q85" s="291"/>
      <c r="R85" s="291"/>
      <c r="S85" s="289">
        <v>350000</v>
      </c>
      <c r="T85" s="432" t="s">
        <v>57</v>
      </c>
      <c r="U85" s="432" t="s">
        <v>26</v>
      </c>
      <c r="V85" s="289">
        <v>2</v>
      </c>
      <c r="W85" s="291" t="s">
        <v>169</v>
      </c>
      <c r="X85" s="289" t="s">
        <v>27</v>
      </c>
      <c r="Y85" s="289"/>
      <c r="Z85" s="289"/>
      <c r="AA85" s="289"/>
      <c r="AB85" s="289" t="s">
        <v>288</v>
      </c>
      <c r="AC85" s="289"/>
      <c r="AD85" s="289">
        <v>650000</v>
      </c>
      <c r="AE85" s="398" t="s">
        <v>25</v>
      </c>
      <c r="AF85" s="1"/>
    </row>
    <row r="86" spans="1:32" s="14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291" t="s">
        <v>521</v>
      </c>
      <c r="P86" s="539"/>
      <c r="Q86" s="539"/>
      <c r="R86" s="539"/>
      <c r="S86" s="289"/>
      <c r="T86" s="432"/>
      <c r="U86" s="432"/>
      <c r="V86" s="289"/>
      <c r="W86" s="291"/>
      <c r="X86" s="289"/>
      <c r="Y86" s="289"/>
      <c r="Z86" s="289"/>
      <c r="AA86" s="289"/>
      <c r="AB86" s="289" t="s">
        <v>288</v>
      </c>
      <c r="AC86" s="289"/>
      <c r="AD86" s="289">
        <v>50000</v>
      </c>
      <c r="AE86" s="398" t="s">
        <v>25</v>
      </c>
      <c r="AF86" s="4"/>
    </row>
    <row r="87" spans="1:32" s="14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120"/>
      <c r="P87" s="50"/>
      <c r="Q87" s="50"/>
      <c r="R87" s="50"/>
      <c r="S87" s="51"/>
      <c r="T87" s="55"/>
      <c r="U87" s="55"/>
      <c r="V87" s="51"/>
      <c r="W87" s="50"/>
      <c r="X87" s="51"/>
      <c r="Y87" s="51"/>
      <c r="Z87" s="51"/>
      <c r="AA87" s="51"/>
      <c r="AB87" s="142"/>
      <c r="AC87" s="51"/>
      <c r="AD87" s="51"/>
      <c r="AE87" s="57"/>
      <c r="AF87" s="4"/>
    </row>
    <row r="88" spans="1:32" ht="21" customHeight="1">
      <c r="A88" s="45"/>
      <c r="B88" s="46"/>
      <c r="C88" s="36" t="s">
        <v>15</v>
      </c>
      <c r="D88" s="162">
        <v>610</v>
      </c>
      <c r="E88" s="114">
        <f>SUM(F88:L88)</f>
        <v>610</v>
      </c>
      <c r="F88" s="113">
        <v>0</v>
      </c>
      <c r="G88" s="113">
        <v>0</v>
      </c>
      <c r="H88" s="113">
        <v>0</v>
      </c>
      <c r="I88" s="113">
        <v>0</v>
      </c>
      <c r="J88" s="113">
        <f>AD88/1000</f>
        <v>610</v>
      </c>
      <c r="K88" s="113">
        <v>0</v>
      </c>
      <c r="L88" s="113">
        <v>0</v>
      </c>
      <c r="M88" s="193">
        <f>E88-D88</f>
        <v>0</v>
      </c>
      <c r="N88" s="121">
        <f>IF(D88=0,0,M88/D88)</f>
        <v>0</v>
      </c>
      <c r="O88" s="443" t="s">
        <v>44</v>
      </c>
      <c r="P88" s="444"/>
      <c r="Q88" s="444"/>
      <c r="R88" s="444"/>
      <c r="S88" s="444"/>
      <c r="T88" s="445"/>
      <c r="U88" s="445"/>
      <c r="V88" s="445"/>
      <c r="W88" s="445"/>
      <c r="X88" s="445"/>
      <c r="Y88" s="436" t="s">
        <v>286</v>
      </c>
      <c r="Z88" s="436"/>
      <c r="AA88" s="436"/>
      <c r="AB88" s="436"/>
      <c r="AC88" s="437"/>
      <c r="AD88" s="437">
        <f>SUM(AD89:AD106)</f>
        <v>610000</v>
      </c>
      <c r="AE88" s="438" t="s">
        <v>25</v>
      </c>
    </row>
    <row r="89" spans="1:32" s="11" customFormat="1" ht="21" customHeight="1">
      <c r="A89" s="45"/>
      <c r="B89" s="46"/>
      <c r="C89" s="46"/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684" t="s">
        <v>522</v>
      </c>
      <c r="P89" s="560"/>
      <c r="Q89" s="560"/>
      <c r="R89" s="560"/>
      <c r="S89" s="539"/>
      <c r="T89" s="136"/>
      <c r="U89" s="561"/>
      <c r="V89" s="405">
        <v>21000</v>
      </c>
      <c r="W89" s="406" t="s">
        <v>57</v>
      </c>
      <c r="X89" s="406" t="s">
        <v>26</v>
      </c>
      <c r="Y89" s="405">
        <v>1</v>
      </c>
      <c r="Z89" s="407" t="s">
        <v>530</v>
      </c>
      <c r="AA89" s="405" t="s">
        <v>27</v>
      </c>
      <c r="AB89" s="683" t="s">
        <v>519</v>
      </c>
      <c r="AC89" s="683"/>
      <c r="AD89" s="683">
        <f t="shared" ref="AD89" si="8">V89*Y89</f>
        <v>21000</v>
      </c>
      <c r="AE89" s="137" t="s">
        <v>57</v>
      </c>
      <c r="AF89" s="1"/>
    </row>
    <row r="90" spans="1:32" s="11" customFormat="1" ht="21" customHeight="1">
      <c r="A90" s="45"/>
      <c r="B90" s="46"/>
      <c r="C90" s="46"/>
      <c r="D90" s="160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539"/>
      <c r="P90" s="560"/>
      <c r="Q90" s="560"/>
      <c r="R90" s="560"/>
      <c r="S90" s="539"/>
      <c r="T90" s="136"/>
      <c r="U90" s="561"/>
      <c r="V90" s="539"/>
      <c r="W90" s="392"/>
      <c r="X90" s="538"/>
      <c r="Y90" s="538"/>
      <c r="Z90" s="538"/>
      <c r="AA90" s="539"/>
      <c r="AB90" s="630"/>
      <c r="AC90" s="538"/>
      <c r="AD90" s="538"/>
      <c r="AE90" s="137" t="s">
        <v>375</v>
      </c>
      <c r="AF90" s="1"/>
    </row>
    <row r="91" spans="1:32" s="11" customFormat="1" ht="21" customHeight="1">
      <c r="A91" s="45"/>
      <c r="B91" s="46"/>
      <c r="C91" s="46"/>
      <c r="D91" s="160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684" t="s">
        <v>523</v>
      </c>
      <c r="P91" s="562"/>
      <c r="Q91" s="562"/>
      <c r="R91" s="562"/>
      <c r="S91" s="562"/>
      <c r="T91" s="562"/>
      <c r="U91" s="562"/>
      <c r="V91" s="405">
        <v>88000</v>
      </c>
      <c r="W91" s="406" t="s">
        <v>57</v>
      </c>
      <c r="X91" s="406" t="s">
        <v>26</v>
      </c>
      <c r="Y91" s="405">
        <v>1</v>
      </c>
      <c r="Z91" s="407" t="s">
        <v>530</v>
      </c>
      <c r="AA91" s="405" t="s">
        <v>27</v>
      </c>
      <c r="AB91" s="683" t="s">
        <v>519</v>
      </c>
      <c r="AC91" s="683"/>
      <c r="AD91" s="683">
        <f t="shared" ref="AD91" si="9">V91*Y91</f>
        <v>88000</v>
      </c>
      <c r="AE91" s="137" t="s">
        <v>57</v>
      </c>
      <c r="AF91" s="1"/>
    </row>
    <row r="92" spans="1:32" s="11" customFormat="1" ht="21" customHeight="1">
      <c r="A92" s="45"/>
      <c r="B92" s="46"/>
      <c r="C92" s="46"/>
      <c r="D92" s="160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628"/>
      <c r="P92" s="562"/>
      <c r="Q92" s="562"/>
      <c r="R92" s="562"/>
      <c r="S92" s="562"/>
      <c r="T92" s="562"/>
      <c r="U92" s="562"/>
      <c r="V92" s="562"/>
      <c r="W92" s="562"/>
      <c r="X92" s="562"/>
      <c r="Y92" s="627"/>
      <c r="Z92" s="627"/>
      <c r="AA92" s="628"/>
      <c r="AB92" s="630"/>
      <c r="AC92" s="627"/>
      <c r="AD92" s="627"/>
      <c r="AE92" s="137" t="s">
        <v>447</v>
      </c>
      <c r="AF92" s="1"/>
    </row>
    <row r="93" spans="1:32" s="11" customFormat="1" ht="21" customHeight="1">
      <c r="A93" s="45"/>
      <c r="B93" s="46"/>
      <c r="C93" s="46"/>
      <c r="D93" s="160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684" t="s">
        <v>524</v>
      </c>
      <c r="P93" s="560"/>
      <c r="Q93" s="560"/>
      <c r="R93" s="560"/>
      <c r="S93" s="539"/>
      <c r="T93" s="136"/>
      <c r="U93" s="561"/>
      <c r="V93" s="405">
        <v>110000</v>
      </c>
      <c r="W93" s="406" t="s">
        <v>57</v>
      </c>
      <c r="X93" s="406" t="s">
        <v>26</v>
      </c>
      <c r="Y93" s="405">
        <v>1</v>
      </c>
      <c r="Z93" s="407" t="s">
        <v>530</v>
      </c>
      <c r="AA93" s="405" t="s">
        <v>27</v>
      </c>
      <c r="AB93" s="683" t="s">
        <v>519</v>
      </c>
      <c r="AC93" s="683"/>
      <c r="AD93" s="683">
        <f t="shared" ref="AD93" si="10">V93*Y93</f>
        <v>110000</v>
      </c>
      <c r="AE93" s="137" t="s">
        <v>57</v>
      </c>
      <c r="AF93" s="1"/>
    </row>
    <row r="94" spans="1:32" s="11" customFormat="1" ht="21" customHeight="1">
      <c r="A94" s="45"/>
      <c r="B94" s="46"/>
      <c r="C94" s="46"/>
      <c r="D94" s="160"/>
      <c r="E94" s="109"/>
      <c r="F94" s="109"/>
      <c r="G94" s="109"/>
      <c r="H94" s="109"/>
      <c r="I94" s="109"/>
      <c r="J94" s="109"/>
      <c r="K94" s="109"/>
      <c r="L94" s="109"/>
      <c r="M94" s="109"/>
      <c r="N94" s="70"/>
      <c r="O94" s="291"/>
      <c r="P94" s="447"/>
      <c r="Q94" s="447"/>
      <c r="R94" s="447"/>
      <c r="S94" s="291"/>
      <c r="T94" s="292"/>
      <c r="U94" s="446"/>
      <c r="V94" s="291"/>
      <c r="W94" s="432"/>
      <c r="X94" s="289"/>
      <c r="Y94" s="289"/>
      <c r="Z94" s="289"/>
      <c r="AA94" s="291"/>
      <c r="AB94" s="291"/>
      <c r="AC94" s="289"/>
      <c r="AD94" s="627"/>
      <c r="AE94" s="398" t="s">
        <v>280</v>
      </c>
      <c r="AF94" s="1"/>
    </row>
    <row r="95" spans="1:32" s="11" customFormat="1" ht="21" customHeight="1">
      <c r="A95" s="45"/>
      <c r="B95" s="46"/>
      <c r="C95" s="46"/>
      <c r="D95" s="160"/>
      <c r="E95" s="109"/>
      <c r="F95" s="109"/>
      <c r="G95" s="109"/>
      <c r="H95" s="109"/>
      <c r="I95" s="109"/>
      <c r="J95" s="109"/>
      <c r="K95" s="109"/>
      <c r="L95" s="109"/>
      <c r="M95" s="109"/>
      <c r="N95" s="70"/>
      <c r="O95" s="291" t="s">
        <v>525</v>
      </c>
      <c r="P95" s="447"/>
      <c r="Q95" s="447"/>
      <c r="R95" s="447"/>
      <c r="S95" s="291"/>
      <c r="T95" s="292"/>
      <c r="U95" s="446"/>
      <c r="V95" s="405">
        <v>55000</v>
      </c>
      <c r="W95" s="406" t="s">
        <v>57</v>
      </c>
      <c r="X95" s="406" t="s">
        <v>26</v>
      </c>
      <c r="Y95" s="405">
        <v>1</v>
      </c>
      <c r="Z95" s="407" t="s">
        <v>530</v>
      </c>
      <c r="AA95" s="405" t="s">
        <v>27</v>
      </c>
      <c r="AB95" s="683" t="s">
        <v>519</v>
      </c>
      <c r="AC95" s="683"/>
      <c r="AD95" s="683">
        <f t="shared" ref="AD95" si="11">V95*Y95</f>
        <v>55000</v>
      </c>
      <c r="AE95" s="137" t="s">
        <v>57</v>
      </c>
      <c r="AF95" s="1"/>
    </row>
    <row r="96" spans="1:32" s="11" customFormat="1" ht="21" customHeight="1">
      <c r="A96" s="45"/>
      <c r="B96" s="46"/>
      <c r="C96" s="46"/>
      <c r="D96" s="160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291"/>
      <c r="P96" s="447"/>
      <c r="Q96" s="447"/>
      <c r="R96" s="447"/>
      <c r="S96" s="291"/>
      <c r="T96" s="292"/>
      <c r="U96" s="446"/>
      <c r="V96" s="291"/>
      <c r="W96" s="432"/>
      <c r="X96" s="289"/>
      <c r="Y96" s="289"/>
      <c r="Z96" s="289"/>
      <c r="AA96" s="291"/>
      <c r="AB96" s="291"/>
      <c r="AC96" s="289"/>
      <c r="AD96" s="683"/>
      <c r="AE96" s="398"/>
      <c r="AF96" s="1"/>
    </row>
    <row r="97" spans="1:32" s="11" customFormat="1" ht="21" customHeight="1">
      <c r="A97" s="45"/>
      <c r="B97" s="46"/>
      <c r="C97" s="46"/>
      <c r="D97" s="160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291" t="s">
        <v>526</v>
      </c>
      <c r="P97" s="447"/>
      <c r="Q97" s="447"/>
      <c r="R97" s="447"/>
      <c r="S97" s="291"/>
      <c r="T97" s="292"/>
      <c r="U97" s="446"/>
      <c r="V97" s="405">
        <v>29000</v>
      </c>
      <c r="W97" s="406" t="s">
        <v>57</v>
      </c>
      <c r="X97" s="406" t="s">
        <v>26</v>
      </c>
      <c r="Y97" s="405">
        <v>1</v>
      </c>
      <c r="Z97" s="407" t="s">
        <v>530</v>
      </c>
      <c r="AA97" s="405" t="s">
        <v>27</v>
      </c>
      <c r="AB97" s="683" t="s">
        <v>519</v>
      </c>
      <c r="AC97" s="683"/>
      <c r="AD97" s="683">
        <f t="shared" ref="AD97" si="12">V97*Y97</f>
        <v>29000</v>
      </c>
      <c r="AE97" s="137" t="s">
        <v>57</v>
      </c>
      <c r="AF97" s="1"/>
    </row>
    <row r="98" spans="1:32" s="11" customFormat="1" ht="21" customHeight="1">
      <c r="A98" s="45"/>
      <c r="B98" s="46"/>
      <c r="C98" s="46"/>
      <c r="D98" s="160"/>
      <c r="E98" s="109"/>
      <c r="F98" s="109"/>
      <c r="G98" s="109"/>
      <c r="H98" s="109"/>
      <c r="I98" s="109"/>
      <c r="J98" s="109"/>
      <c r="K98" s="109"/>
      <c r="L98" s="109"/>
      <c r="M98" s="109"/>
      <c r="N98" s="70"/>
      <c r="O98" s="291"/>
      <c r="P98" s="447"/>
      <c r="Q98" s="447"/>
      <c r="R98" s="447"/>
      <c r="S98" s="291"/>
      <c r="T98" s="292"/>
      <c r="U98" s="446"/>
      <c r="V98" s="291"/>
      <c r="W98" s="432"/>
      <c r="X98" s="289"/>
      <c r="Y98" s="289"/>
      <c r="Z98" s="289"/>
      <c r="AA98" s="291"/>
      <c r="AB98" s="291"/>
      <c r="AC98" s="289"/>
      <c r="AD98" s="683"/>
      <c r="AE98" s="398"/>
      <c r="AF98" s="1"/>
    </row>
    <row r="99" spans="1:32" s="11" customFormat="1" ht="21" customHeight="1">
      <c r="A99" s="45"/>
      <c r="B99" s="46"/>
      <c r="C99" s="46"/>
      <c r="D99" s="160"/>
      <c r="E99" s="109"/>
      <c r="F99" s="109"/>
      <c r="G99" s="109"/>
      <c r="H99" s="109"/>
      <c r="I99" s="109"/>
      <c r="J99" s="109"/>
      <c r="K99" s="109"/>
      <c r="L99" s="109"/>
      <c r="M99" s="109"/>
      <c r="N99" s="70"/>
      <c r="O99" s="291" t="s">
        <v>527</v>
      </c>
      <c r="P99" s="447"/>
      <c r="Q99" s="447"/>
      <c r="R99" s="447"/>
      <c r="S99" s="291"/>
      <c r="T99" s="292"/>
      <c r="U99" s="446"/>
      <c r="V99" s="405">
        <v>30000</v>
      </c>
      <c r="W99" s="406" t="s">
        <v>57</v>
      </c>
      <c r="X99" s="406" t="s">
        <v>26</v>
      </c>
      <c r="Y99" s="405">
        <v>1</v>
      </c>
      <c r="Z99" s="407" t="s">
        <v>530</v>
      </c>
      <c r="AA99" s="405" t="s">
        <v>27</v>
      </c>
      <c r="AB99" s="683" t="s">
        <v>519</v>
      </c>
      <c r="AC99" s="683"/>
      <c r="AD99" s="683">
        <f t="shared" ref="AD99" si="13">V99*Y99</f>
        <v>30000</v>
      </c>
      <c r="AE99" s="137" t="s">
        <v>57</v>
      </c>
      <c r="AF99" s="1"/>
    </row>
    <row r="100" spans="1:32" s="11" customFormat="1" ht="21" customHeight="1">
      <c r="A100" s="45"/>
      <c r="B100" s="46"/>
      <c r="C100" s="46"/>
      <c r="D100" s="160"/>
      <c r="E100" s="109"/>
      <c r="F100" s="109"/>
      <c r="G100" s="109"/>
      <c r="H100" s="109"/>
      <c r="I100" s="109"/>
      <c r="J100" s="109"/>
      <c r="K100" s="109"/>
      <c r="L100" s="109"/>
      <c r="M100" s="109"/>
      <c r="N100" s="70"/>
      <c r="O100" s="291"/>
      <c r="P100" s="447"/>
      <c r="Q100" s="447"/>
      <c r="R100" s="447"/>
      <c r="S100" s="291"/>
      <c r="T100" s="292"/>
      <c r="U100" s="446"/>
      <c r="V100" s="291"/>
      <c r="W100" s="432"/>
      <c r="X100" s="289"/>
      <c r="Y100" s="289"/>
      <c r="Z100" s="289"/>
      <c r="AA100" s="291"/>
      <c r="AB100" s="291"/>
      <c r="AC100" s="289"/>
      <c r="AD100" s="289"/>
      <c r="AE100" s="398"/>
      <c r="AF100" s="1"/>
    </row>
    <row r="101" spans="1:32" s="11" customFormat="1" ht="21" customHeight="1">
      <c r="A101" s="45"/>
      <c r="B101" s="46"/>
      <c r="C101" s="46"/>
      <c r="D101" s="160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291" t="s">
        <v>528</v>
      </c>
      <c r="P101" s="447"/>
      <c r="Q101" s="447"/>
      <c r="R101" s="447"/>
      <c r="S101" s="683">
        <v>816000</v>
      </c>
      <c r="T101" s="392" t="s">
        <v>57</v>
      </c>
      <c r="U101" s="392" t="s">
        <v>26</v>
      </c>
      <c r="V101" s="683">
        <v>1</v>
      </c>
      <c r="W101" s="684" t="s">
        <v>72</v>
      </c>
      <c r="X101" s="429" t="s">
        <v>71</v>
      </c>
      <c r="Y101" s="549">
        <v>3</v>
      </c>
      <c r="Z101" s="683"/>
      <c r="AA101" s="683" t="s">
        <v>27</v>
      </c>
      <c r="AB101" s="683" t="s">
        <v>519</v>
      </c>
      <c r="AC101" s="683"/>
      <c r="AD101" s="683">
        <f>S101*V101/Y101</f>
        <v>272000</v>
      </c>
      <c r="AE101" s="137" t="s">
        <v>57</v>
      </c>
      <c r="AF101" s="1"/>
    </row>
    <row r="102" spans="1:32" s="11" customFormat="1" ht="21" customHeight="1">
      <c r="A102" s="45"/>
      <c r="B102" s="46"/>
      <c r="C102" s="46"/>
      <c r="D102" s="160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291"/>
      <c r="P102" s="447"/>
      <c r="Q102" s="447"/>
      <c r="R102" s="447"/>
      <c r="S102" s="291"/>
      <c r="T102" s="292"/>
      <c r="U102" s="446"/>
      <c r="V102" s="291"/>
      <c r="W102" s="432"/>
      <c r="X102" s="289"/>
      <c r="Y102" s="289"/>
      <c r="Z102" s="289"/>
      <c r="AA102" s="291"/>
      <c r="AB102" s="291"/>
      <c r="AC102" s="289"/>
      <c r="AD102" s="289"/>
      <c r="AE102" s="398"/>
      <c r="AF102" s="1"/>
    </row>
    <row r="103" spans="1:32" s="11" customFormat="1" ht="21" customHeight="1">
      <c r="A103" s="45"/>
      <c r="B103" s="46"/>
      <c r="C103" s="46"/>
      <c r="D103" s="160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291" t="s">
        <v>529</v>
      </c>
      <c r="P103" s="447"/>
      <c r="Q103" s="447"/>
      <c r="R103" s="447"/>
      <c r="S103" s="291"/>
      <c r="T103" s="292"/>
      <c r="U103" s="446"/>
      <c r="V103" s="405">
        <v>0</v>
      </c>
      <c r="W103" s="406" t="s">
        <v>57</v>
      </c>
      <c r="X103" s="406" t="s">
        <v>26</v>
      </c>
      <c r="Y103" s="405">
        <v>1</v>
      </c>
      <c r="Z103" s="407" t="s">
        <v>530</v>
      </c>
      <c r="AA103" s="405" t="s">
        <v>27</v>
      </c>
      <c r="AB103" s="683" t="s">
        <v>519</v>
      </c>
      <c r="AC103" s="683"/>
      <c r="AD103" s="683">
        <f t="shared" ref="AD103" si="14">V103*Y103</f>
        <v>0</v>
      </c>
      <c r="AE103" s="137" t="s">
        <v>57</v>
      </c>
      <c r="AF103" s="1"/>
    </row>
    <row r="104" spans="1:32" s="11" customFormat="1" ht="21" customHeight="1">
      <c r="A104" s="45"/>
      <c r="B104" s="46"/>
      <c r="C104" s="46"/>
      <c r="D104" s="160"/>
      <c r="E104" s="109"/>
      <c r="F104" s="109"/>
      <c r="G104" s="109"/>
      <c r="H104" s="109"/>
      <c r="I104" s="109"/>
      <c r="J104" s="109"/>
      <c r="K104" s="109"/>
      <c r="L104" s="109"/>
      <c r="M104" s="109"/>
      <c r="N104" s="70"/>
      <c r="O104" s="291"/>
      <c r="P104" s="447"/>
      <c r="Q104" s="447"/>
      <c r="R104" s="447"/>
      <c r="S104" s="291"/>
      <c r="T104" s="292"/>
      <c r="U104" s="446"/>
      <c r="V104" s="291"/>
      <c r="W104" s="432"/>
      <c r="X104" s="289"/>
      <c r="Y104" s="289"/>
      <c r="Z104" s="289"/>
      <c r="AA104" s="291"/>
      <c r="AB104" s="291"/>
      <c r="AC104" s="289"/>
      <c r="AD104" s="289"/>
      <c r="AE104" s="398"/>
      <c r="AF104" s="1"/>
    </row>
    <row r="105" spans="1:32" s="11" customFormat="1" ht="21" customHeight="1">
      <c r="A105" s="45"/>
      <c r="B105" s="46"/>
      <c r="C105" s="46"/>
      <c r="D105" s="16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291" t="s">
        <v>627</v>
      </c>
      <c r="P105" s="447"/>
      <c r="Q105" s="447"/>
      <c r="R105" s="447"/>
      <c r="S105" s="291"/>
      <c r="T105" s="292"/>
      <c r="U105" s="446"/>
      <c r="V105" s="405"/>
      <c r="W105" s="406"/>
      <c r="X105" s="406"/>
      <c r="Y105" s="405"/>
      <c r="Z105" s="407"/>
      <c r="AA105" s="405" t="s">
        <v>27</v>
      </c>
      <c r="AB105" s="683" t="s">
        <v>519</v>
      </c>
      <c r="AC105" s="683"/>
      <c r="AD105" s="683">
        <v>5000</v>
      </c>
      <c r="AE105" s="137" t="s">
        <v>57</v>
      </c>
      <c r="AF105" s="1"/>
    </row>
    <row r="106" spans="1:32" s="11" customFormat="1" ht="21" customHeight="1">
      <c r="A106" s="45"/>
      <c r="B106" s="46"/>
      <c r="C106" s="46"/>
      <c r="D106" s="16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126"/>
      <c r="P106" s="127"/>
      <c r="Q106" s="127"/>
      <c r="R106" s="127"/>
      <c r="S106" s="127"/>
      <c r="T106" s="127"/>
      <c r="U106" s="127"/>
      <c r="V106" s="127"/>
      <c r="W106" s="127"/>
      <c r="X106" s="127"/>
      <c r="Y106" s="75"/>
      <c r="Z106" s="75"/>
      <c r="AA106" s="75"/>
      <c r="AB106" s="75"/>
      <c r="AC106" s="75"/>
      <c r="AD106" s="51"/>
      <c r="AE106" s="57"/>
      <c r="AF106" s="1"/>
    </row>
    <row r="107" spans="1:32" s="11" customFormat="1" ht="21" customHeight="1">
      <c r="A107" s="45"/>
      <c r="B107" s="46"/>
      <c r="C107" s="36" t="s">
        <v>45</v>
      </c>
      <c r="D107" s="162">
        <v>400</v>
      </c>
      <c r="E107" s="114">
        <f>SUM(F107:L107)</f>
        <v>400</v>
      </c>
      <c r="F107" s="113">
        <f>SUM(AD108)/1000</f>
        <v>0</v>
      </c>
      <c r="G107" s="113">
        <v>0</v>
      </c>
      <c r="H107" s="113">
        <v>0</v>
      </c>
      <c r="I107" s="113">
        <v>0</v>
      </c>
      <c r="J107" s="113">
        <f>SUM(AD109:AD110)/1000</f>
        <v>400</v>
      </c>
      <c r="K107" s="113">
        <v>0</v>
      </c>
      <c r="L107" s="113">
        <v>0</v>
      </c>
      <c r="M107" s="113">
        <f>E107-D107</f>
        <v>0</v>
      </c>
      <c r="N107" s="121">
        <f>IF(D107=0,0,M107/D107)</f>
        <v>0</v>
      </c>
      <c r="O107" s="97" t="s">
        <v>46</v>
      </c>
      <c r="P107" s="93"/>
      <c r="Q107" s="93"/>
      <c r="R107" s="93"/>
      <c r="S107" s="93"/>
      <c r="T107" s="89"/>
      <c r="U107" s="89"/>
      <c r="V107" s="89"/>
      <c r="W107" s="89"/>
      <c r="X107" s="89"/>
      <c r="Y107" s="178" t="s">
        <v>147</v>
      </c>
      <c r="Z107" s="178"/>
      <c r="AA107" s="178"/>
      <c r="AB107" s="178"/>
      <c r="AC107" s="180"/>
      <c r="AD107" s="180">
        <f>SUM(AD108:AD110)</f>
        <v>400000</v>
      </c>
      <c r="AE107" s="179" t="s">
        <v>25</v>
      </c>
      <c r="AF107" s="1"/>
    </row>
    <row r="108" spans="1:32" s="11" customFormat="1" ht="21" customHeight="1">
      <c r="A108" s="45"/>
      <c r="B108" s="46"/>
      <c r="C108" s="46"/>
      <c r="D108" s="110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684" t="s">
        <v>532</v>
      </c>
      <c r="P108" s="539"/>
      <c r="Q108" s="539"/>
      <c r="R108" s="539"/>
      <c r="S108" s="538">
        <v>0</v>
      </c>
      <c r="T108" s="392" t="s">
        <v>375</v>
      </c>
      <c r="U108" s="392" t="s">
        <v>26</v>
      </c>
      <c r="V108" s="538">
        <v>12</v>
      </c>
      <c r="W108" s="539" t="s">
        <v>378</v>
      </c>
      <c r="X108" s="538" t="s">
        <v>27</v>
      </c>
      <c r="Y108" s="538"/>
      <c r="Z108" s="538"/>
      <c r="AA108" s="538"/>
      <c r="AB108" s="538" t="s">
        <v>381</v>
      </c>
      <c r="AC108" s="538"/>
      <c r="AD108" s="538">
        <f>S108*V108</f>
        <v>0</v>
      </c>
      <c r="AE108" s="137" t="s">
        <v>25</v>
      </c>
      <c r="AF108" s="1"/>
    </row>
    <row r="109" spans="1:32" s="11" customFormat="1" ht="21" customHeight="1">
      <c r="A109" s="45"/>
      <c r="B109" s="46"/>
      <c r="C109" s="46"/>
      <c r="D109" s="11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684" t="s">
        <v>533</v>
      </c>
      <c r="P109" s="539"/>
      <c r="Q109" s="539"/>
      <c r="R109" s="539"/>
      <c r="S109" s="538">
        <v>0</v>
      </c>
      <c r="T109" s="392" t="s">
        <v>372</v>
      </c>
      <c r="U109" s="392" t="s">
        <v>26</v>
      </c>
      <c r="V109" s="538">
        <v>12</v>
      </c>
      <c r="W109" s="539" t="s">
        <v>383</v>
      </c>
      <c r="X109" s="538" t="s">
        <v>27</v>
      </c>
      <c r="Y109" s="538"/>
      <c r="Z109" s="538"/>
      <c r="AA109" s="538"/>
      <c r="AB109" s="683" t="s">
        <v>519</v>
      </c>
      <c r="AC109" s="538"/>
      <c r="AD109" s="538">
        <f>S109*V109</f>
        <v>0</v>
      </c>
      <c r="AE109" s="137" t="s">
        <v>25</v>
      </c>
      <c r="AF109" s="1"/>
    </row>
    <row r="110" spans="1:32" ht="21" customHeight="1">
      <c r="A110" s="45"/>
      <c r="B110" s="46"/>
      <c r="C110" s="46"/>
      <c r="D110" s="160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684" t="s">
        <v>534</v>
      </c>
      <c r="P110" s="539"/>
      <c r="Q110" s="539"/>
      <c r="R110" s="539"/>
      <c r="S110" s="538"/>
      <c r="T110" s="392"/>
      <c r="U110" s="392"/>
      <c r="V110" s="538"/>
      <c r="W110" s="539"/>
      <c r="X110" s="538"/>
      <c r="Y110" s="538"/>
      <c r="Z110" s="538"/>
      <c r="AA110" s="538"/>
      <c r="AB110" s="683" t="s">
        <v>519</v>
      </c>
      <c r="AC110" s="538"/>
      <c r="AD110" s="538">
        <v>400000</v>
      </c>
      <c r="AE110" s="137" t="s">
        <v>25</v>
      </c>
    </row>
    <row r="111" spans="1:32" s="11" customFormat="1" ht="21" customHeight="1">
      <c r="A111" s="45"/>
      <c r="B111" s="46"/>
      <c r="C111" s="59"/>
      <c r="D111" s="128"/>
      <c r="E111" s="111"/>
      <c r="F111" s="111"/>
      <c r="G111" s="111"/>
      <c r="H111" s="111"/>
      <c r="I111" s="111"/>
      <c r="J111" s="111"/>
      <c r="K111" s="111"/>
      <c r="L111" s="111"/>
      <c r="M111" s="111"/>
      <c r="N111" s="84"/>
      <c r="O111" s="384"/>
      <c r="P111" s="384"/>
      <c r="Q111" s="384"/>
      <c r="R111" s="384"/>
      <c r="S111" s="556"/>
      <c r="T111" s="563"/>
      <c r="U111" s="556"/>
      <c r="V111" s="759"/>
      <c r="W111" s="760"/>
      <c r="X111" s="556"/>
      <c r="Y111" s="556"/>
      <c r="Z111" s="556"/>
      <c r="AA111" s="556"/>
      <c r="AB111" s="556"/>
      <c r="AC111" s="556"/>
      <c r="AD111" s="556"/>
      <c r="AE111" s="564"/>
      <c r="AF111" s="1"/>
    </row>
    <row r="112" spans="1:32" s="11" customFormat="1" ht="21" customHeight="1">
      <c r="A112" s="45"/>
      <c r="B112" s="46"/>
      <c r="C112" s="36" t="s">
        <v>88</v>
      </c>
      <c r="D112" s="129">
        <v>150</v>
      </c>
      <c r="E112" s="114">
        <f>SUM(F112:L112)</f>
        <v>150</v>
      </c>
      <c r="F112" s="113">
        <f>SUM(AD113)/1000</f>
        <v>0</v>
      </c>
      <c r="G112" s="113">
        <v>0</v>
      </c>
      <c r="H112" s="113">
        <v>0</v>
      </c>
      <c r="I112" s="113">
        <v>0</v>
      </c>
      <c r="J112" s="113">
        <f>AD114/1000</f>
        <v>150</v>
      </c>
      <c r="K112" s="113">
        <v>0</v>
      </c>
      <c r="L112" s="113">
        <v>0</v>
      </c>
      <c r="M112" s="113">
        <f>E112-D112</f>
        <v>0</v>
      </c>
      <c r="N112" s="121">
        <f>IF(D112=0,0,M112/D112)</f>
        <v>0</v>
      </c>
      <c r="O112" s="116" t="s">
        <v>89</v>
      </c>
      <c r="P112" s="93"/>
      <c r="Q112" s="93"/>
      <c r="R112" s="93"/>
      <c r="S112" s="93"/>
      <c r="T112" s="89"/>
      <c r="U112" s="89"/>
      <c r="V112" s="89"/>
      <c r="W112" s="89"/>
      <c r="X112" s="89"/>
      <c r="Y112" s="178" t="s">
        <v>147</v>
      </c>
      <c r="Z112" s="178"/>
      <c r="AA112" s="178"/>
      <c r="AB112" s="178"/>
      <c r="AC112" s="180"/>
      <c r="AD112" s="180">
        <f>SUM(AD113:AD114)</f>
        <v>150000</v>
      </c>
      <c r="AE112" s="179" t="s">
        <v>25</v>
      </c>
      <c r="AF112" s="1"/>
    </row>
    <row r="113" spans="1:32" s="11" customFormat="1" ht="20.25" customHeight="1">
      <c r="A113" s="45"/>
      <c r="B113" s="46"/>
      <c r="C113" s="46"/>
      <c r="D113" s="130"/>
      <c r="E113" s="109"/>
      <c r="F113" s="109"/>
      <c r="G113" s="109"/>
      <c r="H113" s="109"/>
      <c r="I113" s="109"/>
      <c r="J113" s="109"/>
      <c r="K113" s="109"/>
      <c r="L113" s="109"/>
      <c r="M113" s="109"/>
      <c r="N113" s="70"/>
      <c r="O113" s="291" t="s">
        <v>531</v>
      </c>
      <c r="P113" s="291"/>
      <c r="Q113" s="291"/>
      <c r="R113" s="291"/>
      <c r="S113" s="289">
        <v>0</v>
      </c>
      <c r="T113" s="289" t="s">
        <v>280</v>
      </c>
      <c r="U113" s="428" t="s">
        <v>289</v>
      </c>
      <c r="V113" s="289">
        <v>0</v>
      </c>
      <c r="W113" s="289" t="s">
        <v>287</v>
      </c>
      <c r="X113" s="428"/>
      <c r="Y113" s="289"/>
      <c r="Z113" s="289"/>
      <c r="AA113" s="289" t="s">
        <v>285</v>
      </c>
      <c r="AB113" s="289" t="s">
        <v>446</v>
      </c>
      <c r="AC113" s="292"/>
      <c r="AD113" s="136">
        <f>S113*V113</f>
        <v>0</v>
      </c>
      <c r="AE113" s="398" t="s">
        <v>280</v>
      </c>
      <c r="AF113" s="2"/>
    </row>
    <row r="114" spans="1:32" s="11" customFormat="1" ht="20.25" customHeight="1">
      <c r="A114" s="45"/>
      <c r="B114" s="46"/>
      <c r="C114" s="46"/>
      <c r="D114" s="13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291"/>
      <c r="P114" s="291"/>
      <c r="Q114" s="291"/>
      <c r="R114" s="291"/>
      <c r="S114" s="289">
        <v>50000</v>
      </c>
      <c r="T114" s="289" t="s">
        <v>57</v>
      </c>
      <c r="U114" s="428" t="s">
        <v>58</v>
      </c>
      <c r="V114" s="289">
        <v>3</v>
      </c>
      <c r="W114" s="289" t="s">
        <v>56</v>
      </c>
      <c r="X114" s="428"/>
      <c r="Y114" s="289"/>
      <c r="Z114" s="289"/>
      <c r="AA114" s="289" t="s">
        <v>238</v>
      </c>
      <c r="AB114" s="289" t="s">
        <v>519</v>
      </c>
      <c r="AC114" s="292"/>
      <c r="AD114" s="136">
        <f>S114*V114</f>
        <v>150000</v>
      </c>
      <c r="AE114" s="398" t="s">
        <v>57</v>
      </c>
      <c r="AF114" s="2"/>
    </row>
    <row r="115" spans="1:32" s="11" customFormat="1" ht="21" customHeight="1">
      <c r="A115" s="45"/>
      <c r="B115" s="46"/>
      <c r="C115" s="47"/>
      <c r="D115" s="160"/>
      <c r="E115" s="109"/>
      <c r="F115" s="109"/>
      <c r="G115" s="109"/>
      <c r="H115" s="109"/>
      <c r="I115" s="109"/>
      <c r="J115" s="109"/>
      <c r="K115" s="109"/>
      <c r="L115" s="109"/>
      <c r="M115" s="109"/>
      <c r="N115" s="84"/>
      <c r="O115" s="155"/>
      <c r="P115" s="81"/>
      <c r="Q115" s="81"/>
      <c r="R115" s="81"/>
      <c r="S115" s="80"/>
      <c r="T115" s="81"/>
      <c r="U115" s="80"/>
      <c r="V115" s="131"/>
      <c r="W115" s="131"/>
      <c r="X115" s="80"/>
      <c r="Y115" s="80"/>
      <c r="Z115" s="80"/>
      <c r="AA115" s="80"/>
      <c r="AB115" s="80"/>
      <c r="AC115" s="80"/>
      <c r="AD115" s="80"/>
      <c r="AE115" s="73"/>
      <c r="AF115" s="2"/>
    </row>
    <row r="116" spans="1:32" s="11" customFormat="1" ht="21" customHeight="1">
      <c r="A116" s="112" t="s">
        <v>47</v>
      </c>
      <c r="B116" s="752" t="s">
        <v>20</v>
      </c>
      <c r="C116" s="752"/>
      <c r="D116" s="196">
        <f>D117</f>
        <v>0</v>
      </c>
      <c r="E116" s="196">
        <f>E117</f>
        <v>1000</v>
      </c>
      <c r="F116" s="196">
        <f t="shared" ref="F116:L116" si="15">F117</f>
        <v>0</v>
      </c>
      <c r="G116" s="196">
        <f t="shared" si="15"/>
        <v>0</v>
      </c>
      <c r="H116" s="196">
        <f t="shared" si="15"/>
        <v>0</v>
      </c>
      <c r="I116" s="196">
        <f t="shared" si="15"/>
        <v>1000</v>
      </c>
      <c r="J116" s="196">
        <f t="shared" si="15"/>
        <v>0</v>
      </c>
      <c r="K116" s="196">
        <f t="shared" si="15"/>
        <v>0</v>
      </c>
      <c r="L116" s="196">
        <f t="shared" si="15"/>
        <v>0</v>
      </c>
      <c r="M116" s="196">
        <f>E116-D116</f>
        <v>1000</v>
      </c>
      <c r="N116" s="172">
        <f>IF(D116=0,0,M116/D116)</f>
        <v>0</v>
      </c>
      <c r="O116" s="187" t="s">
        <v>151</v>
      </c>
      <c r="P116" s="32"/>
      <c r="Q116" s="32"/>
      <c r="R116" s="32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>
        <f>AD117</f>
        <v>1000000</v>
      </c>
      <c r="AE116" s="34" t="s">
        <v>25</v>
      </c>
      <c r="AF116" s="2"/>
    </row>
    <row r="117" spans="1:32" s="11" customFormat="1" ht="21" customHeight="1">
      <c r="A117" s="195" t="s">
        <v>158</v>
      </c>
      <c r="B117" s="46" t="s">
        <v>17</v>
      </c>
      <c r="C117" s="46" t="s">
        <v>152</v>
      </c>
      <c r="D117" s="109">
        <f t="shared" ref="D117:L117" si="16">SUM(D118,D121,D124)</f>
        <v>0</v>
      </c>
      <c r="E117" s="109">
        <f t="shared" si="16"/>
        <v>1000</v>
      </c>
      <c r="F117" s="109">
        <f t="shared" si="16"/>
        <v>0</v>
      </c>
      <c r="G117" s="109">
        <f t="shared" si="16"/>
        <v>0</v>
      </c>
      <c r="H117" s="109">
        <f t="shared" si="16"/>
        <v>0</v>
      </c>
      <c r="I117" s="109">
        <f t="shared" si="16"/>
        <v>1000</v>
      </c>
      <c r="J117" s="109">
        <f t="shared" si="16"/>
        <v>0</v>
      </c>
      <c r="K117" s="109">
        <f t="shared" si="16"/>
        <v>0</v>
      </c>
      <c r="L117" s="109">
        <f t="shared" si="16"/>
        <v>0</v>
      </c>
      <c r="M117" s="109">
        <f>E117-D117</f>
        <v>1000</v>
      </c>
      <c r="N117" s="70">
        <f>IF(D117=0,0,M117/D117)</f>
        <v>0</v>
      </c>
      <c r="O117" s="191" t="s">
        <v>153</v>
      </c>
      <c r="P117" s="93"/>
      <c r="Q117" s="93"/>
      <c r="R117" s="93"/>
      <c r="S117" s="93"/>
      <c r="T117" s="89"/>
      <c r="U117" s="89"/>
      <c r="V117" s="89"/>
      <c r="W117" s="89"/>
      <c r="X117" s="89"/>
      <c r="Y117" s="89"/>
      <c r="Z117" s="89"/>
      <c r="AA117" s="89"/>
      <c r="AB117" s="89"/>
      <c r="AC117" s="94"/>
      <c r="AD117" s="94">
        <f>SUM(AD118,AD121,AD124)</f>
        <v>1000000</v>
      </c>
      <c r="AE117" s="95" t="s">
        <v>25</v>
      </c>
      <c r="AF117" s="1"/>
    </row>
    <row r="118" spans="1:32" s="11" customFormat="1" ht="21" customHeight="1">
      <c r="A118" s="45"/>
      <c r="B118" s="46"/>
      <c r="C118" s="36" t="s">
        <v>153</v>
      </c>
      <c r="D118" s="193">
        <v>0</v>
      </c>
      <c r="E118" s="114">
        <f>SUM(F118:L118)</f>
        <v>0</v>
      </c>
      <c r="F118" s="193">
        <v>0</v>
      </c>
      <c r="G118" s="193">
        <v>0</v>
      </c>
      <c r="H118" s="193">
        <v>0</v>
      </c>
      <c r="I118" s="193">
        <v>0</v>
      </c>
      <c r="J118" s="193">
        <v>0</v>
      </c>
      <c r="K118" s="193">
        <v>0</v>
      </c>
      <c r="L118" s="193">
        <v>0</v>
      </c>
      <c r="M118" s="193">
        <f>E118-D118</f>
        <v>0</v>
      </c>
      <c r="N118" s="194">
        <f>IF(D118=0,0,M118/D118)</f>
        <v>0</v>
      </c>
      <c r="O118" s="97" t="s">
        <v>48</v>
      </c>
      <c r="P118" s="191"/>
      <c r="Q118" s="191"/>
      <c r="R118" s="191"/>
      <c r="S118" s="191"/>
      <c r="T118" s="190"/>
      <c r="U118" s="190"/>
      <c r="V118" s="190"/>
      <c r="W118" s="190"/>
      <c r="X118" s="190"/>
      <c r="Y118" s="178" t="s">
        <v>147</v>
      </c>
      <c r="Z118" s="178"/>
      <c r="AA118" s="178"/>
      <c r="AB118" s="178"/>
      <c r="AC118" s="180"/>
      <c r="AD118" s="180">
        <f>SUM(AD119:AD119)</f>
        <v>0</v>
      </c>
      <c r="AE118" s="179" t="s">
        <v>25</v>
      </c>
      <c r="AF118" s="1"/>
    </row>
    <row r="119" spans="1:32" s="11" customFormat="1" ht="21" customHeight="1">
      <c r="A119" s="45"/>
      <c r="B119" s="46"/>
      <c r="C119" s="46"/>
      <c r="D119" s="11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185" t="s">
        <v>535</v>
      </c>
      <c r="P119" s="144"/>
      <c r="Q119" s="144"/>
      <c r="R119" s="144"/>
      <c r="S119" s="144"/>
      <c r="T119" s="143"/>
      <c r="U119" s="143"/>
      <c r="V119" s="143"/>
      <c r="W119" s="143"/>
      <c r="X119" s="143"/>
      <c r="Y119" s="143"/>
      <c r="Z119" s="143"/>
      <c r="AA119" s="143"/>
      <c r="AB119" s="145"/>
      <c r="AC119" s="52"/>
      <c r="AD119" s="292">
        <v>0</v>
      </c>
      <c r="AE119" s="57" t="s">
        <v>128</v>
      </c>
      <c r="AF119" s="2"/>
    </row>
    <row r="120" spans="1:32" s="11" customFormat="1" ht="21" customHeight="1">
      <c r="A120" s="45"/>
      <c r="B120" s="46"/>
      <c r="C120" s="46"/>
      <c r="D120" s="16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32"/>
      <c r="AE120" s="124"/>
      <c r="AF120" s="2"/>
    </row>
    <row r="121" spans="1:32" s="11" customFormat="1" ht="21" customHeight="1">
      <c r="A121" s="45"/>
      <c r="B121" s="46"/>
      <c r="C121" s="36" t="s">
        <v>18</v>
      </c>
      <c r="D121" s="162">
        <v>0</v>
      </c>
      <c r="E121" s="114">
        <f>SUM(F121:L121)</f>
        <v>1000</v>
      </c>
      <c r="F121" s="113">
        <v>0</v>
      </c>
      <c r="G121" s="113">
        <v>0</v>
      </c>
      <c r="H121" s="113">
        <v>0</v>
      </c>
      <c r="I121" s="113">
        <f>AD122/1000</f>
        <v>1000</v>
      </c>
      <c r="J121" s="113">
        <v>0</v>
      </c>
      <c r="K121" s="113">
        <v>0</v>
      </c>
      <c r="L121" s="113">
        <v>0</v>
      </c>
      <c r="M121" s="113">
        <f>E121-D121</f>
        <v>1000</v>
      </c>
      <c r="N121" s="121">
        <f>IF(D121=0,0,M121/D121)</f>
        <v>0</v>
      </c>
      <c r="O121" s="97" t="s">
        <v>49</v>
      </c>
      <c r="P121" s="93"/>
      <c r="Q121" s="93"/>
      <c r="R121" s="93"/>
      <c r="S121" s="93"/>
      <c r="T121" s="89"/>
      <c r="U121" s="89"/>
      <c r="V121" s="89"/>
      <c r="W121" s="89"/>
      <c r="X121" s="89"/>
      <c r="Y121" s="178" t="s">
        <v>147</v>
      </c>
      <c r="Z121" s="178"/>
      <c r="AA121" s="178"/>
      <c r="AB121" s="178"/>
      <c r="AC121" s="180"/>
      <c r="AD121" s="180">
        <f>SUM(AD122:AD122)</f>
        <v>1000000</v>
      </c>
      <c r="AE121" s="179" t="s">
        <v>25</v>
      </c>
      <c r="AF121" s="1"/>
    </row>
    <row r="122" spans="1:32" s="11" customFormat="1" ht="21" customHeight="1">
      <c r="A122" s="45"/>
      <c r="B122" s="46"/>
      <c r="C122" s="46"/>
      <c r="D122" s="110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675" t="s">
        <v>497</v>
      </c>
      <c r="P122" s="539"/>
      <c r="Q122" s="539"/>
      <c r="R122" s="565"/>
      <c r="S122" s="565"/>
      <c r="T122" s="566"/>
      <c r="U122" s="566"/>
      <c r="V122" s="566"/>
      <c r="W122" s="566"/>
      <c r="X122" s="566"/>
      <c r="Y122" s="566"/>
      <c r="Z122" s="566"/>
      <c r="AA122" s="566"/>
      <c r="AB122" s="674" t="s">
        <v>496</v>
      </c>
      <c r="AC122" s="567"/>
      <c r="AD122" s="136">
        <v>1000000</v>
      </c>
      <c r="AE122" s="137" t="s">
        <v>25</v>
      </c>
      <c r="AF122" s="2"/>
    </row>
    <row r="123" spans="1:32" s="11" customFormat="1" ht="21" customHeight="1">
      <c r="A123" s="45"/>
      <c r="B123" s="46"/>
      <c r="C123" s="46"/>
      <c r="D123" s="11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157"/>
      <c r="P123" s="50"/>
      <c r="Q123" s="50"/>
      <c r="R123" s="50"/>
      <c r="S123" s="51"/>
      <c r="T123" s="117"/>
      <c r="U123" s="55"/>
      <c r="V123" s="68"/>
      <c r="W123" s="68"/>
      <c r="X123" s="51"/>
      <c r="Y123" s="51"/>
      <c r="Z123" s="51"/>
      <c r="AA123" s="51"/>
      <c r="AB123" s="51"/>
      <c r="AC123" s="51"/>
      <c r="AD123" s="51"/>
      <c r="AE123" s="57"/>
      <c r="AF123" s="2"/>
    </row>
    <row r="124" spans="1:32" s="11" customFormat="1" ht="21" customHeight="1">
      <c r="A124" s="45"/>
      <c r="B124" s="46"/>
      <c r="C124" s="36" t="s">
        <v>50</v>
      </c>
      <c r="D124" s="162">
        <v>0</v>
      </c>
      <c r="E124" s="114">
        <f>SUM(F124:L124)</f>
        <v>0</v>
      </c>
      <c r="F124" s="113">
        <f>SUM(AD125:AD126)/1000</f>
        <v>0</v>
      </c>
      <c r="G124" s="113">
        <v>0</v>
      </c>
      <c r="H124" s="113">
        <v>0</v>
      </c>
      <c r="I124" s="113">
        <f>SUM(AD127,AD128:AD128)/1000</f>
        <v>0</v>
      </c>
      <c r="J124" s="113">
        <v>0</v>
      </c>
      <c r="K124" s="113">
        <v>0</v>
      </c>
      <c r="L124" s="113">
        <v>0</v>
      </c>
      <c r="M124" s="113">
        <f>E124-D124</f>
        <v>0</v>
      </c>
      <c r="N124" s="121">
        <f>IF(D124=0,0,M124/D124)</f>
        <v>0</v>
      </c>
      <c r="O124" s="97" t="s">
        <v>51</v>
      </c>
      <c r="P124" s="93"/>
      <c r="Q124" s="93"/>
      <c r="R124" s="93"/>
      <c r="S124" s="93"/>
      <c r="T124" s="89"/>
      <c r="U124" s="89"/>
      <c r="V124" s="89"/>
      <c r="W124" s="89"/>
      <c r="X124" s="89"/>
      <c r="Y124" s="178" t="s">
        <v>147</v>
      </c>
      <c r="Z124" s="178"/>
      <c r="AA124" s="178"/>
      <c r="AB124" s="178"/>
      <c r="AC124" s="180"/>
      <c r="AD124" s="180">
        <f>SUM(AD125:AD128)</f>
        <v>0</v>
      </c>
      <c r="AE124" s="179" t="s">
        <v>25</v>
      </c>
      <c r="AF124" s="1"/>
    </row>
    <row r="125" spans="1:32" s="1" customFormat="1" ht="21" customHeight="1">
      <c r="A125" s="45"/>
      <c r="B125" s="46"/>
      <c r="C125" s="46" t="s">
        <v>164</v>
      </c>
      <c r="D125" s="16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684" t="s">
        <v>536</v>
      </c>
      <c r="P125" s="539"/>
      <c r="Q125" s="539"/>
      <c r="R125" s="539"/>
      <c r="S125" s="538">
        <v>0</v>
      </c>
      <c r="T125" s="392" t="s">
        <v>375</v>
      </c>
      <c r="U125" s="392" t="s">
        <v>26</v>
      </c>
      <c r="V125" s="538">
        <v>12</v>
      </c>
      <c r="W125" s="539" t="s">
        <v>378</v>
      </c>
      <c r="X125" s="538" t="s">
        <v>27</v>
      </c>
      <c r="Y125" s="538"/>
      <c r="Z125" s="538"/>
      <c r="AA125" s="538"/>
      <c r="AB125" s="538" t="s">
        <v>381</v>
      </c>
      <c r="AC125" s="538"/>
      <c r="AD125" s="538">
        <f>S125*V125</f>
        <v>0</v>
      </c>
      <c r="AE125" s="137" t="s">
        <v>25</v>
      </c>
      <c r="AF125" s="2"/>
    </row>
    <row r="126" spans="1:32" s="1" customFormat="1" ht="21" customHeight="1">
      <c r="A126" s="45"/>
      <c r="B126" s="46"/>
      <c r="C126" s="46"/>
      <c r="D126" s="16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684" t="s">
        <v>537</v>
      </c>
      <c r="P126" s="539"/>
      <c r="Q126" s="539"/>
      <c r="R126" s="539"/>
      <c r="S126" s="538">
        <v>0</v>
      </c>
      <c r="T126" s="392" t="s">
        <v>375</v>
      </c>
      <c r="U126" s="392" t="s">
        <v>26</v>
      </c>
      <c r="V126" s="538">
        <v>11</v>
      </c>
      <c r="W126" s="539" t="s">
        <v>378</v>
      </c>
      <c r="X126" s="538" t="s">
        <v>27</v>
      </c>
      <c r="Y126" s="538"/>
      <c r="Z126" s="538"/>
      <c r="AA126" s="538"/>
      <c r="AB126" s="538" t="s">
        <v>381</v>
      </c>
      <c r="AC126" s="538"/>
      <c r="AD126" s="538">
        <f>S126*V126</f>
        <v>0</v>
      </c>
      <c r="AE126" s="137" t="s">
        <v>25</v>
      </c>
      <c r="AF126" s="2"/>
    </row>
    <row r="127" spans="1:32" s="1" customFormat="1" ht="21" customHeight="1">
      <c r="A127" s="45"/>
      <c r="B127" s="46"/>
      <c r="C127" s="46"/>
      <c r="D127" s="16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628"/>
      <c r="P127" s="628"/>
      <c r="Q127" s="628"/>
      <c r="R127" s="628"/>
      <c r="S127" s="627">
        <v>0</v>
      </c>
      <c r="T127" s="392" t="s">
        <v>57</v>
      </c>
      <c r="U127" s="392" t="s">
        <v>26</v>
      </c>
      <c r="V127" s="627">
        <v>1</v>
      </c>
      <c r="W127" s="628" t="s">
        <v>169</v>
      </c>
      <c r="X127" s="627" t="s">
        <v>27</v>
      </c>
      <c r="Y127" s="627"/>
      <c r="Z127" s="627"/>
      <c r="AA127" s="627"/>
      <c r="AB127" s="629" t="s">
        <v>448</v>
      </c>
      <c r="AC127" s="627"/>
      <c r="AD127" s="627">
        <f>S127*V127</f>
        <v>0</v>
      </c>
      <c r="AE127" s="137" t="s">
        <v>25</v>
      </c>
      <c r="AF127" s="2"/>
    </row>
    <row r="128" spans="1:32" s="1" customFormat="1" ht="21" customHeight="1">
      <c r="A128" s="45"/>
      <c r="B128" s="46"/>
      <c r="C128" s="46"/>
      <c r="D128" s="16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684" t="s">
        <v>538</v>
      </c>
      <c r="P128" s="539"/>
      <c r="Q128" s="539"/>
      <c r="R128" s="539"/>
      <c r="S128" s="538"/>
      <c r="T128" s="392"/>
      <c r="U128" s="392"/>
      <c r="V128" s="538"/>
      <c r="W128" s="539"/>
      <c r="X128" s="538"/>
      <c r="Y128" s="538"/>
      <c r="Z128" s="538"/>
      <c r="AA128" s="538"/>
      <c r="AB128" s="629" t="s">
        <v>448</v>
      </c>
      <c r="AC128" s="538"/>
      <c r="AD128" s="538">
        <v>0</v>
      </c>
      <c r="AE128" s="137" t="s">
        <v>372</v>
      </c>
      <c r="AF128" s="2"/>
    </row>
    <row r="129" spans="1:32" s="1" customFormat="1" ht="21" customHeight="1">
      <c r="A129" s="45"/>
      <c r="B129" s="46"/>
      <c r="C129" s="46"/>
      <c r="D129" s="16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157"/>
      <c r="P129" s="50"/>
      <c r="Q129" s="50"/>
      <c r="R129" s="50"/>
      <c r="S129" s="51"/>
      <c r="T129" s="55"/>
      <c r="U129" s="55"/>
      <c r="V129" s="51"/>
      <c r="W129" s="50"/>
      <c r="X129" s="51"/>
      <c r="Y129" s="51"/>
      <c r="Z129" s="51"/>
      <c r="AA129" s="51"/>
      <c r="AB129" s="125"/>
      <c r="AC129" s="51"/>
      <c r="AD129" s="51"/>
      <c r="AE129" s="57"/>
      <c r="AF129" s="2"/>
    </row>
    <row r="130" spans="1:32" s="11" customFormat="1" ht="21" customHeight="1">
      <c r="A130" s="197" t="s">
        <v>19</v>
      </c>
      <c r="B130" s="750" t="s">
        <v>20</v>
      </c>
      <c r="C130" s="751"/>
      <c r="D130" s="198">
        <f t="shared" ref="D130:L130" si="17">SUM(D131,D164)</f>
        <v>19840</v>
      </c>
      <c r="E130" s="198">
        <f t="shared" si="17"/>
        <v>19833.13</v>
      </c>
      <c r="F130" s="198">
        <f t="shared" si="17"/>
        <v>10034.530000000001</v>
      </c>
      <c r="G130" s="198">
        <f t="shared" si="17"/>
        <v>0</v>
      </c>
      <c r="H130" s="198">
        <f t="shared" si="17"/>
        <v>0</v>
      </c>
      <c r="I130" s="198">
        <f t="shared" si="17"/>
        <v>1478.6</v>
      </c>
      <c r="J130" s="198">
        <f t="shared" si="17"/>
        <v>7835</v>
      </c>
      <c r="K130" s="198">
        <f t="shared" si="17"/>
        <v>485</v>
      </c>
      <c r="L130" s="198">
        <f t="shared" si="17"/>
        <v>0</v>
      </c>
      <c r="M130" s="198">
        <f>SUM(M131,M141,M150,M154,M160)</f>
        <v>-85.869999999998981</v>
      </c>
      <c r="N130" s="199">
        <f>IF(D130=0,0,M130/D130)</f>
        <v>-4.3281249999999483E-3</v>
      </c>
      <c r="O130" s="191" t="s">
        <v>155</v>
      </c>
      <c r="P130" s="93"/>
      <c r="Q130" s="93"/>
      <c r="R130" s="93"/>
      <c r="S130" s="93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>
        <f>SUM(AD131,AD164)</f>
        <v>19833000</v>
      </c>
      <c r="AE130" s="95" t="s">
        <v>25</v>
      </c>
      <c r="AF130" s="13"/>
    </row>
    <row r="131" spans="1:32" s="11" customFormat="1" ht="21" customHeight="1">
      <c r="A131" s="46"/>
      <c r="B131" s="36" t="s">
        <v>93</v>
      </c>
      <c r="C131" s="36" t="s">
        <v>156</v>
      </c>
      <c r="D131" s="113">
        <f t="shared" ref="D131:L131" si="18">SUM(D132,D141,D150,D154,D160)</f>
        <v>15070</v>
      </c>
      <c r="E131" s="113">
        <f t="shared" si="18"/>
        <v>14463.130000000001</v>
      </c>
      <c r="F131" s="113">
        <f t="shared" si="18"/>
        <v>10034.530000000001</v>
      </c>
      <c r="G131" s="113">
        <f t="shared" si="18"/>
        <v>0</v>
      </c>
      <c r="H131" s="113">
        <f t="shared" si="18"/>
        <v>0</v>
      </c>
      <c r="I131" s="113">
        <f t="shared" si="18"/>
        <v>878.6</v>
      </c>
      <c r="J131" s="113">
        <f t="shared" si="18"/>
        <v>3065</v>
      </c>
      <c r="K131" s="113">
        <f t="shared" si="18"/>
        <v>485</v>
      </c>
      <c r="L131" s="113">
        <f t="shared" si="18"/>
        <v>0</v>
      </c>
      <c r="M131" s="113">
        <f>E131-D131</f>
        <v>-606.86999999999898</v>
      </c>
      <c r="N131" s="121">
        <f>IF(D131=0,0,M131/D131)</f>
        <v>-4.0270072992700662E-2</v>
      </c>
      <c r="O131" s="93"/>
      <c r="P131" s="93"/>
      <c r="Q131" s="93"/>
      <c r="R131" s="93"/>
      <c r="S131" s="93"/>
      <c r="T131" s="89"/>
      <c r="U131" s="89"/>
      <c r="V131" s="89"/>
      <c r="W131" s="89"/>
      <c r="X131" s="89"/>
      <c r="Y131" s="89" t="s">
        <v>28</v>
      </c>
      <c r="Z131" s="89"/>
      <c r="AA131" s="89"/>
      <c r="AB131" s="89"/>
      <c r="AC131" s="94"/>
      <c r="AD131" s="94">
        <f>SUM(AD132,AD141,AD150,AD154,AD160)</f>
        <v>14463000</v>
      </c>
      <c r="AE131" s="95" t="s">
        <v>25</v>
      </c>
      <c r="AF131" s="1"/>
    </row>
    <row r="132" spans="1:32" s="11" customFormat="1" ht="21" customHeight="1">
      <c r="A132" s="46"/>
      <c r="B132" s="46"/>
      <c r="C132" s="36" t="s">
        <v>59</v>
      </c>
      <c r="D132" s="162">
        <v>12178</v>
      </c>
      <c r="E132" s="114">
        <f>SUM(F132:L132)</f>
        <v>11050.130000000001</v>
      </c>
      <c r="F132" s="113">
        <f>SUM(AD133:AD134)/1000</f>
        <v>8303.5300000000007</v>
      </c>
      <c r="G132" s="113">
        <v>0</v>
      </c>
      <c r="H132" s="113">
        <v>0</v>
      </c>
      <c r="I132" s="113">
        <f>SUM(AD136,AD139)/1000</f>
        <v>478.6</v>
      </c>
      <c r="J132" s="113">
        <f>SUM(AD135)/1000</f>
        <v>1783</v>
      </c>
      <c r="K132" s="113">
        <f>AD138/1000</f>
        <v>485</v>
      </c>
      <c r="L132" s="113">
        <f>AD137/1000</f>
        <v>0</v>
      </c>
      <c r="M132" s="113">
        <f>E132-D132</f>
        <v>-1127.869999999999</v>
      </c>
      <c r="N132" s="121">
        <f>IF(D132=0,0,M132/D132)</f>
        <v>-9.2615371982263009E-2</v>
      </c>
      <c r="O132" s="97" t="s">
        <v>94</v>
      </c>
      <c r="P132" s="191"/>
      <c r="Q132" s="191"/>
      <c r="R132" s="191"/>
      <c r="S132" s="191"/>
      <c r="T132" s="190"/>
      <c r="U132" s="190"/>
      <c r="V132" s="190"/>
      <c r="W132" s="190"/>
      <c r="X132" s="190"/>
      <c r="Y132" s="178" t="s">
        <v>147</v>
      </c>
      <c r="Z132" s="178"/>
      <c r="AA132" s="178"/>
      <c r="AB132" s="178"/>
      <c r="AC132" s="180"/>
      <c r="AD132" s="180">
        <f>ROUND(SUM(AD133:AD139),-3)</f>
        <v>11050000</v>
      </c>
      <c r="AE132" s="179" t="s">
        <v>25</v>
      </c>
      <c r="AF132" s="1"/>
    </row>
    <row r="133" spans="1:32" s="11" customFormat="1" ht="21" customHeight="1">
      <c r="A133" s="46"/>
      <c r="B133" s="46"/>
      <c r="C133" s="46"/>
      <c r="D133" s="11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684" t="s">
        <v>539</v>
      </c>
      <c r="P133" s="539"/>
      <c r="Q133" s="538"/>
      <c r="R133" s="538"/>
      <c r="S133" s="538">
        <v>148780</v>
      </c>
      <c r="T133" s="538" t="s">
        <v>375</v>
      </c>
      <c r="U133" s="392" t="s">
        <v>376</v>
      </c>
      <c r="V133" s="538">
        <v>12</v>
      </c>
      <c r="W133" s="538" t="s">
        <v>378</v>
      </c>
      <c r="X133" s="392" t="s">
        <v>376</v>
      </c>
      <c r="Y133" s="538">
        <v>4</v>
      </c>
      <c r="Z133" s="538" t="s">
        <v>377</v>
      </c>
      <c r="AA133" s="386" t="s">
        <v>379</v>
      </c>
      <c r="AB133" s="538" t="s">
        <v>381</v>
      </c>
      <c r="AC133" s="136"/>
      <c r="AD133" s="136">
        <f>S133*V133*Y133+53290</f>
        <v>7194730</v>
      </c>
      <c r="AE133" s="137" t="s">
        <v>25</v>
      </c>
      <c r="AF133" s="2"/>
    </row>
    <row r="134" spans="1:32" s="11" customFormat="1" ht="21" customHeight="1">
      <c r="A134" s="46"/>
      <c r="B134" s="46"/>
      <c r="C134" s="46"/>
      <c r="D134" s="110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684" t="s">
        <v>626</v>
      </c>
      <c r="P134" s="684"/>
      <c r="Q134" s="683"/>
      <c r="R134" s="683"/>
      <c r="S134" s="683">
        <v>92400</v>
      </c>
      <c r="T134" s="392" t="s">
        <v>57</v>
      </c>
      <c r="U134" s="392" t="s">
        <v>26</v>
      </c>
      <c r="V134" s="683">
        <v>12</v>
      </c>
      <c r="W134" s="684" t="s">
        <v>0</v>
      </c>
      <c r="X134" s="683"/>
      <c r="Y134" s="683"/>
      <c r="Z134" s="683"/>
      <c r="AA134" s="683" t="s">
        <v>635</v>
      </c>
      <c r="AB134" s="683" t="s">
        <v>87</v>
      </c>
      <c r="AC134" s="683"/>
      <c r="AD134" s="683">
        <f>S134*V134</f>
        <v>1108800</v>
      </c>
      <c r="AE134" s="137" t="s">
        <v>25</v>
      </c>
      <c r="AF134" s="2"/>
    </row>
    <row r="135" spans="1:32" s="11" customFormat="1" ht="21" customHeight="1">
      <c r="A135" s="46"/>
      <c r="B135" s="46"/>
      <c r="C135" s="46"/>
      <c r="D135" s="11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684" t="s">
        <v>540</v>
      </c>
      <c r="P135" s="539"/>
      <c r="Q135" s="539"/>
      <c r="R135" s="539"/>
      <c r="S135" s="538"/>
      <c r="T135" s="538"/>
      <c r="U135" s="392"/>
      <c r="V135" s="538"/>
      <c r="W135" s="538"/>
      <c r="X135" s="392"/>
      <c r="Y135" s="538"/>
      <c r="Z135" s="538"/>
      <c r="AA135" s="386"/>
      <c r="AB135" s="538" t="s">
        <v>382</v>
      </c>
      <c r="AC135" s="136"/>
      <c r="AD135" s="136">
        <v>1783000</v>
      </c>
      <c r="AE135" s="137" t="s">
        <v>25</v>
      </c>
      <c r="AF135" s="2"/>
    </row>
    <row r="136" spans="1:32" s="11" customFormat="1" ht="21" customHeight="1">
      <c r="A136" s="46"/>
      <c r="B136" s="46"/>
      <c r="C136" s="46"/>
      <c r="D136" s="11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684" t="s">
        <v>540</v>
      </c>
      <c r="P136" s="684"/>
      <c r="Q136" s="684"/>
      <c r="R136" s="684"/>
      <c r="S136" s="683"/>
      <c r="T136" s="683"/>
      <c r="U136" s="392"/>
      <c r="V136" s="683"/>
      <c r="W136" s="683"/>
      <c r="X136" s="392"/>
      <c r="Y136" s="683"/>
      <c r="Z136" s="683"/>
      <c r="AA136" s="386"/>
      <c r="AB136" s="683" t="s">
        <v>543</v>
      </c>
      <c r="AC136" s="136"/>
      <c r="AD136" s="136">
        <v>78600</v>
      </c>
      <c r="AE136" s="137" t="s">
        <v>544</v>
      </c>
      <c r="AF136" s="2"/>
    </row>
    <row r="137" spans="1:32" s="11" customFormat="1" ht="21" customHeight="1">
      <c r="A137" s="46"/>
      <c r="B137" s="46"/>
      <c r="C137" s="46"/>
      <c r="D137" s="110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684" t="s">
        <v>540</v>
      </c>
      <c r="P137" s="684"/>
      <c r="Q137" s="684"/>
      <c r="R137" s="684"/>
      <c r="S137" s="683"/>
      <c r="T137" s="683"/>
      <c r="U137" s="392"/>
      <c r="V137" s="683"/>
      <c r="W137" s="683"/>
      <c r="X137" s="392"/>
      <c r="Y137" s="683"/>
      <c r="Z137" s="683"/>
      <c r="AA137" s="386"/>
      <c r="AB137" s="683" t="s">
        <v>545</v>
      </c>
      <c r="AC137" s="136"/>
      <c r="AD137" s="136">
        <v>0</v>
      </c>
      <c r="AE137" s="137" t="s">
        <v>544</v>
      </c>
      <c r="AF137" s="2"/>
    </row>
    <row r="138" spans="1:32" s="11" customFormat="1" ht="21" customHeight="1">
      <c r="A138" s="46"/>
      <c r="B138" s="46"/>
      <c r="C138" s="46"/>
      <c r="D138" s="110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684" t="s">
        <v>540</v>
      </c>
      <c r="P138" s="684"/>
      <c r="Q138" s="684"/>
      <c r="R138" s="684"/>
      <c r="S138" s="683"/>
      <c r="T138" s="683"/>
      <c r="U138" s="392"/>
      <c r="V138" s="683"/>
      <c r="W138" s="683"/>
      <c r="X138" s="392"/>
      <c r="Y138" s="683"/>
      <c r="Z138" s="683"/>
      <c r="AA138" s="386"/>
      <c r="AB138" s="683" t="s">
        <v>546</v>
      </c>
      <c r="AC138" s="136"/>
      <c r="AD138" s="136">
        <v>485000</v>
      </c>
      <c r="AE138" s="137" t="s">
        <v>544</v>
      </c>
      <c r="AF138" s="2"/>
    </row>
    <row r="139" spans="1:32" s="11" customFormat="1" ht="21" customHeight="1">
      <c r="A139" s="46"/>
      <c r="B139" s="46"/>
      <c r="C139" s="46"/>
      <c r="D139" s="11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684" t="s">
        <v>541</v>
      </c>
      <c r="P139" s="539"/>
      <c r="Q139" s="538"/>
      <c r="R139" s="538"/>
      <c r="S139" s="538"/>
      <c r="T139" s="538"/>
      <c r="U139" s="392"/>
      <c r="V139" s="538"/>
      <c r="W139" s="538"/>
      <c r="X139" s="392"/>
      <c r="Y139" s="538"/>
      <c r="Z139" s="538"/>
      <c r="AA139" s="386" t="s">
        <v>373</v>
      </c>
      <c r="AB139" s="683" t="s">
        <v>542</v>
      </c>
      <c r="AC139" s="136"/>
      <c r="AD139" s="136">
        <v>400000</v>
      </c>
      <c r="AE139" s="137" t="s">
        <v>25</v>
      </c>
      <c r="AF139" s="2"/>
    </row>
    <row r="140" spans="1:32" s="11" customFormat="1" ht="21" customHeight="1">
      <c r="A140" s="46"/>
      <c r="B140" s="46"/>
      <c r="C140" s="59"/>
      <c r="D140" s="161"/>
      <c r="E140" s="111"/>
      <c r="F140" s="111"/>
      <c r="G140" s="111"/>
      <c r="H140" s="111"/>
      <c r="I140" s="111"/>
      <c r="J140" s="111"/>
      <c r="K140" s="111"/>
      <c r="L140" s="111"/>
      <c r="M140" s="111"/>
      <c r="N140" s="84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32"/>
      <c r="AE140" s="124"/>
      <c r="AF140" s="2"/>
    </row>
    <row r="141" spans="1:32" s="11" customFormat="1" ht="21" customHeight="1">
      <c r="A141" s="46"/>
      <c r="B141" s="46"/>
      <c r="C141" s="46" t="s">
        <v>95</v>
      </c>
      <c r="D141" s="160">
        <v>1442</v>
      </c>
      <c r="E141" s="114">
        <f>SUM(F141:L141)</f>
        <v>1442</v>
      </c>
      <c r="F141" s="109">
        <f>SUM(AD142,AD145)/1000</f>
        <v>550</v>
      </c>
      <c r="G141" s="109">
        <v>0</v>
      </c>
      <c r="H141" s="109">
        <v>0</v>
      </c>
      <c r="I141" s="109">
        <f>SUM(AD143,AD146:AD148)/1000</f>
        <v>0</v>
      </c>
      <c r="J141" s="109">
        <f>AD144/1000</f>
        <v>892</v>
      </c>
      <c r="K141" s="109">
        <v>0</v>
      </c>
      <c r="L141" s="109">
        <v>0</v>
      </c>
      <c r="M141" s="109">
        <f>E141-D141</f>
        <v>0</v>
      </c>
      <c r="N141" s="70">
        <f>IF(D141=0,0,M141/D141)</f>
        <v>0</v>
      </c>
      <c r="O141" s="97" t="s">
        <v>96</v>
      </c>
      <c r="P141" s="93"/>
      <c r="Q141" s="93"/>
      <c r="R141" s="93"/>
      <c r="S141" s="93"/>
      <c r="T141" s="89"/>
      <c r="U141" s="89"/>
      <c r="V141" s="89"/>
      <c r="W141" s="89"/>
      <c r="X141" s="89"/>
      <c r="Y141" s="178" t="s">
        <v>147</v>
      </c>
      <c r="Z141" s="178"/>
      <c r="AA141" s="178"/>
      <c r="AB141" s="178"/>
      <c r="AC141" s="180"/>
      <c r="AD141" s="180">
        <f>ROUND(SUM(AD142:AD149),-3)</f>
        <v>1442000</v>
      </c>
      <c r="AE141" s="179" t="s">
        <v>25</v>
      </c>
      <c r="AF141" s="1"/>
    </row>
    <row r="142" spans="1:32" s="11" customFormat="1" ht="21" customHeight="1">
      <c r="A142" s="46"/>
      <c r="B142" s="46"/>
      <c r="C142" s="46" t="s">
        <v>157</v>
      </c>
      <c r="D142" s="160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684" t="s">
        <v>548</v>
      </c>
      <c r="P142" s="539"/>
      <c r="Q142" s="539"/>
      <c r="R142" s="539"/>
      <c r="S142" s="538"/>
      <c r="T142" s="392"/>
      <c r="U142" s="392"/>
      <c r="V142" s="538"/>
      <c r="W142" s="538"/>
      <c r="X142" s="538"/>
      <c r="Y142" s="538"/>
      <c r="Z142" s="538"/>
      <c r="AA142" s="538"/>
      <c r="AB142" s="538" t="s">
        <v>374</v>
      </c>
      <c r="AC142" s="538"/>
      <c r="AD142" s="538">
        <v>550000</v>
      </c>
      <c r="AE142" s="137" t="s">
        <v>372</v>
      </c>
      <c r="AF142" s="2"/>
    </row>
    <row r="143" spans="1:32" s="11" customFormat="1" ht="21" customHeight="1">
      <c r="A143" s="46"/>
      <c r="B143" s="46"/>
      <c r="C143" s="46"/>
      <c r="D143" s="160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539"/>
      <c r="P143" s="539"/>
      <c r="Q143" s="539"/>
      <c r="R143" s="539"/>
      <c r="S143" s="538"/>
      <c r="T143" s="392"/>
      <c r="U143" s="392"/>
      <c r="V143" s="538"/>
      <c r="W143" s="538"/>
      <c r="X143" s="538"/>
      <c r="Y143" s="538"/>
      <c r="Z143" s="538"/>
      <c r="AA143" s="538"/>
      <c r="AB143" s="629" t="s">
        <v>448</v>
      </c>
      <c r="AC143" s="538"/>
      <c r="AD143" s="538">
        <v>0</v>
      </c>
      <c r="AE143" s="137" t="s">
        <v>372</v>
      </c>
      <c r="AF143" s="2"/>
    </row>
    <row r="144" spans="1:32" s="11" customFormat="1" ht="21" customHeight="1">
      <c r="A144" s="46"/>
      <c r="B144" s="46"/>
      <c r="C144" s="46"/>
      <c r="D144" s="160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684"/>
      <c r="P144" s="684"/>
      <c r="Q144" s="684"/>
      <c r="R144" s="684"/>
      <c r="S144" s="683"/>
      <c r="T144" s="392"/>
      <c r="U144" s="392"/>
      <c r="V144" s="683"/>
      <c r="W144" s="683"/>
      <c r="X144" s="683"/>
      <c r="Y144" s="683"/>
      <c r="Z144" s="683"/>
      <c r="AA144" s="683"/>
      <c r="AB144" s="683" t="s">
        <v>547</v>
      </c>
      <c r="AC144" s="683"/>
      <c r="AD144" s="683">
        <v>892000</v>
      </c>
      <c r="AE144" s="137" t="s">
        <v>544</v>
      </c>
      <c r="AF144" s="2"/>
    </row>
    <row r="145" spans="1:32" s="11" customFormat="1" ht="21" customHeight="1">
      <c r="A145" s="46"/>
      <c r="B145" s="46"/>
      <c r="C145" s="46"/>
      <c r="D145" s="160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684" t="s">
        <v>549</v>
      </c>
      <c r="P145" s="539"/>
      <c r="Q145" s="539"/>
      <c r="R145" s="539"/>
      <c r="S145" s="538"/>
      <c r="T145" s="392"/>
      <c r="U145" s="392"/>
      <c r="V145" s="538"/>
      <c r="W145" s="538"/>
      <c r="X145" s="538"/>
      <c r="Y145" s="538"/>
      <c r="Z145" s="538"/>
      <c r="AA145" s="538"/>
      <c r="AB145" s="593" t="s">
        <v>87</v>
      </c>
      <c r="AC145" s="538"/>
      <c r="AD145" s="538">
        <v>0</v>
      </c>
      <c r="AE145" s="137" t="s">
        <v>372</v>
      </c>
      <c r="AF145" s="2"/>
    </row>
    <row r="146" spans="1:32" s="11" customFormat="1" ht="21" customHeight="1">
      <c r="A146" s="46"/>
      <c r="B146" s="46"/>
      <c r="C146" s="46"/>
      <c r="D146" s="160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594"/>
      <c r="P146" s="594"/>
      <c r="Q146" s="594"/>
      <c r="R146" s="594"/>
      <c r="S146" s="593"/>
      <c r="T146" s="392"/>
      <c r="U146" s="392"/>
      <c r="V146" s="593"/>
      <c r="W146" s="593"/>
      <c r="X146" s="593"/>
      <c r="Y146" s="593"/>
      <c r="Z146" s="593"/>
      <c r="AA146" s="593"/>
      <c r="AB146" s="629" t="s">
        <v>163</v>
      </c>
      <c r="AC146" s="593"/>
      <c r="AD146" s="593">
        <v>0</v>
      </c>
      <c r="AE146" s="137" t="s">
        <v>386</v>
      </c>
      <c r="AF146" s="2"/>
    </row>
    <row r="147" spans="1:32" s="11" customFormat="1" ht="21" customHeight="1">
      <c r="A147" s="46"/>
      <c r="B147" s="46"/>
      <c r="C147" s="46"/>
      <c r="D147" s="160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684" t="s">
        <v>550</v>
      </c>
      <c r="P147" s="539"/>
      <c r="Q147" s="539"/>
      <c r="R147" s="539"/>
      <c r="S147" s="538"/>
      <c r="T147" s="392"/>
      <c r="U147" s="392"/>
      <c r="V147" s="538"/>
      <c r="W147" s="538"/>
      <c r="X147" s="538"/>
      <c r="Y147" s="538"/>
      <c r="Z147" s="538"/>
      <c r="AA147" s="538"/>
      <c r="AB147" s="629" t="s">
        <v>163</v>
      </c>
      <c r="AC147" s="538"/>
      <c r="AD147" s="538">
        <v>0</v>
      </c>
      <c r="AE147" s="137" t="s">
        <v>372</v>
      </c>
      <c r="AF147" s="2"/>
    </row>
    <row r="148" spans="1:32" s="11" customFormat="1" ht="21" customHeight="1">
      <c r="A148" s="46"/>
      <c r="B148" s="46"/>
      <c r="C148" s="46"/>
      <c r="D148" s="160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684" t="s">
        <v>551</v>
      </c>
      <c r="P148" s="539"/>
      <c r="Q148" s="539"/>
      <c r="R148" s="539"/>
      <c r="S148" s="538"/>
      <c r="T148" s="392"/>
      <c r="U148" s="392"/>
      <c r="V148" s="538"/>
      <c r="W148" s="538"/>
      <c r="X148" s="538"/>
      <c r="Y148" s="538"/>
      <c r="Z148" s="538"/>
      <c r="AA148" s="538"/>
      <c r="AB148" s="629" t="s">
        <v>448</v>
      </c>
      <c r="AC148" s="538"/>
      <c r="AD148" s="538">
        <v>0</v>
      </c>
      <c r="AE148" s="137" t="s">
        <v>372</v>
      </c>
      <c r="AF148" s="2"/>
    </row>
    <row r="149" spans="1:32" s="11" customFormat="1" ht="21" customHeight="1">
      <c r="A149" s="46"/>
      <c r="B149" s="46"/>
      <c r="C149" s="46"/>
      <c r="D149" s="160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293"/>
      <c r="P149" s="293"/>
      <c r="Q149" s="293"/>
      <c r="R149" s="293"/>
      <c r="S149" s="394"/>
      <c r="T149" s="395"/>
      <c r="U149" s="374"/>
      <c r="V149" s="396"/>
      <c r="W149" s="394"/>
      <c r="X149" s="394"/>
      <c r="Y149" s="394"/>
      <c r="Z149" s="394"/>
      <c r="AA149" s="394"/>
      <c r="AB149" s="394"/>
      <c r="AC149" s="394"/>
      <c r="AD149" s="394"/>
      <c r="AE149" s="397"/>
      <c r="AF149" s="1"/>
    </row>
    <row r="150" spans="1:32" s="11" customFormat="1" ht="21" customHeight="1">
      <c r="A150" s="46"/>
      <c r="B150" s="46"/>
      <c r="C150" s="36" t="s">
        <v>90</v>
      </c>
      <c r="D150" s="162">
        <v>1000</v>
      </c>
      <c r="E150" s="114">
        <f>SUM(F150:L150)</f>
        <v>1400</v>
      </c>
      <c r="F150" s="113">
        <f>AD151/1000</f>
        <v>1000</v>
      </c>
      <c r="G150" s="113">
        <v>0</v>
      </c>
      <c r="H150" s="113">
        <v>0</v>
      </c>
      <c r="I150" s="113">
        <f>AD152/1000</f>
        <v>400</v>
      </c>
      <c r="J150" s="113">
        <v>0</v>
      </c>
      <c r="K150" s="113">
        <v>0</v>
      </c>
      <c r="L150" s="113">
        <v>0</v>
      </c>
      <c r="M150" s="113">
        <f>E150-D150</f>
        <v>400</v>
      </c>
      <c r="N150" s="121">
        <f>IF(D150=0,0,M150/D150)</f>
        <v>0.4</v>
      </c>
      <c r="O150" s="97" t="s">
        <v>142</v>
      </c>
      <c r="P150" s="177"/>
      <c r="Q150" s="93"/>
      <c r="R150" s="93"/>
      <c r="S150" s="93"/>
      <c r="T150" s="89"/>
      <c r="U150" s="89"/>
      <c r="V150" s="89"/>
      <c r="W150" s="190"/>
      <c r="X150" s="190"/>
      <c r="Y150" s="178" t="s">
        <v>147</v>
      </c>
      <c r="Z150" s="178"/>
      <c r="AA150" s="178"/>
      <c r="AB150" s="178"/>
      <c r="AC150" s="180"/>
      <c r="AD150" s="180">
        <f>SUM(AD151:AD153)</f>
        <v>1400000</v>
      </c>
      <c r="AE150" s="179" t="s">
        <v>25</v>
      </c>
      <c r="AF150" s="1"/>
    </row>
    <row r="151" spans="1:32" s="11" customFormat="1" ht="21" customHeight="1">
      <c r="A151" s="46"/>
      <c r="B151" s="46"/>
      <c r="C151" s="46"/>
      <c r="D151" s="110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675" t="s">
        <v>501</v>
      </c>
      <c r="P151" s="539"/>
      <c r="Q151" s="538"/>
      <c r="R151" s="538"/>
      <c r="S151" s="538">
        <v>250000</v>
      </c>
      <c r="T151" s="538" t="s">
        <v>375</v>
      </c>
      <c r="U151" s="539" t="s">
        <v>376</v>
      </c>
      <c r="V151" s="674">
        <v>4</v>
      </c>
      <c r="W151" s="674" t="s">
        <v>56</v>
      </c>
      <c r="X151" s="539"/>
      <c r="Y151" s="538"/>
      <c r="Z151" s="538"/>
      <c r="AA151" s="538" t="s">
        <v>379</v>
      </c>
      <c r="AB151" s="674" t="s">
        <v>502</v>
      </c>
      <c r="AC151" s="136"/>
      <c r="AD151" s="136">
        <f>S151*V151</f>
        <v>1000000</v>
      </c>
      <c r="AE151" s="137" t="s">
        <v>25</v>
      </c>
      <c r="AF151" s="1"/>
    </row>
    <row r="152" spans="1:32" s="11" customFormat="1" ht="21" customHeight="1">
      <c r="A152" s="46"/>
      <c r="B152" s="46"/>
      <c r="C152" s="46"/>
      <c r="D152" s="110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684"/>
      <c r="P152" s="684"/>
      <c r="Q152" s="683"/>
      <c r="R152" s="683"/>
      <c r="S152" s="683">
        <v>100000</v>
      </c>
      <c r="T152" s="683" t="s">
        <v>57</v>
      </c>
      <c r="U152" s="684" t="s">
        <v>58</v>
      </c>
      <c r="V152" s="683">
        <v>4</v>
      </c>
      <c r="W152" s="683" t="s">
        <v>56</v>
      </c>
      <c r="X152" s="684"/>
      <c r="Y152" s="683"/>
      <c r="Z152" s="683"/>
      <c r="AA152" s="683" t="s">
        <v>53</v>
      </c>
      <c r="AB152" s="683" t="s">
        <v>542</v>
      </c>
      <c r="AC152" s="136"/>
      <c r="AD152" s="136">
        <f>S152*V152</f>
        <v>400000</v>
      </c>
      <c r="AE152" s="137" t="s">
        <v>25</v>
      </c>
      <c r="AF152" s="1"/>
    </row>
    <row r="153" spans="1:32" s="11" customFormat="1" ht="21" customHeight="1">
      <c r="A153" s="46"/>
      <c r="B153" s="46"/>
      <c r="C153" s="46"/>
      <c r="D153" s="160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539"/>
      <c r="P153" s="539"/>
      <c r="Q153" s="538"/>
      <c r="R153" s="538"/>
      <c r="S153" s="538"/>
      <c r="T153" s="538"/>
      <c r="U153" s="539"/>
      <c r="V153" s="538"/>
      <c r="W153" s="538"/>
      <c r="X153" s="539"/>
      <c r="Y153" s="538"/>
      <c r="Z153" s="538"/>
      <c r="AA153" s="538"/>
      <c r="AB153" s="538"/>
      <c r="AC153" s="136"/>
      <c r="AD153" s="136"/>
      <c r="AE153" s="137"/>
      <c r="AF153" s="1"/>
    </row>
    <row r="154" spans="1:32" s="11" customFormat="1" ht="21" customHeight="1">
      <c r="A154" s="46"/>
      <c r="B154" s="46"/>
      <c r="C154" s="36" t="s">
        <v>91</v>
      </c>
      <c r="D154" s="162">
        <v>360</v>
      </c>
      <c r="E154" s="114">
        <f>SUM(F154:L154)</f>
        <v>360</v>
      </c>
      <c r="F154" s="113">
        <f>AD155/1000</f>
        <v>160</v>
      </c>
      <c r="G154" s="113">
        <v>0</v>
      </c>
      <c r="H154" s="113">
        <v>0</v>
      </c>
      <c r="I154" s="113">
        <f>SUM(AD157,AD158:AD158)/1000</f>
        <v>0</v>
      </c>
      <c r="J154" s="113">
        <f>SUM(AD156:AD158)/1000</f>
        <v>200</v>
      </c>
      <c r="K154" s="113">
        <v>0</v>
      </c>
      <c r="L154" s="113">
        <v>0</v>
      </c>
      <c r="M154" s="113">
        <f>E154-D154</f>
        <v>0</v>
      </c>
      <c r="N154" s="121">
        <f>IF(D154=0,0,M154/D154)</f>
        <v>0</v>
      </c>
      <c r="O154" s="97" t="s">
        <v>143</v>
      </c>
      <c r="P154" s="177"/>
      <c r="Q154" s="182"/>
      <c r="R154" s="182"/>
      <c r="S154" s="182"/>
      <c r="T154" s="181"/>
      <c r="U154" s="181"/>
      <c r="V154" s="181"/>
      <c r="W154" s="190"/>
      <c r="X154" s="190"/>
      <c r="Y154" s="178" t="s">
        <v>147</v>
      </c>
      <c r="Z154" s="178"/>
      <c r="AA154" s="178"/>
      <c r="AB154" s="178"/>
      <c r="AC154" s="180"/>
      <c r="AD154" s="180">
        <f>SUM(AD155:AD158)</f>
        <v>360000</v>
      </c>
      <c r="AE154" s="179" t="s">
        <v>25</v>
      </c>
      <c r="AF154" s="1"/>
    </row>
    <row r="155" spans="1:32" s="14" customFormat="1" ht="21" customHeight="1">
      <c r="A155" s="46"/>
      <c r="B155" s="46"/>
      <c r="C155" s="46"/>
      <c r="D155" s="160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675" t="s">
        <v>503</v>
      </c>
      <c r="P155" s="539"/>
      <c r="Q155" s="538"/>
      <c r="R155" s="538"/>
      <c r="S155" s="538">
        <v>40000</v>
      </c>
      <c r="T155" s="538" t="s">
        <v>375</v>
      </c>
      <c r="U155" s="539" t="s">
        <v>376</v>
      </c>
      <c r="V155" s="538">
        <v>1</v>
      </c>
      <c r="W155" s="538" t="s">
        <v>380</v>
      </c>
      <c r="X155" s="539" t="s">
        <v>376</v>
      </c>
      <c r="Y155" s="538">
        <v>4</v>
      </c>
      <c r="Z155" s="538" t="s">
        <v>377</v>
      </c>
      <c r="AA155" s="538" t="s">
        <v>379</v>
      </c>
      <c r="AB155" s="538" t="s">
        <v>381</v>
      </c>
      <c r="AC155" s="136"/>
      <c r="AD155" s="136">
        <f>S155*V155*Y155</f>
        <v>160000</v>
      </c>
      <c r="AE155" s="137" t="s">
        <v>25</v>
      </c>
      <c r="AF155" s="5"/>
    </row>
    <row r="156" spans="1:32" s="14" customFormat="1" ht="21" customHeight="1">
      <c r="A156" s="46"/>
      <c r="B156" s="46"/>
      <c r="C156" s="46"/>
      <c r="D156" s="160"/>
      <c r="E156" s="109"/>
      <c r="F156" s="109"/>
      <c r="G156" s="109"/>
      <c r="H156" s="109"/>
      <c r="I156" s="109"/>
      <c r="J156" s="109"/>
      <c r="K156" s="109"/>
      <c r="L156" s="109"/>
      <c r="M156" s="109"/>
      <c r="N156" s="290"/>
      <c r="O156" s="380" t="s">
        <v>504</v>
      </c>
      <c r="P156" s="539"/>
      <c r="Q156" s="539"/>
      <c r="R156" s="539"/>
      <c r="S156" s="538"/>
      <c r="T156" s="538"/>
      <c r="U156" s="539"/>
      <c r="V156" s="538"/>
      <c r="W156" s="538"/>
      <c r="X156" s="539"/>
      <c r="Y156" s="393"/>
      <c r="Z156" s="386"/>
      <c r="AA156" s="386"/>
      <c r="AB156" s="674" t="s">
        <v>505</v>
      </c>
      <c r="AC156" s="136"/>
      <c r="AD156" s="538">
        <v>200000</v>
      </c>
      <c r="AE156" s="137" t="s">
        <v>375</v>
      </c>
      <c r="AF156" s="5"/>
    </row>
    <row r="157" spans="1:32" s="14" customFormat="1" ht="21" customHeight="1">
      <c r="A157" s="46"/>
      <c r="B157" s="46"/>
      <c r="C157" s="46"/>
      <c r="D157" s="160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675" t="s">
        <v>506</v>
      </c>
      <c r="P157" s="675"/>
      <c r="Q157" s="675"/>
      <c r="R157" s="675"/>
      <c r="S157" s="674">
        <v>20000</v>
      </c>
      <c r="T157" s="674" t="s">
        <v>57</v>
      </c>
      <c r="U157" s="675" t="s">
        <v>58</v>
      </c>
      <c r="V157" s="674">
        <v>0</v>
      </c>
      <c r="W157" s="674" t="s">
        <v>56</v>
      </c>
      <c r="X157" s="675" t="s">
        <v>58</v>
      </c>
      <c r="Y157" s="393">
        <v>1</v>
      </c>
      <c r="Z157" s="386" t="s">
        <v>72</v>
      </c>
      <c r="AA157" s="386" t="s">
        <v>53</v>
      </c>
      <c r="AB157" s="674" t="s">
        <v>505</v>
      </c>
      <c r="AC157" s="136"/>
      <c r="AD157" s="674">
        <f>S157*V157*Y157</f>
        <v>0</v>
      </c>
      <c r="AE157" s="137" t="s">
        <v>57</v>
      </c>
      <c r="AF157" s="5"/>
    </row>
    <row r="158" spans="1:32" s="14" customFormat="1" ht="21" customHeight="1">
      <c r="A158" s="46"/>
      <c r="B158" s="46"/>
      <c r="C158" s="46"/>
      <c r="D158" s="160"/>
      <c r="E158" s="109"/>
      <c r="F158" s="109"/>
      <c r="G158" s="109"/>
      <c r="H158" s="109"/>
      <c r="I158" s="109"/>
      <c r="J158" s="109"/>
      <c r="K158" s="109"/>
      <c r="L158" s="109"/>
      <c r="M158" s="109"/>
      <c r="N158" s="70"/>
      <c r="O158" s="675" t="s">
        <v>507</v>
      </c>
      <c r="P158" s="539"/>
      <c r="Q158" s="539"/>
      <c r="R158" s="539"/>
      <c r="S158" s="538"/>
      <c r="T158" s="538"/>
      <c r="U158" s="539"/>
      <c r="V158" s="538"/>
      <c r="W158" s="538"/>
      <c r="X158" s="539"/>
      <c r="Y158" s="568"/>
      <c r="Z158" s="553"/>
      <c r="AA158" s="570"/>
      <c r="AB158" s="674" t="s">
        <v>505</v>
      </c>
      <c r="AC158" s="538"/>
      <c r="AD158" s="538">
        <v>0</v>
      </c>
      <c r="AE158" s="137" t="s">
        <v>372</v>
      </c>
      <c r="AF158" s="5"/>
    </row>
    <row r="159" spans="1:32" s="11" customFormat="1" ht="21" customHeight="1">
      <c r="A159" s="46"/>
      <c r="B159" s="46"/>
      <c r="C159" s="59"/>
      <c r="D159" s="161"/>
      <c r="E159" s="167"/>
      <c r="F159" s="167"/>
      <c r="G159" s="167"/>
      <c r="H159" s="167"/>
      <c r="I159" s="167"/>
      <c r="J159" s="167"/>
      <c r="K159" s="167"/>
      <c r="L159" s="167"/>
      <c r="M159" s="133"/>
      <c r="N159" s="84"/>
      <c r="O159" s="571"/>
      <c r="P159" s="571"/>
      <c r="Q159" s="571"/>
      <c r="R159" s="571"/>
      <c r="S159" s="571"/>
      <c r="T159" s="134"/>
      <c r="U159" s="538"/>
      <c r="V159" s="386"/>
      <c r="W159" s="538"/>
      <c r="X159" s="538"/>
      <c r="Y159" s="538"/>
      <c r="Z159" s="538"/>
      <c r="AA159" s="538"/>
      <c r="AB159" s="538"/>
      <c r="AC159" s="538"/>
      <c r="AD159" s="538"/>
      <c r="AE159" s="137"/>
      <c r="AF159" s="1"/>
    </row>
    <row r="160" spans="1:32" s="11" customFormat="1" ht="21" customHeight="1">
      <c r="A160" s="46"/>
      <c r="B160" s="46"/>
      <c r="C160" s="46" t="s">
        <v>92</v>
      </c>
      <c r="D160" s="130">
        <v>90</v>
      </c>
      <c r="E160" s="114">
        <f>SUM(F160:L160)</f>
        <v>211</v>
      </c>
      <c r="F160" s="109">
        <f>AD161/1000</f>
        <v>21</v>
      </c>
      <c r="G160" s="109">
        <v>0</v>
      </c>
      <c r="H160" s="109">
        <v>0</v>
      </c>
      <c r="I160" s="109">
        <v>0</v>
      </c>
      <c r="J160" s="109">
        <f>AD162/1000</f>
        <v>190</v>
      </c>
      <c r="K160" s="109">
        <v>0</v>
      </c>
      <c r="L160" s="109">
        <v>0</v>
      </c>
      <c r="M160" s="109">
        <f>E160-D160</f>
        <v>121</v>
      </c>
      <c r="N160" s="70">
        <f>IF(D160=0,0,M160/D160)</f>
        <v>1.3444444444444446</v>
      </c>
      <c r="O160" s="97" t="s">
        <v>97</v>
      </c>
      <c r="P160" s="93"/>
      <c r="Q160" s="93"/>
      <c r="R160" s="93"/>
      <c r="S160" s="93"/>
      <c r="T160" s="89"/>
      <c r="U160" s="89"/>
      <c r="V160" s="89"/>
      <c r="W160" s="89"/>
      <c r="X160" s="89"/>
      <c r="Y160" s="178" t="s">
        <v>147</v>
      </c>
      <c r="Z160" s="178"/>
      <c r="AA160" s="178"/>
      <c r="AB160" s="178"/>
      <c r="AC160" s="180"/>
      <c r="AD160" s="180">
        <f>ROUND(SUM(AD161:AD162),-3)</f>
        <v>211000</v>
      </c>
      <c r="AE160" s="179" t="s">
        <v>25</v>
      </c>
      <c r="AF160" s="1"/>
    </row>
    <row r="161" spans="1:32" s="11" customFormat="1" ht="21" customHeight="1">
      <c r="A161" s="46"/>
      <c r="B161" s="46"/>
      <c r="C161" s="46"/>
      <c r="D161" s="160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684" t="s">
        <v>552</v>
      </c>
      <c r="P161" s="539"/>
      <c r="Q161" s="539"/>
      <c r="R161" s="539"/>
      <c r="S161" s="538">
        <v>21000</v>
      </c>
      <c r="T161" s="392" t="s">
        <v>375</v>
      </c>
      <c r="U161" s="392" t="s">
        <v>26</v>
      </c>
      <c r="V161" s="538">
        <v>1</v>
      </c>
      <c r="W161" s="538" t="s">
        <v>378</v>
      </c>
      <c r="X161" s="386"/>
      <c r="Y161" s="568"/>
      <c r="Z161" s="553"/>
      <c r="AA161" s="569" t="s">
        <v>379</v>
      </c>
      <c r="AB161" s="538" t="s">
        <v>381</v>
      </c>
      <c r="AC161" s="538"/>
      <c r="AD161" s="538">
        <f>S161*V161</f>
        <v>21000</v>
      </c>
      <c r="AE161" s="137" t="s">
        <v>25</v>
      </c>
      <c r="AF161" s="1"/>
    </row>
    <row r="162" spans="1:32" s="11" customFormat="1" ht="21" customHeight="1">
      <c r="A162" s="46"/>
      <c r="B162" s="46"/>
      <c r="C162" s="46"/>
      <c r="D162" s="160"/>
      <c r="E162" s="109"/>
      <c r="F162" s="109"/>
      <c r="G162" s="109"/>
      <c r="H162" s="109"/>
      <c r="I162" s="109"/>
      <c r="J162" s="109"/>
      <c r="K162" s="109"/>
      <c r="L162" s="109"/>
      <c r="M162" s="109"/>
      <c r="N162" s="70"/>
      <c r="O162" s="628"/>
      <c r="P162" s="628"/>
      <c r="Q162" s="628"/>
      <c r="R162" s="628"/>
      <c r="S162" s="627"/>
      <c r="T162" s="392"/>
      <c r="U162" s="392"/>
      <c r="V162" s="627"/>
      <c r="W162" s="627"/>
      <c r="X162" s="386"/>
      <c r="Y162" s="568"/>
      <c r="Z162" s="553"/>
      <c r="AA162" s="569" t="s">
        <v>238</v>
      </c>
      <c r="AB162" s="683" t="s">
        <v>519</v>
      </c>
      <c r="AC162" s="627"/>
      <c r="AD162" s="627">
        <v>190000</v>
      </c>
      <c r="AE162" s="137" t="s">
        <v>25</v>
      </c>
      <c r="AF162" s="1"/>
    </row>
    <row r="163" spans="1:32" s="11" customFormat="1" ht="21" customHeight="1">
      <c r="A163" s="46"/>
      <c r="B163" s="46"/>
      <c r="C163" s="46"/>
      <c r="D163" s="16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539"/>
      <c r="P163" s="539"/>
      <c r="Q163" s="539"/>
      <c r="R163" s="539"/>
      <c r="S163" s="538"/>
      <c r="T163" s="392"/>
      <c r="U163" s="539"/>
      <c r="V163" s="538"/>
      <c r="W163" s="539"/>
      <c r="X163" s="538"/>
      <c r="Y163" s="538"/>
      <c r="Z163" s="538"/>
      <c r="AA163" s="538"/>
      <c r="AB163" s="538"/>
      <c r="AC163" s="538"/>
      <c r="AD163" s="538"/>
      <c r="AE163" s="137"/>
      <c r="AF163" s="1"/>
    </row>
    <row r="164" spans="1:32" s="11" customFormat="1" ht="21" customHeight="1">
      <c r="A164" s="46"/>
      <c r="B164" s="36" t="s">
        <v>98</v>
      </c>
      <c r="C164" s="174" t="s">
        <v>152</v>
      </c>
      <c r="D164" s="175">
        <f>SUM(D165,D172,D179,D182,D188,D192,D198,D202)</f>
        <v>4770</v>
      </c>
      <c r="E164" s="175">
        <f t="shared" ref="E164:L164" si="19">SUM(E165,E172,E179,E182,E188,E192,E198,E202)</f>
        <v>5370</v>
      </c>
      <c r="F164" s="175">
        <f t="shared" si="19"/>
        <v>0</v>
      </c>
      <c r="G164" s="175">
        <f t="shared" si="19"/>
        <v>0</v>
      </c>
      <c r="H164" s="175">
        <f t="shared" si="19"/>
        <v>0</v>
      </c>
      <c r="I164" s="175">
        <f t="shared" si="19"/>
        <v>600</v>
      </c>
      <c r="J164" s="175">
        <f t="shared" si="19"/>
        <v>4770</v>
      </c>
      <c r="K164" s="175">
        <f t="shared" si="19"/>
        <v>0</v>
      </c>
      <c r="L164" s="175">
        <f t="shared" si="19"/>
        <v>0</v>
      </c>
      <c r="M164" s="175">
        <f>E164-D164</f>
        <v>600</v>
      </c>
      <c r="N164" s="176">
        <f>IF(D164=0,0,M164/D164)</f>
        <v>0.12578616352201258</v>
      </c>
      <c r="O164" s="177"/>
      <c r="P164" s="177"/>
      <c r="Q164" s="177"/>
      <c r="R164" s="177"/>
      <c r="S164" s="177"/>
      <c r="T164" s="178"/>
      <c r="U164" s="178"/>
      <c r="V164" s="178"/>
      <c r="W164" s="178"/>
      <c r="X164" s="178"/>
      <c r="Y164" s="178" t="s">
        <v>28</v>
      </c>
      <c r="Z164" s="178"/>
      <c r="AA164" s="178"/>
      <c r="AB164" s="178"/>
      <c r="AC164" s="180"/>
      <c r="AD164" s="180">
        <f>SUM(AD165,AD172,AD179,AD182,AD188,AD192,AD198,AD202)</f>
        <v>5370000</v>
      </c>
      <c r="AE164" s="179" t="s">
        <v>25</v>
      </c>
      <c r="AF164" s="1"/>
    </row>
    <row r="165" spans="1:32" s="15" customFormat="1" ht="24" customHeight="1">
      <c r="A165" s="46"/>
      <c r="B165" s="46" t="s">
        <v>453</v>
      </c>
      <c r="C165" s="36" t="s">
        <v>553</v>
      </c>
      <c r="D165" s="650">
        <v>1450</v>
      </c>
      <c r="E165" s="114">
        <f>SUM(F165:L165)</f>
        <v>1450</v>
      </c>
      <c r="F165" s="109">
        <v>0</v>
      </c>
      <c r="G165" s="109">
        <v>0</v>
      </c>
      <c r="H165" s="109">
        <v>0</v>
      </c>
      <c r="I165" s="109">
        <v>0</v>
      </c>
      <c r="J165" s="109">
        <f>SUM(AD166:AD170)/1000</f>
        <v>1450</v>
      </c>
      <c r="K165" s="109">
        <v>0</v>
      </c>
      <c r="L165" s="109">
        <v>0</v>
      </c>
      <c r="M165" s="109">
        <f>E165-D165</f>
        <v>0</v>
      </c>
      <c r="N165" s="70">
        <f>IF(D165=0,0,M165/D165)</f>
        <v>0</v>
      </c>
      <c r="O165" s="638"/>
      <c r="P165" s="166"/>
      <c r="Q165" s="166"/>
      <c r="R165" s="166"/>
      <c r="S165" s="166"/>
      <c r="T165" s="88"/>
      <c r="U165" s="88"/>
      <c r="V165" s="88"/>
      <c r="W165" s="148" t="s">
        <v>141</v>
      </c>
      <c r="X165" s="148"/>
      <c r="Y165" s="148"/>
      <c r="Z165" s="148"/>
      <c r="AA165" s="148"/>
      <c r="AB165" s="148"/>
      <c r="AC165" s="149"/>
      <c r="AD165" s="149">
        <f>SUM(AD166:AD170)</f>
        <v>1450000</v>
      </c>
      <c r="AE165" s="150" t="s">
        <v>25</v>
      </c>
      <c r="AF165" s="16"/>
    </row>
    <row r="166" spans="1:32" s="15" customFormat="1" ht="24" customHeight="1">
      <c r="A166" s="46"/>
      <c r="B166" s="46"/>
      <c r="C166" s="46" t="s">
        <v>554</v>
      </c>
      <c r="D166" s="163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684" t="s">
        <v>555</v>
      </c>
      <c r="P166" s="635"/>
      <c r="Q166" s="635"/>
      <c r="R166" s="635"/>
      <c r="S166" s="683">
        <v>50000</v>
      </c>
      <c r="T166" s="392" t="s">
        <v>57</v>
      </c>
      <c r="U166" s="392" t="s">
        <v>26</v>
      </c>
      <c r="V166" s="683">
        <v>4</v>
      </c>
      <c r="W166" s="683" t="s">
        <v>556</v>
      </c>
      <c r="X166" s="386"/>
      <c r="Y166" s="568"/>
      <c r="Z166" s="553"/>
      <c r="AA166" s="569" t="s">
        <v>53</v>
      </c>
      <c r="AB166" s="683" t="s">
        <v>519</v>
      </c>
      <c r="AC166" s="683"/>
      <c r="AD166" s="683">
        <f>S166*V166</f>
        <v>200000</v>
      </c>
      <c r="AE166" s="137" t="s">
        <v>25</v>
      </c>
      <c r="AF166" s="16"/>
    </row>
    <row r="167" spans="1:32" s="15" customFormat="1" ht="24" customHeight="1">
      <c r="A167" s="46"/>
      <c r="B167" s="46"/>
      <c r="C167" s="46"/>
      <c r="D167" s="163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684" t="s">
        <v>557</v>
      </c>
      <c r="P167" s="635"/>
      <c r="Q167" s="635"/>
      <c r="R167" s="635"/>
      <c r="S167" s="683">
        <v>50000</v>
      </c>
      <c r="T167" s="392" t="s">
        <v>57</v>
      </c>
      <c r="U167" s="392" t="s">
        <v>26</v>
      </c>
      <c r="V167" s="683">
        <v>4</v>
      </c>
      <c r="W167" s="683" t="s">
        <v>558</v>
      </c>
      <c r="X167" s="386"/>
      <c r="Y167" s="568"/>
      <c r="Z167" s="553"/>
      <c r="AA167" s="569" t="s">
        <v>53</v>
      </c>
      <c r="AB167" s="683" t="s">
        <v>519</v>
      </c>
      <c r="AC167" s="683"/>
      <c r="AD167" s="683">
        <f>S167*V167</f>
        <v>200000</v>
      </c>
      <c r="AE167" s="137" t="s">
        <v>25</v>
      </c>
      <c r="AF167" s="16"/>
    </row>
    <row r="168" spans="1:32" s="15" customFormat="1" ht="24" customHeight="1">
      <c r="A168" s="46"/>
      <c r="B168" s="46"/>
      <c r="C168" s="46"/>
      <c r="D168" s="163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684" t="s">
        <v>559</v>
      </c>
      <c r="P168" s="635"/>
      <c r="Q168" s="635"/>
      <c r="R168" s="635"/>
      <c r="S168" s="683">
        <v>100000</v>
      </c>
      <c r="T168" s="392" t="s">
        <v>57</v>
      </c>
      <c r="U168" s="392" t="s">
        <v>26</v>
      </c>
      <c r="V168" s="683">
        <v>6</v>
      </c>
      <c r="W168" s="683" t="s">
        <v>558</v>
      </c>
      <c r="X168" s="386"/>
      <c r="Y168" s="568"/>
      <c r="Z168" s="553"/>
      <c r="AA168" s="569" t="s">
        <v>53</v>
      </c>
      <c r="AB168" s="683" t="s">
        <v>519</v>
      </c>
      <c r="AC168" s="683"/>
      <c r="AD168" s="683">
        <f>S168*V168</f>
        <v>600000</v>
      </c>
      <c r="AE168" s="137" t="s">
        <v>25</v>
      </c>
      <c r="AF168" s="16"/>
    </row>
    <row r="169" spans="1:32" s="15" customFormat="1" ht="24" customHeight="1">
      <c r="A169" s="46"/>
      <c r="B169" s="46"/>
      <c r="C169" s="46"/>
      <c r="D169" s="160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684" t="s">
        <v>560</v>
      </c>
      <c r="P169" s="635"/>
      <c r="Q169" s="635"/>
      <c r="R169" s="635"/>
      <c r="S169" s="683">
        <v>50000</v>
      </c>
      <c r="T169" s="392" t="s">
        <v>57</v>
      </c>
      <c r="U169" s="392" t="s">
        <v>26</v>
      </c>
      <c r="V169" s="683">
        <v>4</v>
      </c>
      <c r="W169" s="683" t="s">
        <v>558</v>
      </c>
      <c r="X169" s="386"/>
      <c r="Y169" s="568"/>
      <c r="Z169" s="553"/>
      <c r="AA169" s="569" t="s">
        <v>53</v>
      </c>
      <c r="AB169" s="683" t="s">
        <v>519</v>
      </c>
      <c r="AC169" s="683"/>
      <c r="AD169" s="683">
        <f>S169*V169</f>
        <v>200000</v>
      </c>
      <c r="AE169" s="137" t="s">
        <v>25</v>
      </c>
      <c r="AF169" s="16"/>
    </row>
    <row r="170" spans="1:32" s="15" customFormat="1" ht="24" customHeight="1">
      <c r="A170" s="46"/>
      <c r="B170" s="46"/>
      <c r="C170" s="46"/>
      <c r="D170" s="160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684" t="s">
        <v>636</v>
      </c>
      <c r="P170" s="684"/>
      <c r="Q170" s="684"/>
      <c r="R170" s="684"/>
      <c r="S170" s="683">
        <v>50000</v>
      </c>
      <c r="T170" s="392" t="s">
        <v>57</v>
      </c>
      <c r="U170" s="392" t="s">
        <v>26</v>
      </c>
      <c r="V170" s="683">
        <v>5</v>
      </c>
      <c r="W170" s="683" t="s">
        <v>72</v>
      </c>
      <c r="X170" s="386"/>
      <c r="Y170" s="568"/>
      <c r="Z170" s="553"/>
      <c r="AA170" s="569" t="s">
        <v>53</v>
      </c>
      <c r="AB170" s="683" t="s">
        <v>288</v>
      </c>
      <c r="AC170" s="683"/>
      <c r="AD170" s="683">
        <f>S170*V170</f>
        <v>250000</v>
      </c>
      <c r="AE170" s="137" t="s">
        <v>25</v>
      </c>
      <c r="AF170" s="16"/>
    </row>
    <row r="171" spans="1:32" s="15" customFormat="1" ht="24" customHeight="1">
      <c r="A171" s="46"/>
      <c r="B171" s="46"/>
      <c r="C171" s="59"/>
      <c r="D171" s="161"/>
      <c r="E171" s="111"/>
      <c r="F171" s="111"/>
      <c r="G171" s="111"/>
      <c r="H171" s="111"/>
      <c r="I171" s="111"/>
      <c r="J171" s="111"/>
      <c r="K171" s="111"/>
      <c r="L171" s="111"/>
      <c r="M171" s="111"/>
      <c r="N171" s="84"/>
      <c r="O171" s="633"/>
      <c r="P171" s="633"/>
      <c r="Q171" s="633"/>
      <c r="R171" s="633"/>
      <c r="S171" s="632"/>
      <c r="T171" s="632"/>
      <c r="U171" s="633"/>
      <c r="V171" s="632"/>
      <c r="W171" s="632"/>
      <c r="X171" s="632"/>
      <c r="Y171" s="632"/>
      <c r="Z171" s="632"/>
      <c r="AA171" s="632"/>
      <c r="AB171" s="632"/>
      <c r="AC171" s="632"/>
      <c r="AD171" s="632"/>
      <c r="AE171" s="564"/>
      <c r="AF171" s="16"/>
    </row>
    <row r="172" spans="1:32" s="15" customFormat="1" ht="24" customHeight="1">
      <c r="A172" s="46"/>
      <c r="B172" s="46"/>
      <c r="C172" s="36" t="s">
        <v>561</v>
      </c>
      <c r="D172" s="162">
        <v>420</v>
      </c>
      <c r="E172" s="114">
        <f>SUM(F172:L172)</f>
        <v>420</v>
      </c>
      <c r="F172" s="109">
        <v>0</v>
      </c>
      <c r="G172" s="109">
        <v>0</v>
      </c>
      <c r="H172" s="109">
        <v>0</v>
      </c>
      <c r="I172" s="109">
        <v>0</v>
      </c>
      <c r="J172" s="109">
        <f>SUM(AD173:AD177)/1000</f>
        <v>420</v>
      </c>
      <c r="K172" s="109">
        <v>0</v>
      </c>
      <c r="L172" s="109">
        <v>0</v>
      </c>
      <c r="M172" s="109">
        <f>E172-D172</f>
        <v>0</v>
      </c>
      <c r="N172" s="70">
        <f>IF(D172=0,0,M172/D172)</f>
        <v>0</v>
      </c>
      <c r="O172" s="383"/>
      <c r="P172" s="400"/>
      <c r="Q172" s="400"/>
      <c r="R172" s="643"/>
      <c r="S172" s="643"/>
      <c r="T172" s="643"/>
      <c r="U172" s="643"/>
      <c r="V172" s="643"/>
      <c r="W172" s="644" t="s">
        <v>141</v>
      </c>
      <c r="X172" s="644"/>
      <c r="Y172" s="644"/>
      <c r="Z172" s="644"/>
      <c r="AA172" s="644"/>
      <c r="AB172" s="644"/>
      <c r="AC172" s="645"/>
      <c r="AD172" s="645">
        <f>SUM(AD173:AD177)</f>
        <v>420000</v>
      </c>
      <c r="AE172" s="646" t="s">
        <v>25</v>
      </c>
      <c r="AF172" s="16"/>
    </row>
    <row r="173" spans="1:32" s="15" customFormat="1" ht="24" customHeight="1">
      <c r="A173" s="46"/>
      <c r="B173" s="46"/>
      <c r="C173" s="46" t="s">
        <v>453</v>
      </c>
      <c r="D173" s="163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684" t="s">
        <v>562</v>
      </c>
      <c r="P173" s="635"/>
      <c r="Q173" s="635"/>
      <c r="R173" s="635"/>
      <c r="S173" s="683">
        <v>150000</v>
      </c>
      <c r="T173" s="392" t="s">
        <v>57</v>
      </c>
      <c r="U173" s="392" t="s">
        <v>26</v>
      </c>
      <c r="V173" s="683">
        <v>2</v>
      </c>
      <c r="W173" s="684" t="s">
        <v>72</v>
      </c>
      <c r="X173" s="683"/>
      <c r="Y173" s="572"/>
      <c r="Z173" s="572" t="s">
        <v>53</v>
      </c>
      <c r="AA173" s="572"/>
      <c r="AB173" s="572" t="s">
        <v>288</v>
      </c>
      <c r="AC173" s="572"/>
      <c r="AD173" s="573">
        <f>S173*V173</f>
        <v>300000</v>
      </c>
      <c r="AE173" s="574" t="s">
        <v>57</v>
      </c>
      <c r="AF173" s="16"/>
    </row>
    <row r="174" spans="1:32" s="15" customFormat="1" ht="24" customHeight="1">
      <c r="A174" s="46"/>
      <c r="B174" s="46"/>
      <c r="C174" s="46"/>
      <c r="D174" s="163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684" t="s">
        <v>563</v>
      </c>
      <c r="P174" s="565"/>
      <c r="Q174" s="565"/>
      <c r="R174" s="560"/>
      <c r="S174" s="636">
        <v>30000</v>
      </c>
      <c r="T174" s="392" t="s">
        <v>57</v>
      </c>
      <c r="U174" s="392" t="s">
        <v>26</v>
      </c>
      <c r="V174" s="636">
        <v>0</v>
      </c>
      <c r="W174" s="637" t="s">
        <v>457</v>
      </c>
      <c r="X174" s="636"/>
      <c r="Y174" s="572"/>
      <c r="Z174" s="572" t="s">
        <v>53</v>
      </c>
      <c r="AA174" s="572"/>
      <c r="AB174" s="572" t="s">
        <v>288</v>
      </c>
      <c r="AC174" s="572"/>
      <c r="AD174" s="573">
        <f>S174*V174</f>
        <v>0</v>
      </c>
      <c r="AE174" s="574" t="s">
        <v>57</v>
      </c>
      <c r="AF174" s="16"/>
    </row>
    <row r="175" spans="1:32" s="15" customFormat="1" ht="24" customHeight="1">
      <c r="A175" s="46"/>
      <c r="B175" s="46"/>
      <c r="C175" s="46"/>
      <c r="D175" s="163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684" t="s">
        <v>564</v>
      </c>
      <c r="P175" s="565"/>
      <c r="Q175" s="565"/>
      <c r="R175" s="560"/>
      <c r="S175" s="683">
        <v>30000</v>
      </c>
      <c r="T175" s="392" t="s">
        <v>57</v>
      </c>
      <c r="U175" s="392" t="s">
        <v>26</v>
      </c>
      <c r="V175" s="683">
        <v>0</v>
      </c>
      <c r="W175" s="684" t="s">
        <v>72</v>
      </c>
      <c r="X175" s="683"/>
      <c r="Y175" s="572"/>
      <c r="Z175" s="572" t="s">
        <v>53</v>
      </c>
      <c r="AA175" s="572"/>
      <c r="AB175" s="572" t="s">
        <v>288</v>
      </c>
      <c r="AC175" s="572"/>
      <c r="AD175" s="573">
        <f>S175*V175</f>
        <v>0</v>
      </c>
      <c r="AE175" s="574" t="s">
        <v>57</v>
      </c>
      <c r="AF175" s="16"/>
    </row>
    <row r="176" spans="1:32" s="15" customFormat="1" ht="24" customHeight="1">
      <c r="A176" s="46"/>
      <c r="B176" s="46"/>
      <c r="C176" s="46"/>
      <c r="D176" s="163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684" t="s">
        <v>565</v>
      </c>
      <c r="P176" s="565"/>
      <c r="Q176" s="565"/>
      <c r="R176" s="560"/>
      <c r="S176" s="683">
        <v>30000</v>
      </c>
      <c r="T176" s="392" t="s">
        <v>57</v>
      </c>
      <c r="U176" s="392" t="s">
        <v>26</v>
      </c>
      <c r="V176" s="683">
        <v>0</v>
      </c>
      <c r="W176" s="684" t="s">
        <v>72</v>
      </c>
      <c r="X176" s="683"/>
      <c r="Y176" s="572"/>
      <c r="Z176" s="572" t="s">
        <v>53</v>
      </c>
      <c r="AA176" s="572"/>
      <c r="AB176" s="572" t="s">
        <v>288</v>
      </c>
      <c r="AC176" s="572"/>
      <c r="AD176" s="573">
        <f>S176*V176</f>
        <v>0</v>
      </c>
      <c r="AE176" s="574" t="s">
        <v>57</v>
      </c>
      <c r="AF176" s="16"/>
    </row>
    <row r="177" spans="1:33" s="15" customFormat="1" ht="24" customHeight="1">
      <c r="A177" s="46"/>
      <c r="B177" s="46"/>
      <c r="C177" s="46"/>
      <c r="D177" s="163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684" t="s">
        <v>566</v>
      </c>
      <c r="P177" s="565"/>
      <c r="Q177" s="565"/>
      <c r="R177" s="560"/>
      <c r="S177" s="683">
        <v>30000</v>
      </c>
      <c r="T177" s="392" t="s">
        <v>57</v>
      </c>
      <c r="U177" s="392" t="s">
        <v>26</v>
      </c>
      <c r="V177" s="683">
        <v>4</v>
      </c>
      <c r="W177" s="684" t="s">
        <v>556</v>
      </c>
      <c r="X177" s="683"/>
      <c r="Y177" s="572"/>
      <c r="Z177" s="572" t="s">
        <v>53</v>
      </c>
      <c r="AA177" s="572"/>
      <c r="AB177" s="572" t="s">
        <v>288</v>
      </c>
      <c r="AC177" s="572"/>
      <c r="AD177" s="573">
        <f>S177*V177</f>
        <v>120000</v>
      </c>
      <c r="AE177" s="574" t="s">
        <v>57</v>
      </c>
      <c r="AF177" s="16"/>
    </row>
    <row r="178" spans="1:33" s="15" customFormat="1" ht="24" customHeight="1">
      <c r="A178" s="46"/>
      <c r="B178" s="46"/>
      <c r="C178" s="59"/>
      <c r="D178" s="164"/>
      <c r="E178" s="111"/>
      <c r="F178" s="111"/>
      <c r="G178" s="111"/>
      <c r="H178" s="111"/>
      <c r="I178" s="111"/>
      <c r="J178" s="111"/>
      <c r="K178" s="111"/>
      <c r="L178" s="111"/>
      <c r="M178" s="111"/>
      <c r="N178" s="84"/>
      <c r="O178" s="633"/>
      <c r="P178" s="633"/>
      <c r="Q178" s="633"/>
      <c r="R178" s="633"/>
      <c r="S178" s="633"/>
      <c r="T178" s="632"/>
      <c r="U178" s="632"/>
      <c r="V178" s="632"/>
      <c r="W178" s="632"/>
      <c r="X178" s="632"/>
      <c r="Y178" s="632"/>
      <c r="Z178" s="632"/>
      <c r="AA178" s="632"/>
      <c r="AB178" s="632"/>
      <c r="AC178" s="575"/>
      <c r="AD178" s="575"/>
      <c r="AE178" s="564"/>
      <c r="AF178" s="16"/>
      <c r="AG178" s="16"/>
    </row>
    <row r="179" spans="1:33" s="15" customFormat="1" ht="24" customHeight="1">
      <c r="A179" s="46"/>
      <c r="B179" s="46"/>
      <c r="C179" s="36" t="s">
        <v>567</v>
      </c>
      <c r="D179" s="650">
        <v>200</v>
      </c>
      <c r="E179" s="114">
        <f>SUM(F179:L179)</f>
        <v>200</v>
      </c>
      <c r="F179" s="113">
        <v>0</v>
      </c>
      <c r="G179" s="113">
        <v>0</v>
      </c>
      <c r="H179" s="113">
        <v>0</v>
      </c>
      <c r="I179" s="113">
        <v>0</v>
      </c>
      <c r="J179" s="113">
        <f>SUM(AD180:AD180)/1000</f>
        <v>200</v>
      </c>
      <c r="K179" s="113">
        <v>0</v>
      </c>
      <c r="L179" s="113">
        <v>0</v>
      </c>
      <c r="M179" s="113">
        <f>E179-D179</f>
        <v>0</v>
      </c>
      <c r="N179" s="121">
        <f>IF(D179=0,0,M179/D179)</f>
        <v>0</v>
      </c>
      <c r="O179" s="383"/>
      <c r="P179" s="400"/>
      <c r="Q179" s="400"/>
      <c r="R179" s="643"/>
      <c r="S179" s="643"/>
      <c r="T179" s="643"/>
      <c r="U179" s="643"/>
      <c r="V179" s="643"/>
      <c r="W179" s="644" t="s">
        <v>141</v>
      </c>
      <c r="X179" s="644"/>
      <c r="Y179" s="644"/>
      <c r="Z179" s="644"/>
      <c r="AA179" s="644"/>
      <c r="AB179" s="644"/>
      <c r="AC179" s="645"/>
      <c r="AD179" s="645">
        <f>SUM(AD180:AD180)</f>
        <v>200000</v>
      </c>
      <c r="AE179" s="646" t="s">
        <v>25</v>
      </c>
      <c r="AF179" s="16"/>
      <c r="AG179" s="16"/>
    </row>
    <row r="180" spans="1:33" s="15" customFormat="1" ht="24" customHeight="1">
      <c r="A180" s="46"/>
      <c r="B180" s="46"/>
      <c r="C180" s="46" t="s">
        <v>554</v>
      </c>
      <c r="D180" s="163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684" t="s">
        <v>568</v>
      </c>
      <c r="P180" s="565"/>
      <c r="Q180" s="565"/>
      <c r="R180" s="560"/>
      <c r="S180" s="683">
        <v>5000</v>
      </c>
      <c r="T180" s="683" t="s">
        <v>57</v>
      </c>
      <c r="U180" s="684" t="s">
        <v>58</v>
      </c>
      <c r="V180" s="683">
        <v>4</v>
      </c>
      <c r="W180" s="683" t="s">
        <v>56</v>
      </c>
      <c r="X180" s="684" t="s">
        <v>58</v>
      </c>
      <c r="Y180" s="393">
        <v>10</v>
      </c>
      <c r="Z180" s="386" t="s">
        <v>72</v>
      </c>
      <c r="AA180" s="386" t="s">
        <v>53</v>
      </c>
      <c r="AB180" s="683" t="s">
        <v>288</v>
      </c>
      <c r="AC180" s="136"/>
      <c r="AD180" s="683">
        <f>S180*V180*Y180</f>
        <v>200000</v>
      </c>
      <c r="AE180" s="137" t="s">
        <v>57</v>
      </c>
      <c r="AF180" s="16"/>
      <c r="AG180" s="16"/>
    </row>
    <row r="181" spans="1:33" s="15" customFormat="1" ht="24" customHeight="1">
      <c r="A181" s="46"/>
      <c r="B181" s="46"/>
      <c r="C181" s="59"/>
      <c r="D181" s="161"/>
      <c r="E181" s="111"/>
      <c r="F181" s="111"/>
      <c r="G181" s="111"/>
      <c r="H181" s="111"/>
      <c r="I181" s="111"/>
      <c r="J181" s="111"/>
      <c r="K181" s="111"/>
      <c r="L181" s="111"/>
      <c r="M181" s="111"/>
      <c r="N181" s="84"/>
      <c r="O181" s="633"/>
      <c r="P181" s="633"/>
      <c r="Q181" s="633"/>
      <c r="R181" s="633"/>
      <c r="S181" s="633"/>
      <c r="T181" s="632"/>
      <c r="U181" s="632"/>
      <c r="V181" s="632"/>
      <c r="W181" s="632"/>
      <c r="X181" s="632"/>
      <c r="Y181" s="632"/>
      <c r="Z181" s="632"/>
      <c r="AA181" s="632"/>
      <c r="AB181" s="632"/>
      <c r="AC181" s="575"/>
      <c r="AD181" s="647"/>
      <c r="AE181" s="564"/>
      <c r="AF181" s="16"/>
    </row>
    <row r="182" spans="1:33" s="15" customFormat="1" ht="24" customHeight="1">
      <c r="A182" s="46"/>
      <c r="B182" s="46"/>
      <c r="C182" s="36" t="s">
        <v>573</v>
      </c>
      <c r="D182" s="162">
        <v>1800</v>
      </c>
      <c r="E182" s="114">
        <f>SUM(F182:L182)</f>
        <v>1800</v>
      </c>
      <c r="F182" s="113">
        <v>0</v>
      </c>
      <c r="G182" s="113">
        <v>0</v>
      </c>
      <c r="H182" s="113">
        <v>0</v>
      </c>
      <c r="I182" s="113">
        <v>0</v>
      </c>
      <c r="J182" s="113">
        <f>SUM(AD183:AD186)/1000</f>
        <v>1800</v>
      </c>
      <c r="K182" s="113">
        <v>0</v>
      </c>
      <c r="L182" s="113">
        <v>0</v>
      </c>
      <c r="M182" s="113">
        <f>E182-D182</f>
        <v>0</v>
      </c>
      <c r="N182" s="121">
        <f>IF(D182=0,0,M182/D182)</f>
        <v>0</v>
      </c>
      <c r="O182" s="383"/>
      <c r="P182" s="400"/>
      <c r="Q182" s="400"/>
      <c r="R182" s="643"/>
      <c r="S182" s="643"/>
      <c r="T182" s="643"/>
      <c r="U182" s="643"/>
      <c r="V182" s="643"/>
      <c r="W182" s="644" t="s">
        <v>141</v>
      </c>
      <c r="X182" s="644"/>
      <c r="Y182" s="644"/>
      <c r="Z182" s="644"/>
      <c r="AA182" s="644"/>
      <c r="AB182" s="644"/>
      <c r="AC182" s="645"/>
      <c r="AD182" s="645">
        <f>SUM(AD183:AD186)</f>
        <v>1800000</v>
      </c>
      <c r="AE182" s="646" t="s">
        <v>25</v>
      </c>
      <c r="AF182" s="16"/>
    </row>
    <row r="183" spans="1:33" s="15" customFormat="1" ht="24" customHeight="1">
      <c r="A183" s="46"/>
      <c r="B183" s="46"/>
      <c r="C183" s="46" t="s">
        <v>574</v>
      </c>
      <c r="D183" s="160"/>
      <c r="E183" s="109"/>
      <c r="F183" s="109"/>
      <c r="G183" s="109"/>
      <c r="H183" s="109"/>
      <c r="I183" s="109"/>
      <c r="J183" s="109"/>
      <c r="K183" s="109"/>
      <c r="L183" s="109"/>
      <c r="M183" s="109"/>
      <c r="N183" s="70"/>
      <c r="O183" s="571" t="s">
        <v>569</v>
      </c>
      <c r="P183" s="571"/>
      <c r="Q183" s="571"/>
      <c r="R183" s="571"/>
      <c r="S183" s="683">
        <v>50000</v>
      </c>
      <c r="T183" s="392" t="s">
        <v>57</v>
      </c>
      <c r="U183" s="392" t="s">
        <v>26</v>
      </c>
      <c r="V183" s="683">
        <v>4</v>
      </c>
      <c r="W183" s="684" t="s">
        <v>556</v>
      </c>
      <c r="X183" s="683"/>
      <c r="Y183" s="572"/>
      <c r="Z183" s="572" t="s">
        <v>53</v>
      </c>
      <c r="AA183" s="572"/>
      <c r="AB183" s="572" t="s">
        <v>288</v>
      </c>
      <c r="AC183" s="572"/>
      <c r="AD183" s="573">
        <f t="shared" ref="AD183:AD186" si="20">S183*V183</f>
        <v>200000</v>
      </c>
      <c r="AE183" s="574" t="s">
        <v>57</v>
      </c>
      <c r="AF183" s="16"/>
    </row>
    <row r="184" spans="1:33" s="15" customFormat="1" ht="24" customHeight="1">
      <c r="A184" s="46"/>
      <c r="B184" s="46"/>
      <c r="C184" s="46"/>
      <c r="D184" s="160"/>
      <c r="E184" s="109"/>
      <c r="F184" s="109"/>
      <c r="G184" s="109"/>
      <c r="H184" s="109"/>
      <c r="I184" s="109"/>
      <c r="J184" s="109"/>
      <c r="K184" s="109"/>
      <c r="L184" s="109"/>
      <c r="M184" s="109"/>
      <c r="N184" s="70"/>
      <c r="O184" s="571" t="s">
        <v>570</v>
      </c>
      <c r="P184" s="571"/>
      <c r="Q184" s="571"/>
      <c r="R184" s="571"/>
      <c r="S184" s="683">
        <v>200000</v>
      </c>
      <c r="T184" s="392" t="s">
        <v>57</v>
      </c>
      <c r="U184" s="392" t="s">
        <v>26</v>
      </c>
      <c r="V184" s="683">
        <v>4</v>
      </c>
      <c r="W184" s="684" t="s">
        <v>556</v>
      </c>
      <c r="X184" s="683"/>
      <c r="Y184" s="572"/>
      <c r="Z184" s="572" t="s">
        <v>53</v>
      </c>
      <c r="AA184" s="572"/>
      <c r="AB184" s="572" t="s">
        <v>288</v>
      </c>
      <c r="AC184" s="572"/>
      <c r="AD184" s="573">
        <f t="shared" si="20"/>
        <v>800000</v>
      </c>
      <c r="AE184" s="574" t="s">
        <v>57</v>
      </c>
      <c r="AF184" s="16"/>
    </row>
    <row r="185" spans="1:33" s="15" customFormat="1" ht="24" customHeight="1">
      <c r="A185" s="46"/>
      <c r="B185" s="46"/>
      <c r="C185" s="46"/>
      <c r="D185" s="160"/>
      <c r="E185" s="109"/>
      <c r="F185" s="109"/>
      <c r="G185" s="109"/>
      <c r="H185" s="109"/>
      <c r="I185" s="109"/>
      <c r="J185" s="109"/>
      <c r="K185" s="109"/>
      <c r="L185" s="109"/>
      <c r="M185" s="109"/>
      <c r="N185" s="70"/>
      <c r="O185" s="571" t="s">
        <v>571</v>
      </c>
      <c r="P185" s="571"/>
      <c r="Q185" s="571"/>
      <c r="R185" s="571"/>
      <c r="S185" s="683">
        <v>150000</v>
      </c>
      <c r="T185" s="392" t="s">
        <v>57</v>
      </c>
      <c r="U185" s="392" t="s">
        <v>26</v>
      </c>
      <c r="V185" s="683">
        <v>4</v>
      </c>
      <c r="W185" s="684" t="s">
        <v>556</v>
      </c>
      <c r="X185" s="683"/>
      <c r="Y185" s="572"/>
      <c r="Z185" s="572" t="s">
        <v>53</v>
      </c>
      <c r="AA185" s="572"/>
      <c r="AB185" s="572" t="s">
        <v>288</v>
      </c>
      <c r="AC185" s="572"/>
      <c r="AD185" s="573">
        <f t="shared" si="20"/>
        <v>600000</v>
      </c>
      <c r="AE185" s="574" t="s">
        <v>57</v>
      </c>
      <c r="AF185" s="16"/>
    </row>
    <row r="186" spans="1:33" s="15" customFormat="1" ht="24" customHeight="1">
      <c r="A186" s="46"/>
      <c r="B186" s="46"/>
      <c r="C186" s="46"/>
      <c r="D186" s="16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571" t="s">
        <v>572</v>
      </c>
      <c r="P186" s="571"/>
      <c r="Q186" s="571"/>
      <c r="R186" s="571"/>
      <c r="S186" s="683">
        <v>50000</v>
      </c>
      <c r="T186" s="392" t="s">
        <v>57</v>
      </c>
      <c r="U186" s="392" t="s">
        <v>26</v>
      </c>
      <c r="V186" s="683">
        <v>4</v>
      </c>
      <c r="W186" s="684" t="s">
        <v>556</v>
      </c>
      <c r="X186" s="683"/>
      <c r="Y186" s="572"/>
      <c r="Z186" s="572" t="s">
        <v>53</v>
      </c>
      <c r="AA186" s="572"/>
      <c r="AB186" s="572" t="s">
        <v>288</v>
      </c>
      <c r="AC186" s="572"/>
      <c r="AD186" s="573">
        <f t="shared" si="20"/>
        <v>200000</v>
      </c>
      <c r="AE186" s="574" t="s">
        <v>57</v>
      </c>
      <c r="AF186" s="16"/>
    </row>
    <row r="187" spans="1:33" s="15" customFormat="1" ht="24" customHeight="1">
      <c r="A187" s="46"/>
      <c r="B187" s="46"/>
      <c r="C187" s="59"/>
      <c r="D187" s="161"/>
      <c r="E187" s="111"/>
      <c r="F187" s="111"/>
      <c r="G187" s="111"/>
      <c r="H187" s="111"/>
      <c r="I187" s="111"/>
      <c r="J187" s="111"/>
      <c r="K187" s="111"/>
      <c r="L187" s="111"/>
      <c r="M187" s="111"/>
      <c r="N187" s="84"/>
      <c r="O187" s="640"/>
      <c r="P187" s="640"/>
      <c r="Q187" s="640"/>
      <c r="R187" s="640"/>
      <c r="S187" s="632"/>
      <c r="T187" s="563"/>
      <c r="U187" s="563"/>
      <c r="V187" s="632"/>
      <c r="W187" s="633"/>
      <c r="X187" s="632"/>
      <c r="Y187" s="640"/>
      <c r="Z187" s="640"/>
      <c r="AA187" s="640"/>
      <c r="AB187" s="640"/>
      <c r="AC187" s="640"/>
      <c r="AD187" s="641"/>
      <c r="AE187" s="642"/>
      <c r="AF187" s="16"/>
    </row>
    <row r="188" spans="1:33" s="15" customFormat="1" ht="24" customHeight="1">
      <c r="A188" s="46"/>
      <c r="B188" s="46"/>
      <c r="C188" s="36" t="s">
        <v>575</v>
      </c>
      <c r="D188" s="162">
        <v>480</v>
      </c>
      <c r="E188" s="114">
        <f>SUM(F188:L188)</f>
        <v>480</v>
      </c>
      <c r="F188" s="113">
        <v>0</v>
      </c>
      <c r="G188" s="113">
        <v>0</v>
      </c>
      <c r="H188" s="113">
        <v>0</v>
      </c>
      <c r="I188" s="113">
        <v>0</v>
      </c>
      <c r="J188" s="113">
        <f>SUM(AD189:AD190)/1000</f>
        <v>480</v>
      </c>
      <c r="K188" s="113">
        <v>0</v>
      </c>
      <c r="L188" s="113">
        <v>0</v>
      </c>
      <c r="M188" s="113">
        <f>E188-D188</f>
        <v>0</v>
      </c>
      <c r="N188" s="121">
        <f>IF(D188=0,0,M188/D188)</f>
        <v>0</v>
      </c>
      <c r="O188" s="383"/>
      <c r="P188" s="400"/>
      <c r="Q188" s="400"/>
      <c r="R188" s="643"/>
      <c r="S188" s="643"/>
      <c r="T188" s="643"/>
      <c r="U188" s="643"/>
      <c r="V188" s="643"/>
      <c r="W188" s="644" t="s">
        <v>141</v>
      </c>
      <c r="X188" s="644"/>
      <c r="Y188" s="644"/>
      <c r="Z188" s="644"/>
      <c r="AA188" s="644"/>
      <c r="AB188" s="644"/>
      <c r="AC188" s="645"/>
      <c r="AD188" s="645">
        <f>SUM(AD189:AD190)</f>
        <v>480000</v>
      </c>
      <c r="AE188" s="646" t="s">
        <v>25</v>
      </c>
      <c r="AF188" s="16"/>
    </row>
    <row r="189" spans="1:33" s="15" customFormat="1" ht="24" customHeight="1">
      <c r="A189" s="46"/>
      <c r="B189" s="46"/>
      <c r="C189" s="46" t="s">
        <v>554</v>
      </c>
      <c r="D189" s="160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684" t="s">
        <v>576</v>
      </c>
      <c r="P189" s="571"/>
      <c r="Q189" s="571"/>
      <c r="R189" s="571"/>
      <c r="S189" s="683">
        <v>0</v>
      </c>
      <c r="T189" s="392" t="s">
        <v>57</v>
      </c>
      <c r="U189" s="392" t="s">
        <v>26</v>
      </c>
      <c r="V189" s="683">
        <v>4</v>
      </c>
      <c r="W189" s="684" t="s">
        <v>556</v>
      </c>
      <c r="X189" s="683"/>
      <c r="Y189" s="572"/>
      <c r="Z189" s="572" t="s">
        <v>53</v>
      </c>
      <c r="AA189" s="572"/>
      <c r="AB189" s="572" t="s">
        <v>288</v>
      </c>
      <c r="AC189" s="572"/>
      <c r="AD189" s="573">
        <f t="shared" ref="AD189" si="21">S189*V189</f>
        <v>0</v>
      </c>
      <c r="AE189" s="574" t="s">
        <v>57</v>
      </c>
      <c r="AF189" s="16"/>
    </row>
    <row r="190" spans="1:33" s="15" customFormat="1" ht="24" customHeight="1">
      <c r="A190" s="46"/>
      <c r="B190" s="46"/>
      <c r="C190" s="46"/>
      <c r="D190" s="160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684" t="s">
        <v>577</v>
      </c>
      <c r="P190" s="648"/>
      <c r="Q190" s="648"/>
      <c r="R190" s="648"/>
      <c r="S190" s="683">
        <v>20000</v>
      </c>
      <c r="T190" s="392" t="s">
        <v>57</v>
      </c>
      <c r="U190" s="392" t="s">
        <v>26</v>
      </c>
      <c r="V190" s="683">
        <v>4</v>
      </c>
      <c r="W190" s="684" t="s">
        <v>556</v>
      </c>
      <c r="X190" s="684" t="s">
        <v>58</v>
      </c>
      <c r="Y190" s="393">
        <v>6</v>
      </c>
      <c r="Z190" s="386" t="s">
        <v>72</v>
      </c>
      <c r="AA190" s="386" t="s">
        <v>53</v>
      </c>
      <c r="AB190" s="572" t="s">
        <v>288</v>
      </c>
      <c r="AC190" s="572"/>
      <c r="AD190" s="683">
        <f>S190*V190*Y190</f>
        <v>480000</v>
      </c>
      <c r="AE190" s="574" t="s">
        <v>57</v>
      </c>
      <c r="AF190" s="16"/>
    </row>
    <row r="191" spans="1:33" s="15" customFormat="1" ht="24" customHeight="1">
      <c r="A191" s="46"/>
      <c r="B191" s="46"/>
      <c r="C191" s="59"/>
      <c r="D191" s="161"/>
      <c r="E191" s="111"/>
      <c r="F191" s="111"/>
      <c r="G191" s="111"/>
      <c r="H191" s="111"/>
      <c r="I191" s="111"/>
      <c r="J191" s="111"/>
      <c r="K191" s="111"/>
      <c r="L191" s="111"/>
      <c r="M191" s="111"/>
      <c r="N191" s="84"/>
      <c r="O191" s="633"/>
      <c r="P191" s="633"/>
      <c r="Q191" s="633"/>
      <c r="R191" s="633"/>
      <c r="S191" s="633"/>
      <c r="T191" s="632"/>
      <c r="U191" s="632"/>
      <c r="V191" s="632"/>
      <c r="W191" s="632"/>
      <c r="X191" s="632"/>
      <c r="Y191" s="632"/>
      <c r="Z191" s="632"/>
      <c r="AA191" s="632"/>
      <c r="AB191" s="632"/>
      <c r="AC191" s="575"/>
      <c r="AD191" s="647"/>
      <c r="AE191" s="564"/>
      <c r="AF191" s="16"/>
    </row>
    <row r="192" spans="1:33" s="15" customFormat="1" ht="24" customHeight="1">
      <c r="A192" s="46"/>
      <c r="B192" s="46"/>
      <c r="C192" s="36" t="s">
        <v>578</v>
      </c>
      <c r="D192" s="162">
        <v>320</v>
      </c>
      <c r="E192" s="114">
        <f>SUM(F192:L192)</f>
        <v>320</v>
      </c>
      <c r="F192" s="113">
        <v>0</v>
      </c>
      <c r="G192" s="113">
        <v>0</v>
      </c>
      <c r="H192" s="113">
        <v>0</v>
      </c>
      <c r="I192" s="113">
        <v>0</v>
      </c>
      <c r="J192" s="113">
        <f>SUM(AD193:AD196)/1000</f>
        <v>320</v>
      </c>
      <c r="K192" s="113">
        <v>0</v>
      </c>
      <c r="L192" s="113">
        <v>0</v>
      </c>
      <c r="M192" s="113">
        <f>E192-D192</f>
        <v>0</v>
      </c>
      <c r="N192" s="121">
        <f>IF(D192=0,0,M192/D192)</f>
        <v>0</v>
      </c>
      <c r="O192" s="404"/>
      <c r="P192" s="404"/>
      <c r="Q192" s="404"/>
      <c r="R192" s="404"/>
      <c r="S192" s="404"/>
      <c r="T192" s="388"/>
      <c r="U192" s="388"/>
      <c r="V192" s="388"/>
      <c r="W192" s="644" t="s">
        <v>141</v>
      </c>
      <c r="X192" s="644"/>
      <c r="Y192" s="644"/>
      <c r="Z192" s="644"/>
      <c r="AA192" s="644"/>
      <c r="AB192" s="644"/>
      <c r="AC192" s="645"/>
      <c r="AD192" s="645">
        <f>SUM(AD193:AD196)</f>
        <v>320000</v>
      </c>
      <c r="AE192" s="646" t="s">
        <v>25</v>
      </c>
      <c r="AF192" s="16"/>
    </row>
    <row r="193" spans="1:32" s="15" customFormat="1" ht="24" customHeight="1">
      <c r="A193" s="46"/>
      <c r="B193" s="46"/>
      <c r="C193" s="46" t="s">
        <v>453</v>
      </c>
      <c r="D193" s="160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684" t="s">
        <v>579</v>
      </c>
      <c r="P193" s="635"/>
      <c r="Q193" s="635"/>
      <c r="R193" s="635"/>
      <c r="S193" s="683"/>
      <c r="T193" s="683"/>
      <c r="U193" s="684"/>
      <c r="V193" s="683"/>
      <c r="W193" s="683"/>
      <c r="X193" s="684"/>
      <c r="Y193" s="393"/>
      <c r="Z193" s="386"/>
      <c r="AA193" s="386"/>
      <c r="AB193" s="683" t="s">
        <v>288</v>
      </c>
      <c r="AC193" s="136"/>
      <c r="AD193" s="683">
        <v>240000</v>
      </c>
      <c r="AE193" s="137" t="s">
        <v>57</v>
      </c>
      <c r="AF193" s="16"/>
    </row>
    <row r="194" spans="1:32" s="15" customFormat="1" ht="24" customHeight="1">
      <c r="A194" s="46"/>
      <c r="B194" s="46"/>
      <c r="C194" s="46"/>
      <c r="D194" s="160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571" t="s">
        <v>580</v>
      </c>
      <c r="P194" s="565"/>
      <c r="Q194" s="565"/>
      <c r="R194" s="560"/>
      <c r="S194" s="683">
        <v>10000</v>
      </c>
      <c r="T194" s="683" t="s">
        <v>57</v>
      </c>
      <c r="U194" s="684" t="s">
        <v>58</v>
      </c>
      <c r="V194" s="683">
        <v>4</v>
      </c>
      <c r="W194" s="683" t="s">
        <v>56</v>
      </c>
      <c r="X194" s="684" t="s">
        <v>58</v>
      </c>
      <c r="Y194" s="393">
        <v>2</v>
      </c>
      <c r="Z194" s="386" t="s">
        <v>72</v>
      </c>
      <c r="AA194" s="386" t="s">
        <v>53</v>
      </c>
      <c r="AB194" s="683" t="s">
        <v>288</v>
      </c>
      <c r="AC194" s="136"/>
      <c r="AD194" s="683">
        <f>S194*V194*Y194</f>
        <v>80000</v>
      </c>
      <c r="AE194" s="137" t="s">
        <v>57</v>
      </c>
      <c r="AF194" s="16"/>
    </row>
    <row r="195" spans="1:32" s="15" customFormat="1" ht="24" customHeight="1">
      <c r="A195" s="46"/>
      <c r="B195" s="46"/>
      <c r="C195" s="46"/>
      <c r="D195" s="160"/>
      <c r="E195" s="109"/>
      <c r="F195" s="109"/>
      <c r="G195" s="109"/>
      <c r="H195" s="109"/>
      <c r="I195" s="109"/>
      <c r="J195" s="109"/>
      <c r="K195" s="109"/>
      <c r="L195" s="109"/>
      <c r="M195" s="109"/>
      <c r="N195" s="70"/>
      <c r="O195" s="571" t="s">
        <v>582</v>
      </c>
      <c r="P195" s="565"/>
      <c r="Q195" s="565"/>
      <c r="R195" s="560"/>
      <c r="S195" s="560"/>
      <c r="T195" s="560"/>
      <c r="U195" s="560"/>
      <c r="V195" s="560"/>
      <c r="W195" s="683"/>
      <c r="X195" s="683"/>
      <c r="Y195" s="683"/>
      <c r="Z195" s="683"/>
      <c r="AA195" s="683"/>
      <c r="AB195" s="683" t="s">
        <v>547</v>
      </c>
      <c r="AC195" s="136"/>
      <c r="AD195" s="136">
        <v>0</v>
      </c>
      <c r="AE195" s="137" t="s">
        <v>544</v>
      </c>
      <c r="AF195" s="16"/>
    </row>
    <row r="196" spans="1:32" s="15" customFormat="1" ht="24" customHeight="1">
      <c r="A196" s="46"/>
      <c r="B196" s="46"/>
      <c r="C196" s="46"/>
      <c r="D196" s="160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571" t="s">
        <v>581</v>
      </c>
      <c r="P196" s="571"/>
      <c r="Q196" s="571"/>
      <c r="R196" s="571"/>
      <c r="S196" s="683">
        <v>0</v>
      </c>
      <c r="T196" s="683" t="s">
        <v>57</v>
      </c>
      <c r="U196" s="684" t="s">
        <v>58</v>
      </c>
      <c r="V196" s="683">
        <v>2</v>
      </c>
      <c r="W196" s="683" t="s">
        <v>56</v>
      </c>
      <c r="X196" s="684" t="s">
        <v>58</v>
      </c>
      <c r="Y196" s="393">
        <v>5</v>
      </c>
      <c r="Z196" s="386" t="s">
        <v>583</v>
      </c>
      <c r="AA196" s="386" t="s">
        <v>53</v>
      </c>
      <c r="AB196" s="683" t="s">
        <v>288</v>
      </c>
      <c r="AC196" s="136"/>
      <c r="AD196" s="683">
        <f>S196*V196*Y196</f>
        <v>0</v>
      </c>
      <c r="AE196" s="137" t="s">
        <v>57</v>
      </c>
      <c r="AF196" s="16"/>
    </row>
    <row r="197" spans="1:32" s="15" customFormat="1" ht="24" customHeight="1">
      <c r="A197" s="46"/>
      <c r="B197" s="46"/>
      <c r="C197" s="59"/>
      <c r="D197" s="161"/>
      <c r="E197" s="111"/>
      <c r="F197" s="111"/>
      <c r="G197" s="111"/>
      <c r="H197" s="111"/>
      <c r="I197" s="111"/>
      <c r="J197" s="111"/>
      <c r="K197" s="111"/>
      <c r="L197" s="111"/>
      <c r="M197" s="111"/>
      <c r="N197" s="84"/>
      <c r="O197" s="640"/>
      <c r="P197" s="640"/>
      <c r="Q197" s="640"/>
      <c r="R197" s="640"/>
      <c r="S197" s="640"/>
      <c r="T197" s="640"/>
      <c r="U197" s="640"/>
      <c r="V197" s="640"/>
      <c r="W197" s="640"/>
      <c r="X197" s="640"/>
      <c r="Y197" s="640"/>
      <c r="Z197" s="640"/>
      <c r="AA197" s="640"/>
      <c r="AB197" s="640"/>
      <c r="AC197" s="640"/>
      <c r="AD197" s="641"/>
      <c r="AE197" s="642"/>
      <c r="AF197" s="16"/>
    </row>
    <row r="198" spans="1:32" s="15" customFormat="1" ht="24" customHeight="1">
      <c r="A198" s="46"/>
      <c r="B198" s="46"/>
      <c r="C198" s="36" t="s">
        <v>455</v>
      </c>
      <c r="D198" s="162">
        <v>100</v>
      </c>
      <c r="E198" s="114">
        <f>SUM(F198:L198)</f>
        <v>100</v>
      </c>
      <c r="F198" s="113">
        <v>0</v>
      </c>
      <c r="G198" s="113">
        <v>0</v>
      </c>
      <c r="H198" s="113">
        <v>0</v>
      </c>
      <c r="I198" s="113">
        <v>0</v>
      </c>
      <c r="J198" s="113">
        <f>SUM(AD199:AD200)/1000</f>
        <v>100</v>
      </c>
      <c r="K198" s="113">
        <v>0</v>
      </c>
      <c r="L198" s="113">
        <v>0</v>
      </c>
      <c r="M198" s="113">
        <f>E198-D198</f>
        <v>0</v>
      </c>
      <c r="N198" s="121">
        <f>IF(D198=0,0,M198/D198)</f>
        <v>0</v>
      </c>
      <c r="O198" s="383"/>
      <c r="P198" s="400"/>
      <c r="Q198" s="400"/>
      <c r="R198" s="643"/>
      <c r="S198" s="643"/>
      <c r="T198" s="643"/>
      <c r="U198" s="643"/>
      <c r="V198" s="643"/>
      <c r="W198" s="644" t="s">
        <v>141</v>
      </c>
      <c r="X198" s="644"/>
      <c r="Y198" s="644"/>
      <c r="Z198" s="644"/>
      <c r="AA198" s="644"/>
      <c r="AB198" s="644"/>
      <c r="AC198" s="645"/>
      <c r="AD198" s="645">
        <f>SUM(AD199:AD200)</f>
        <v>100000</v>
      </c>
      <c r="AE198" s="646" t="s">
        <v>25</v>
      </c>
      <c r="AF198" s="16"/>
    </row>
    <row r="199" spans="1:32" s="15" customFormat="1" ht="24" customHeight="1">
      <c r="A199" s="46"/>
      <c r="B199" s="46"/>
      <c r="C199" s="46" t="s">
        <v>454</v>
      </c>
      <c r="D199" s="16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684" t="s">
        <v>584</v>
      </c>
      <c r="P199" s="565"/>
      <c r="Q199" s="565"/>
      <c r="R199" s="560"/>
      <c r="S199" s="683">
        <v>100000</v>
      </c>
      <c r="T199" s="392" t="s">
        <v>57</v>
      </c>
      <c r="U199" s="392" t="s">
        <v>26</v>
      </c>
      <c r="V199" s="683">
        <v>1</v>
      </c>
      <c r="W199" s="684" t="s">
        <v>72</v>
      </c>
      <c r="X199" s="683"/>
      <c r="Y199" s="571"/>
      <c r="Z199" s="571" t="s">
        <v>53</v>
      </c>
      <c r="AA199" s="571"/>
      <c r="AB199" s="571" t="s">
        <v>288</v>
      </c>
      <c r="AC199" s="571"/>
      <c r="AD199" s="639">
        <f>S199*V199</f>
        <v>100000</v>
      </c>
      <c r="AE199" s="574" t="s">
        <v>57</v>
      </c>
      <c r="AF199" s="16"/>
    </row>
    <row r="200" spans="1:32" s="15" customFormat="1" ht="24" customHeight="1">
      <c r="A200" s="46"/>
      <c r="B200" s="46"/>
      <c r="C200" s="46" t="s">
        <v>453</v>
      </c>
      <c r="D200" s="16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684" t="s">
        <v>585</v>
      </c>
      <c r="P200" s="565"/>
      <c r="Q200" s="565"/>
      <c r="R200" s="560"/>
      <c r="S200" s="634">
        <v>0</v>
      </c>
      <c r="T200" s="392" t="s">
        <v>57</v>
      </c>
      <c r="U200" s="392" t="s">
        <v>26</v>
      </c>
      <c r="V200" s="634">
        <v>0</v>
      </c>
      <c r="W200" s="635" t="s">
        <v>72</v>
      </c>
      <c r="X200" s="634"/>
      <c r="Y200" s="571"/>
      <c r="Z200" s="571" t="s">
        <v>53</v>
      </c>
      <c r="AA200" s="571"/>
      <c r="AB200" s="571" t="s">
        <v>288</v>
      </c>
      <c r="AC200" s="571"/>
      <c r="AD200" s="639">
        <f>S200*V200</f>
        <v>0</v>
      </c>
      <c r="AE200" s="574" t="s">
        <v>57</v>
      </c>
      <c r="AF200" s="16"/>
    </row>
    <row r="201" spans="1:32" s="15" customFormat="1" ht="24" customHeight="1">
      <c r="A201" s="46"/>
      <c r="B201" s="46"/>
      <c r="C201" s="46"/>
      <c r="D201" s="16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684"/>
      <c r="P201" s="565"/>
      <c r="Q201" s="565"/>
      <c r="R201" s="560"/>
      <c r="S201" s="683"/>
      <c r="T201" s="392"/>
      <c r="U201" s="392"/>
      <c r="V201" s="683"/>
      <c r="W201" s="684"/>
      <c r="X201" s="683"/>
      <c r="Y201" s="571"/>
      <c r="Z201" s="571"/>
      <c r="AA201" s="571"/>
      <c r="AB201" s="571"/>
      <c r="AC201" s="571"/>
      <c r="AD201" s="639"/>
      <c r="AE201" s="574"/>
      <c r="AF201" s="16"/>
    </row>
    <row r="202" spans="1:32" s="15" customFormat="1" ht="24" customHeight="1">
      <c r="A202" s="46"/>
      <c r="B202" s="46"/>
      <c r="C202" s="36" t="s">
        <v>637</v>
      </c>
      <c r="D202" s="162">
        <v>0</v>
      </c>
      <c r="E202" s="114">
        <f>SUM(F202:L202)</f>
        <v>600</v>
      </c>
      <c r="F202" s="113">
        <v>0</v>
      </c>
      <c r="G202" s="113">
        <v>0</v>
      </c>
      <c r="H202" s="113">
        <v>0</v>
      </c>
      <c r="I202" s="113">
        <f>AD203/1000</f>
        <v>600</v>
      </c>
      <c r="J202" s="113">
        <v>0</v>
      </c>
      <c r="K202" s="113">
        <v>0</v>
      </c>
      <c r="L202" s="113">
        <v>0</v>
      </c>
      <c r="M202" s="113">
        <f>E202-D202</f>
        <v>600</v>
      </c>
      <c r="N202" s="121">
        <f>IF(D202=0,0,M202/D202)</f>
        <v>0</v>
      </c>
      <c r="O202" s="383"/>
      <c r="P202" s="400"/>
      <c r="Q202" s="400"/>
      <c r="R202" s="643"/>
      <c r="S202" s="643"/>
      <c r="T202" s="643"/>
      <c r="U202" s="643"/>
      <c r="V202" s="643"/>
      <c r="W202" s="644" t="s">
        <v>141</v>
      </c>
      <c r="X202" s="644"/>
      <c r="Y202" s="644"/>
      <c r="Z202" s="644"/>
      <c r="AA202" s="644"/>
      <c r="AB202" s="644"/>
      <c r="AC202" s="645"/>
      <c r="AD202" s="645">
        <f>SUM(AD203:AD203)</f>
        <v>600000</v>
      </c>
      <c r="AE202" s="646" t="s">
        <v>25</v>
      </c>
      <c r="AF202" s="16"/>
    </row>
    <row r="203" spans="1:32" s="15" customFormat="1" ht="24" customHeight="1">
      <c r="A203" s="46"/>
      <c r="B203" s="46"/>
      <c r="C203" s="46" t="s">
        <v>139</v>
      </c>
      <c r="D203" s="160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684" t="s">
        <v>638</v>
      </c>
      <c r="P203" s="565"/>
      <c r="Q203" s="565"/>
      <c r="R203" s="560"/>
      <c r="S203" s="683">
        <v>50000</v>
      </c>
      <c r="T203" s="392" t="s">
        <v>57</v>
      </c>
      <c r="U203" s="392" t="s">
        <v>26</v>
      </c>
      <c r="V203" s="683">
        <v>12</v>
      </c>
      <c r="W203" s="684" t="s">
        <v>639</v>
      </c>
      <c r="X203" s="683"/>
      <c r="Y203" s="571"/>
      <c r="Z203" s="571" t="s">
        <v>53</v>
      </c>
      <c r="AA203" s="571"/>
      <c r="AB203" s="571" t="s">
        <v>640</v>
      </c>
      <c r="AC203" s="571"/>
      <c r="AD203" s="639">
        <f>S203*V203</f>
        <v>600000</v>
      </c>
      <c r="AE203" s="574" t="s">
        <v>57</v>
      </c>
      <c r="AF203" s="16"/>
    </row>
    <row r="204" spans="1:32" s="15" customFormat="1" ht="24" customHeight="1">
      <c r="A204" s="46"/>
      <c r="B204" s="46"/>
      <c r="C204" s="59"/>
      <c r="D204" s="161"/>
      <c r="E204" s="111"/>
      <c r="F204" s="111"/>
      <c r="G204" s="111"/>
      <c r="H204" s="111"/>
      <c r="I204" s="111"/>
      <c r="J204" s="111"/>
      <c r="K204" s="111"/>
      <c r="L204" s="111"/>
      <c r="M204" s="111"/>
      <c r="N204" s="84"/>
      <c r="O204" s="633"/>
      <c r="P204" s="387"/>
      <c r="Q204" s="387"/>
      <c r="R204" s="649"/>
      <c r="S204" s="649"/>
      <c r="T204" s="649"/>
      <c r="U204" s="649"/>
      <c r="V204" s="649"/>
      <c r="W204" s="632"/>
      <c r="X204" s="632"/>
      <c r="Y204" s="632"/>
      <c r="Z204" s="632"/>
      <c r="AA204" s="632"/>
      <c r="AB204" s="632"/>
      <c r="AC204" s="575"/>
      <c r="AD204" s="575"/>
      <c r="AE204" s="564"/>
      <c r="AF204" s="16"/>
    </row>
    <row r="205" spans="1:32" s="11" customFormat="1" ht="21" customHeight="1">
      <c r="A205" s="112" t="s">
        <v>159</v>
      </c>
      <c r="B205" s="748" t="s">
        <v>20</v>
      </c>
      <c r="C205" s="749"/>
      <c r="D205" s="175">
        <f>SUM(D206)</f>
        <v>9</v>
      </c>
      <c r="E205" s="175">
        <f>SUM(E206)</f>
        <v>5</v>
      </c>
      <c r="F205" s="175">
        <f t="shared" ref="F205:L205" si="22">SUM(F206)</f>
        <v>5</v>
      </c>
      <c r="G205" s="175">
        <f t="shared" si="22"/>
        <v>0</v>
      </c>
      <c r="H205" s="175">
        <f t="shared" si="22"/>
        <v>0</v>
      </c>
      <c r="I205" s="175">
        <f t="shared" si="22"/>
        <v>0</v>
      </c>
      <c r="J205" s="175">
        <f t="shared" si="22"/>
        <v>0</v>
      </c>
      <c r="K205" s="175">
        <f t="shared" si="22"/>
        <v>0</v>
      </c>
      <c r="L205" s="175">
        <f t="shared" si="22"/>
        <v>0</v>
      </c>
      <c r="M205" s="175">
        <f>E205-D205</f>
        <v>-4</v>
      </c>
      <c r="N205" s="176">
        <f>IF(D205=0,0,M205/D205)</f>
        <v>-0.44444444444444442</v>
      </c>
      <c r="O205" s="97" t="s">
        <v>162</v>
      </c>
      <c r="P205" s="177"/>
      <c r="Q205" s="177"/>
      <c r="R205" s="177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>
        <f>SUM(AD206)</f>
        <v>5000</v>
      </c>
      <c r="AE205" s="179" t="s">
        <v>25</v>
      </c>
      <c r="AF205" s="1"/>
    </row>
    <row r="206" spans="1:32" s="11" customFormat="1" ht="21" customHeight="1">
      <c r="A206" s="195" t="s">
        <v>161</v>
      </c>
      <c r="B206" s="46" t="s">
        <v>159</v>
      </c>
      <c r="C206" s="46" t="s">
        <v>159</v>
      </c>
      <c r="D206" s="160">
        <v>9</v>
      </c>
      <c r="E206" s="114">
        <f>SUM(F206:L206)</f>
        <v>5</v>
      </c>
      <c r="F206" s="109">
        <f>ROUND(SUM(AD207:AD211)/1000,0)</f>
        <v>5</v>
      </c>
      <c r="G206" s="109">
        <v>0</v>
      </c>
      <c r="H206" s="109">
        <f>ROUND(SUM(AD212:AD212)/1000,0)</f>
        <v>0</v>
      </c>
      <c r="I206" s="109">
        <v>0</v>
      </c>
      <c r="J206" s="109">
        <v>0</v>
      </c>
      <c r="K206" s="109">
        <v>0</v>
      </c>
      <c r="L206" s="109">
        <v>0</v>
      </c>
      <c r="M206" s="109">
        <f>E206-D206</f>
        <v>-4</v>
      </c>
      <c r="N206" s="70">
        <f>IF(D206=0,0,M206/D206)</f>
        <v>-0.44444444444444442</v>
      </c>
      <c r="O206" s="387" t="s">
        <v>279</v>
      </c>
      <c r="P206" s="32"/>
      <c r="Q206" s="32"/>
      <c r="R206" s="32"/>
      <c r="S206" s="32"/>
      <c r="T206" s="33"/>
      <c r="U206" s="33"/>
      <c r="V206" s="33"/>
      <c r="W206" s="33"/>
      <c r="X206" s="33"/>
      <c r="Y206" s="178" t="s">
        <v>147</v>
      </c>
      <c r="Z206" s="99"/>
      <c r="AA206" s="99"/>
      <c r="AB206" s="99"/>
      <c r="AC206" s="118"/>
      <c r="AD206" s="118">
        <f>ROUNDUP(SUM(AD207:AD212),-3)</f>
        <v>5000</v>
      </c>
      <c r="AE206" s="119" t="s">
        <v>25</v>
      </c>
      <c r="AF206" s="1"/>
    </row>
    <row r="207" spans="1:32" ht="21" customHeight="1">
      <c r="A207" s="45"/>
      <c r="B207" s="46" t="s">
        <v>160</v>
      </c>
      <c r="C207" s="46" t="s">
        <v>160</v>
      </c>
      <c r="D207" s="160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684" t="s">
        <v>586</v>
      </c>
      <c r="P207" s="539"/>
      <c r="Q207" s="539"/>
      <c r="R207" s="539"/>
      <c r="S207" s="538"/>
      <c r="T207" s="538"/>
      <c r="U207" s="538"/>
      <c r="V207" s="538"/>
      <c r="W207" s="538"/>
      <c r="X207" s="538"/>
      <c r="Y207" s="538"/>
      <c r="Z207" s="538"/>
      <c r="AA207" s="538"/>
      <c r="AB207" s="683" t="s">
        <v>593</v>
      </c>
      <c r="AC207" s="538"/>
      <c r="AD207" s="68">
        <v>0</v>
      </c>
      <c r="AE207" s="137" t="s">
        <v>25</v>
      </c>
    </row>
    <row r="208" spans="1:32" ht="21" customHeight="1">
      <c r="A208" s="45"/>
      <c r="B208" s="46"/>
      <c r="C208" s="46"/>
      <c r="D208" s="160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684" t="s">
        <v>587</v>
      </c>
      <c r="P208" s="539"/>
      <c r="Q208" s="539"/>
      <c r="R208" s="539"/>
      <c r="S208" s="538"/>
      <c r="T208" s="538"/>
      <c r="U208" s="538"/>
      <c r="V208" s="538"/>
      <c r="W208" s="538"/>
      <c r="X208" s="538"/>
      <c r="Y208" s="538"/>
      <c r="Z208" s="538"/>
      <c r="AA208" s="538"/>
      <c r="AB208" s="683" t="s">
        <v>593</v>
      </c>
      <c r="AC208" s="538"/>
      <c r="AD208" s="68">
        <v>5000</v>
      </c>
      <c r="AE208" s="137" t="s">
        <v>375</v>
      </c>
    </row>
    <row r="209" spans="1:32" ht="21" customHeight="1">
      <c r="A209" s="45"/>
      <c r="B209" s="46"/>
      <c r="C209" s="46"/>
      <c r="D209" s="160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684" t="s">
        <v>592</v>
      </c>
      <c r="P209" s="684"/>
      <c r="Q209" s="684"/>
      <c r="R209" s="684"/>
      <c r="S209" s="683"/>
      <c r="T209" s="683"/>
      <c r="U209" s="683"/>
      <c r="V209" s="683"/>
      <c r="W209" s="683"/>
      <c r="X209" s="683"/>
      <c r="Y209" s="683"/>
      <c r="Z209" s="683"/>
      <c r="AA209" s="683"/>
      <c r="AB209" s="683" t="s">
        <v>593</v>
      </c>
      <c r="AC209" s="683"/>
      <c r="AD209" s="68">
        <v>0</v>
      </c>
      <c r="AE209" s="137" t="s">
        <v>544</v>
      </c>
    </row>
    <row r="210" spans="1:32" ht="21" customHeight="1">
      <c r="A210" s="45"/>
      <c r="B210" s="46"/>
      <c r="C210" s="46"/>
      <c r="D210" s="160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684" t="s">
        <v>588</v>
      </c>
      <c r="P210" s="539"/>
      <c r="Q210" s="539"/>
      <c r="R210" s="539"/>
      <c r="S210" s="538"/>
      <c r="T210" s="538"/>
      <c r="U210" s="538"/>
      <c r="V210" s="538"/>
      <c r="W210" s="538"/>
      <c r="X210" s="538"/>
      <c r="Y210" s="538"/>
      <c r="Z210" s="538"/>
      <c r="AA210" s="538"/>
      <c r="AB210" s="683" t="s">
        <v>593</v>
      </c>
      <c r="AC210" s="538"/>
      <c r="AD210" s="68">
        <v>0</v>
      </c>
      <c r="AE210" s="137" t="s">
        <v>375</v>
      </c>
    </row>
    <row r="211" spans="1:32" ht="21" customHeight="1">
      <c r="A211" s="45"/>
      <c r="B211" s="46"/>
      <c r="C211" s="46"/>
      <c r="D211" s="160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684" t="s">
        <v>589</v>
      </c>
      <c r="P211" s="539"/>
      <c r="Q211" s="539"/>
      <c r="R211" s="539"/>
      <c r="S211" s="538"/>
      <c r="T211" s="538"/>
      <c r="U211" s="538"/>
      <c r="V211" s="538"/>
      <c r="W211" s="538"/>
      <c r="X211" s="538"/>
      <c r="Y211" s="538"/>
      <c r="Z211" s="538"/>
      <c r="AA211" s="538"/>
      <c r="AB211" s="683" t="s">
        <v>593</v>
      </c>
      <c r="AC211" s="538"/>
      <c r="AD211" s="68">
        <v>0</v>
      </c>
      <c r="AE211" s="137" t="s">
        <v>375</v>
      </c>
    </row>
    <row r="212" spans="1:32" ht="21" customHeight="1">
      <c r="A212" s="45"/>
      <c r="B212" s="46"/>
      <c r="C212" s="46"/>
      <c r="D212" s="160"/>
      <c r="E212" s="109"/>
      <c r="F212" s="109"/>
      <c r="G212" s="109"/>
      <c r="H212" s="109"/>
      <c r="I212" s="109"/>
      <c r="J212" s="109"/>
      <c r="K212" s="109"/>
      <c r="L212" s="109"/>
      <c r="M212" s="109"/>
      <c r="N212" s="70"/>
      <c r="O212" s="684" t="s">
        <v>590</v>
      </c>
      <c r="P212" s="539"/>
      <c r="Q212" s="539"/>
      <c r="R212" s="539"/>
      <c r="S212" s="538"/>
      <c r="T212" s="538"/>
      <c r="U212" s="538"/>
      <c r="V212" s="538"/>
      <c r="W212" s="538"/>
      <c r="X212" s="538"/>
      <c r="Y212" s="538"/>
      <c r="Z212" s="538"/>
      <c r="AA212" s="538"/>
      <c r="AB212" s="683" t="s">
        <v>593</v>
      </c>
      <c r="AC212" s="538"/>
      <c r="AD212" s="68">
        <v>0</v>
      </c>
      <c r="AE212" s="137" t="s">
        <v>25</v>
      </c>
    </row>
    <row r="213" spans="1:32" ht="21" customHeight="1">
      <c r="A213" s="45"/>
      <c r="B213" s="46"/>
      <c r="C213" s="47"/>
      <c r="D213" s="160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684" t="s">
        <v>591</v>
      </c>
      <c r="P213" s="684"/>
      <c r="Q213" s="684"/>
      <c r="R213" s="684"/>
      <c r="S213" s="683"/>
      <c r="T213" s="683"/>
      <c r="U213" s="683"/>
      <c r="V213" s="683"/>
      <c r="W213" s="683"/>
      <c r="X213" s="683"/>
      <c r="Y213" s="683"/>
      <c r="Z213" s="683"/>
      <c r="AA213" s="683"/>
      <c r="AB213" s="683" t="s">
        <v>593</v>
      </c>
      <c r="AC213" s="683"/>
      <c r="AD213" s="68"/>
      <c r="AE213" s="137"/>
    </row>
    <row r="214" spans="1:32" s="14" customFormat="1" ht="21" customHeight="1">
      <c r="A214" s="45"/>
      <c r="B214" s="59"/>
      <c r="C214" s="47"/>
      <c r="D214" s="160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1"/>
      <c r="AE214" s="57"/>
      <c r="AF214" s="4"/>
    </row>
    <row r="215" spans="1:32" s="11" customFormat="1" ht="21" customHeight="1">
      <c r="A215" s="35" t="s">
        <v>99</v>
      </c>
      <c r="B215" s="748" t="s">
        <v>20</v>
      </c>
      <c r="C215" s="749"/>
      <c r="D215" s="175">
        <f>D216</f>
        <v>0</v>
      </c>
      <c r="E215" s="175">
        <f>E216</f>
        <v>0</v>
      </c>
      <c r="F215" s="175">
        <f t="shared" ref="F215:L215" si="23">F216</f>
        <v>0</v>
      </c>
      <c r="G215" s="175">
        <f t="shared" si="23"/>
        <v>0</v>
      </c>
      <c r="H215" s="175">
        <f t="shared" si="23"/>
        <v>0</v>
      </c>
      <c r="I215" s="175">
        <f t="shared" si="23"/>
        <v>0</v>
      </c>
      <c r="J215" s="175">
        <f t="shared" si="23"/>
        <v>0</v>
      </c>
      <c r="K215" s="175">
        <f t="shared" si="23"/>
        <v>0</v>
      </c>
      <c r="L215" s="175">
        <f t="shared" si="23"/>
        <v>0</v>
      </c>
      <c r="M215" s="175">
        <f>E215-D215</f>
        <v>0</v>
      </c>
      <c r="N215" s="176">
        <f>IF(D215=0,0,M215/D215)</f>
        <v>0</v>
      </c>
      <c r="O215" s="177" t="s">
        <v>99</v>
      </c>
      <c r="P215" s="177"/>
      <c r="Q215" s="177"/>
      <c r="R215" s="177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>
        <f>SUM(AD216)</f>
        <v>0</v>
      </c>
      <c r="AE215" s="179" t="s">
        <v>25</v>
      </c>
      <c r="AF215" s="1"/>
    </row>
    <row r="216" spans="1:32" s="11" customFormat="1" ht="21" customHeight="1">
      <c r="A216" s="45"/>
      <c r="B216" s="46" t="s">
        <v>99</v>
      </c>
      <c r="C216" s="46" t="s">
        <v>99</v>
      </c>
      <c r="D216" s="160">
        <v>0</v>
      </c>
      <c r="E216" s="114">
        <f>SUM(F216:L216)</f>
        <v>0</v>
      </c>
      <c r="F216" s="109">
        <v>0</v>
      </c>
      <c r="G216" s="109">
        <v>0</v>
      </c>
      <c r="H216" s="109">
        <v>0</v>
      </c>
      <c r="I216" s="109">
        <v>0</v>
      </c>
      <c r="J216" s="109">
        <v>0</v>
      </c>
      <c r="K216" s="109">
        <v>0</v>
      </c>
      <c r="L216" s="109">
        <v>0</v>
      </c>
      <c r="M216" s="109">
        <f>E216-D216</f>
        <v>0</v>
      </c>
      <c r="N216" s="70">
        <f>IF(D216=0,0,M216/D216)</f>
        <v>0</v>
      </c>
      <c r="O216" s="116" t="s">
        <v>100</v>
      </c>
      <c r="P216" s="32"/>
      <c r="Q216" s="32"/>
      <c r="R216" s="32"/>
      <c r="S216" s="32"/>
      <c r="T216" s="33"/>
      <c r="U216" s="33"/>
      <c r="V216" s="33"/>
      <c r="W216" s="33"/>
      <c r="X216" s="33"/>
      <c r="Y216" s="178" t="s">
        <v>147</v>
      </c>
      <c r="Z216" s="99"/>
      <c r="AA216" s="99"/>
      <c r="AB216" s="99"/>
      <c r="AC216" s="118"/>
      <c r="AD216" s="118">
        <v>0</v>
      </c>
      <c r="AE216" s="119" t="s">
        <v>25</v>
      </c>
      <c r="AF216" s="1"/>
    </row>
    <row r="217" spans="1:32" s="1" customFormat="1" ht="21" customHeight="1" thickBot="1">
      <c r="A217" s="138"/>
      <c r="B217" s="46"/>
      <c r="C217" s="46"/>
      <c r="D217" s="160"/>
      <c r="E217" s="109"/>
      <c r="F217" s="109"/>
      <c r="G217" s="109"/>
      <c r="H217" s="109"/>
      <c r="I217" s="109"/>
      <c r="J217" s="109"/>
      <c r="K217" s="109"/>
      <c r="L217" s="109"/>
      <c r="M217" s="109"/>
      <c r="N217" s="70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141"/>
    </row>
    <row r="218" spans="1:32" s="11" customFormat="1" ht="21" customHeight="1">
      <c r="A218" s="35" t="s">
        <v>21</v>
      </c>
      <c r="B218" s="746" t="s">
        <v>20</v>
      </c>
      <c r="C218" s="747"/>
      <c r="D218" s="200">
        <f>SUM(D219)</f>
        <v>0</v>
      </c>
      <c r="E218" s="200">
        <f>SUM(E219)</f>
        <v>8</v>
      </c>
      <c r="F218" s="200">
        <f t="shared" ref="F218:L218" si="24">SUM(F219)</f>
        <v>0</v>
      </c>
      <c r="G218" s="200">
        <f t="shared" si="24"/>
        <v>0</v>
      </c>
      <c r="H218" s="200">
        <f t="shared" si="24"/>
        <v>0</v>
      </c>
      <c r="I218" s="200">
        <f t="shared" si="24"/>
        <v>2</v>
      </c>
      <c r="J218" s="200">
        <f t="shared" si="24"/>
        <v>4</v>
      </c>
      <c r="K218" s="200">
        <f t="shared" si="24"/>
        <v>1</v>
      </c>
      <c r="L218" s="200">
        <f t="shared" si="24"/>
        <v>1</v>
      </c>
      <c r="M218" s="200">
        <f>E218-D218</f>
        <v>8</v>
      </c>
      <c r="N218" s="201">
        <f>IF(D218=0,0,M218/D218)</f>
        <v>0</v>
      </c>
      <c r="O218" s="168" t="s">
        <v>21</v>
      </c>
      <c r="P218" s="169"/>
      <c r="Q218" s="169"/>
      <c r="R218" s="169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>
        <f>AD219</f>
        <v>8000</v>
      </c>
      <c r="AE218" s="171" t="s">
        <v>25</v>
      </c>
      <c r="AF218" s="1"/>
    </row>
    <row r="219" spans="1:32" s="11" customFormat="1" ht="21" customHeight="1">
      <c r="A219" s="45"/>
      <c r="B219" s="46" t="s">
        <v>21</v>
      </c>
      <c r="C219" s="46" t="s">
        <v>21</v>
      </c>
      <c r="D219" s="109">
        <v>0</v>
      </c>
      <c r="E219" s="114">
        <f>SUM(F219:L219)</f>
        <v>8</v>
      </c>
      <c r="F219" s="109">
        <v>0</v>
      </c>
      <c r="G219" s="109">
        <v>0</v>
      </c>
      <c r="H219" s="109">
        <v>0</v>
      </c>
      <c r="I219" s="109">
        <f>SUM(AD226:AD227)/1000</f>
        <v>2</v>
      </c>
      <c r="J219" s="109">
        <f>SUM(AD222:AD223)/1000</f>
        <v>4</v>
      </c>
      <c r="K219" s="109">
        <f>SUM(AD220:AD221)/1000</f>
        <v>1</v>
      </c>
      <c r="L219" s="109">
        <f>SUM(AD224:AD225)/1000</f>
        <v>1</v>
      </c>
      <c r="M219" s="109">
        <f>E219-D219</f>
        <v>8</v>
      </c>
      <c r="N219" s="70">
        <f>IF(D219=0,0,M219/D219)</f>
        <v>0</v>
      </c>
      <c r="O219" s="116" t="s">
        <v>52</v>
      </c>
      <c r="P219" s="32"/>
      <c r="Q219" s="32"/>
      <c r="R219" s="32"/>
      <c r="S219" s="32"/>
      <c r="T219" s="33"/>
      <c r="U219" s="33"/>
      <c r="V219" s="33"/>
      <c r="W219" s="33"/>
      <c r="X219" s="33"/>
      <c r="Y219" s="178" t="s">
        <v>147</v>
      </c>
      <c r="Z219" s="99"/>
      <c r="AA219" s="99"/>
      <c r="AB219" s="99"/>
      <c r="AC219" s="118"/>
      <c r="AD219" s="118">
        <f>SUM(AD220:AD227)</f>
        <v>8000</v>
      </c>
      <c r="AE219" s="119" t="s">
        <v>25</v>
      </c>
      <c r="AF219" s="1"/>
    </row>
    <row r="220" spans="1:32" s="11" customFormat="1" ht="21" customHeight="1">
      <c r="A220" s="45"/>
      <c r="B220" s="46"/>
      <c r="C220" s="46"/>
      <c r="D220" s="160"/>
      <c r="E220" s="109"/>
      <c r="F220" s="109"/>
      <c r="G220" s="109"/>
      <c r="H220" s="109"/>
      <c r="I220" s="109"/>
      <c r="J220" s="109"/>
      <c r="K220" s="109"/>
      <c r="L220" s="109"/>
      <c r="M220" s="109"/>
      <c r="N220" s="70"/>
      <c r="O220" s="684" t="s">
        <v>742</v>
      </c>
      <c r="P220" s="684"/>
      <c r="Q220" s="684"/>
      <c r="R220" s="684"/>
      <c r="S220" s="684"/>
      <c r="T220" s="683"/>
      <c r="U220" s="683"/>
      <c r="V220" s="683"/>
      <c r="W220" s="683"/>
      <c r="X220" s="683"/>
      <c r="Y220" s="683"/>
      <c r="Z220" s="683"/>
      <c r="AA220" s="683"/>
      <c r="AB220" s="683"/>
      <c r="AC220" s="136"/>
      <c r="AD220" s="68">
        <v>1000</v>
      </c>
      <c r="AE220" s="137" t="s">
        <v>738</v>
      </c>
      <c r="AF220" s="2"/>
    </row>
    <row r="221" spans="1:32" s="11" customFormat="1" ht="21" customHeight="1">
      <c r="A221" s="45"/>
      <c r="B221" s="46"/>
      <c r="C221" s="46"/>
      <c r="D221" s="160"/>
      <c r="E221" s="109"/>
      <c r="F221" s="109"/>
      <c r="G221" s="109"/>
      <c r="H221" s="109"/>
      <c r="I221" s="109"/>
      <c r="J221" s="109"/>
      <c r="K221" s="109"/>
      <c r="L221" s="109"/>
      <c r="M221" s="109"/>
      <c r="N221" s="70"/>
      <c r="O221" s="684" t="s">
        <v>743</v>
      </c>
      <c r="P221" s="684"/>
      <c r="Q221" s="684"/>
      <c r="R221" s="684"/>
      <c r="S221" s="684"/>
      <c r="T221" s="683"/>
      <c r="U221" s="683"/>
      <c r="V221" s="683"/>
      <c r="W221" s="683"/>
      <c r="X221" s="683"/>
      <c r="Y221" s="683"/>
      <c r="Z221" s="683"/>
      <c r="AA221" s="683"/>
      <c r="AB221" s="683"/>
      <c r="AC221" s="136"/>
      <c r="AD221" s="68">
        <v>0</v>
      </c>
      <c r="AE221" s="137" t="s">
        <v>738</v>
      </c>
      <c r="AF221" s="2"/>
    </row>
    <row r="222" spans="1:32" s="11" customFormat="1" ht="21" customHeight="1">
      <c r="A222" s="45"/>
      <c r="B222" s="46"/>
      <c r="C222" s="46"/>
      <c r="D222" s="160"/>
      <c r="E222" s="109"/>
      <c r="F222" s="109"/>
      <c r="G222" s="109"/>
      <c r="H222" s="109"/>
      <c r="I222" s="109"/>
      <c r="J222" s="109"/>
      <c r="K222" s="109"/>
      <c r="L222" s="109"/>
      <c r="M222" s="109"/>
      <c r="N222" s="70"/>
      <c r="O222" s="684" t="s">
        <v>744</v>
      </c>
      <c r="P222" s="684"/>
      <c r="Q222" s="684"/>
      <c r="R222" s="684"/>
      <c r="S222" s="684"/>
      <c r="T222" s="683"/>
      <c r="U222" s="683"/>
      <c r="V222" s="683"/>
      <c r="W222" s="683"/>
      <c r="X222" s="683"/>
      <c r="Y222" s="683"/>
      <c r="Z222" s="683"/>
      <c r="AA222" s="683"/>
      <c r="AB222" s="683"/>
      <c r="AC222" s="136"/>
      <c r="AD222" s="68">
        <v>4000</v>
      </c>
      <c r="AE222" s="137" t="s">
        <v>738</v>
      </c>
      <c r="AF222" s="2"/>
    </row>
    <row r="223" spans="1:32" s="11" customFormat="1" ht="21" customHeight="1">
      <c r="A223" s="45"/>
      <c r="B223" s="46"/>
      <c r="C223" s="46"/>
      <c r="D223" s="160"/>
      <c r="E223" s="109"/>
      <c r="F223" s="109"/>
      <c r="G223" s="109"/>
      <c r="H223" s="109"/>
      <c r="I223" s="109"/>
      <c r="J223" s="109"/>
      <c r="K223" s="109"/>
      <c r="L223" s="109"/>
      <c r="M223" s="109"/>
      <c r="N223" s="70"/>
      <c r="O223" s="684" t="s">
        <v>745</v>
      </c>
      <c r="P223" s="684"/>
      <c r="Q223" s="684"/>
      <c r="R223" s="684"/>
      <c r="S223" s="684"/>
      <c r="T223" s="683"/>
      <c r="U223" s="683"/>
      <c r="V223" s="683"/>
      <c r="W223" s="683"/>
      <c r="X223" s="683"/>
      <c r="Y223" s="683"/>
      <c r="Z223" s="683"/>
      <c r="AA223" s="683"/>
      <c r="AB223" s="683"/>
      <c r="AC223" s="136"/>
      <c r="AD223" s="68">
        <v>0</v>
      </c>
      <c r="AE223" s="137" t="s">
        <v>738</v>
      </c>
      <c r="AF223" s="2"/>
    </row>
    <row r="224" spans="1:32" s="11" customFormat="1" ht="21" customHeight="1">
      <c r="A224" s="45"/>
      <c r="B224" s="46"/>
      <c r="C224" s="46"/>
      <c r="D224" s="160"/>
      <c r="E224" s="109"/>
      <c r="F224" s="109"/>
      <c r="G224" s="109"/>
      <c r="H224" s="109"/>
      <c r="I224" s="109"/>
      <c r="J224" s="109"/>
      <c r="K224" s="109"/>
      <c r="L224" s="109"/>
      <c r="M224" s="109"/>
      <c r="N224" s="70"/>
      <c r="O224" s="684" t="s">
        <v>746</v>
      </c>
      <c r="P224" s="684"/>
      <c r="Q224" s="684"/>
      <c r="R224" s="684"/>
      <c r="S224" s="684"/>
      <c r="T224" s="683"/>
      <c r="U224" s="683"/>
      <c r="V224" s="683"/>
      <c r="W224" s="683"/>
      <c r="X224" s="683"/>
      <c r="Y224" s="683"/>
      <c r="Z224" s="683"/>
      <c r="AA224" s="683"/>
      <c r="AB224" s="683"/>
      <c r="AC224" s="136"/>
      <c r="AD224" s="68">
        <v>1000</v>
      </c>
      <c r="AE224" s="137" t="s">
        <v>738</v>
      </c>
      <c r="AF224" s="2"/>
    </row>
    <row r="225" spans="1:32" s="11" customFormat="1" ht="21" customHeight="1">
      <c r="A225" s="45"/>
      <c r="B225" s="46"/>
      <c r="C225" s="46"/>
      <c r="D225" s="160"/>
      <c r="E225" s="109"/>
      <c r="F225" s="109"/>
      <c r="G225" s="109"/>
      <c r="H225" s="109"/>
      <c r="I225" s="109"/>
      <c r="J225" s="109"/>
      <c r="K225" s="109"/>
      <c r="L225" s="109"/>
      <c r="M225" s="109"/>
      <c r="N225" s="70"/>
      <c r="O225" s="684" t="s">
        <v>747</v>
      </c>
      <c r="P225" s="684"/>
      <c r="Q225" s="684"/>
      <c r="R225" s="684"/>
      <c r="S225" s="684"/>
      <c r="T225" s="683"/>
      <c r="U225" s="683"/>
      <c r="V225" s="683"/>
      <c r="W225" s="683"/>
      <c r="X225" s="683"/>
      <c r="Y225" s="683"/>
      <c r="Z225" s="683"/>
      <c r="AA225" s="683"/>
      <c r="AB225" s="683"/>
      <c r="AC225" s="136"/>
      <c r="AD225" s="68">
        <v>0</v>
      </c>
      <c r="AE225" s="137" t="s">
        <v>738</v>
      </c>
      <c r="AF225" s="2"/>
    </row>
    <row r="226" spans="1:32" s="11" customFormat="1" ht="21" customHeight="1">
      <c r="A226" s="45"/>
      <c r="B226" s="46"/>
      <c r="C226" s="46"/>
      <c r="D226" s="160"/>
      <c r="E226" s="109"/>
      <c r="F226" s="109"/>
      <c r="G226" s="109"/>
      <c r="H226" s="109"/>
      <c r="I226" s="109"/>
      <c r="J226" s="109"/>
      <c r="K226" s="109"/>
      <c r="L226" s="109"/>
      <c r="M226" s="109"/>
      <c r="N226" s="70"/>
      <c r="O226" s="684" t="s">
        <v>748</v>
      </c>
      <c r="P226" s="684"/>
      <c r="Q226" s="684"/>
      <c r="R226" s="684"/>
      <c r="S226" s="684"/>
      <c r="T226" s="683"/>
      <c r="U226" s="683"/>
      <c r="V226" s="683"/>
      <c r="W226" s="683"/>
      <c r="X226" s="683"/>
      <c r="Y226" s="683"/>
      <c r="Z226" s="683"/>
      <c r="AA226" s="683"/>
      <c r="AB226" s="683"/>
      <c r="AC226" s="136"/>
      <c r="AD226" s="68">
        <v>2000</v>
      </c>
      <c r="AE226" s="137" t="s">
        <v>738</v>
      </c>
      <c r="AF226" s="2"/>
    </row>
    <row r="227" spans="1:32" s="11" customFormat="1" ht="21" customHeight="1">
      <c r="A227" s="45"/>
      <c r="B227" s="46"/>
      <c r="C227" s="46"/>
      <c r="D227" s="160"/>
      <c r="E227" s="109"/>
      <c r="F227" s="109"/>
      <c r="G227" s="109"/>
      <c r="H227" s="109"/>
      <c r="I227" s="109"/>
      <c r="J227" s="109"/>
      <c r="K227" s="109"/>
      <c r="L227" s="109"/>
      <c r="M227" s="109"/>
      <c r="N227" s="70"/>
      <c r="O227" s="684" t="s">
        <v>749</v>
      </c>
      <c r="P227" s="684"/>
      <c r="Q227" s="684"/>
      <c r="R227" s="684"/>
      <c r="S227" s="684"/>
      <c r="T227" s="683"/>
      <c r="U227" s="683"/>
      <c r="V227" s="683"/>
      <c r="W227" s="683"/>
      <c r="X227" s="683"/>
      <c r="Y227" s="683"/>
      <c r="Z227" s="683"/>
      <c r="AA227" s="683"/>
      <c r="AB227" s="683"/>
      <c r="AC227" s="136"/>
      <c r="AD227" s="68">
        <v>0</v>
      </c>
      <c r="AE227" s="137" t="s">
        <v>738</v>
      </c>
      <c r="AF227" s="2"/>
    </row>
    <row r="228" spans="1:32" s="1" customFormat="1" ht="21" customHeight="1" thickBot="1">
      <c r="A228" s="138"/>
      <c r="B228" s="102"/>
      <c r="C228" s="102"/>
      <c r="D228" s="165"/>
      <c r="E228" s="139"/>
      <c r="F228" s="139"/>
      <c r="G228" s="139"/>
      <c r="H228" s="139"/>
      <c r="I228" s="139"/>
      <c r="J228" s="139"/>
      <c r="K228" s="139"/>
      <c r="L228" s="139"/>
      <c r="M228" s="139"/>
      <c r="N228" s="140"/>
      <c r="O228" s="576"/>
      <c r="P228" s="576"/>
      <c r="Q228" s="576"/>
      <c r="R228" s="576"/>
      <c r="S228" s="577"/>
      <c r="T228" s="577"/>
      <c r="U228" s="577"/>
      <c r="V228" s="577"/>
      <c r="W228" s="577"/>
      <c r="X228" s="577"/>
      <c r="Y228" s="577"/>
      <c r="Z228" s="577"/>
      <c r="AA228" s="577"/>
      <c r="AB228" s="577"/>
      <c r="AC228" s="577"/>
      <c r="AD228" s="577"/>
      <c r="AE228" s="578"/>
    </row>
    <row r="230" spans="1:32" ht="21" customHeight="1">
      <c r="E230" s="389"/>
      <c r="F230" s="389"/>
    </row>
    <row r="231" spans="1:32" ht="21" customHeight="1">
      <c r="E231" s="389"/>
      <c r="F231" s="389"/>
    </row>
    <row r="232" spans="1:32" ht="21" customHeight="1">
      <c r="F232" s="389"/>
    </row>
    <row r="233" spans="1:32" ht="21" customHeight="1">
      <c r="E233" s="389"/>
      <c r="F233" s="389"/>
    </row>
    <row r="234" spans="1:32" ht="21" customHeight="1">
      <c r="E234" s="389"/>
      <c r="F234" s="389"/>
    </row>
    <row r="235" spans="1:32" ht="21" customHeight="1">
      <c r="E235" s="389"/>
      <c r="F235" s="389"/>
    </row>
  </sheetData>
  <mergeCells count="15">
    <mergeCell ref="O2:AE3"/>
    <mergeCell ref="A1:D1"/>
    <mergeCell ref="V111:W111"/>
    <mergeCell ref="V72:W72"/>
    <mergeCell ref="B5:C5"/>
    <mergeCell ref="A4:C4"/>
    <mergeCell ref="M2:N2"/>
    <mergeCell ref="A2:C2"/>
    <mergeCell ref="D2:D3"/>
    <mergeCell ref="E2:L2"/>
    <mergeCell ref="B218:C218"/>
    <mergeCell ref="B215:C215"/>
    <mergeCell ref="B205:C205"/>
    <mergeCell ref="B130:C130"/>
    <mergeCell ref="B116:C116"/>
  </mergeCells>
  <phoneticPr fontId="9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바르나바의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workbookViewId="0">
      <selection activeCell="F4" sqref="F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74" t="s">
        <v>648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</row>
    <row r="2" spans="1:14" ht="34.5" customHeight="1">
      <c r="A2" s="775" t="s">
        <v>649</v>
      </c>
      <c r="B2" s="776"/>
      <c r="C2" s="777"/>
      <c r="D2" s="778" t="s">
        <v>650</v>
      </c>
      <c r="E2" s="777"/>
      <c r="F2" s="779" t="s">
        <v>651</v>
      </c>
      <c r="G2" s="781" t="s">
        <v>652</v>
      </c>
      <c r="H2" s="782"/>
      <c r="I2" s="782"/>
      <c r="J2" s="782"/>
      <c r="K2" s="785" t="s">
        <v>653</v>
      </c>
      <c r="L2" s="297"/>
      <c r="M2" s="297"/>
      <c r="N2" s="297"/>
    </row>
    <row r="3" spans="1:14" ht="35.25" customHeight="1" thickBot="1">
      <c r="A3" s="304" t="s">
        <v>654</v>
      </c>
      <c r="B3" s="305" t="s">
        <v>655</v>
      </c>
      <c r="C3" s="324" t="s">
        <v>656</v>
      </c>
      <c r="D3" s="452" t="s">
        <v>657</v>
      </c>
      <c r="E3" s="452" t="s">
        <v>658</v>
      </c>
      <c r="F3" s="780"/>
      <c r="G3" s="783"/>
      <c r="H3" s="784"/>
      <c r="I3" s="784"/>
      <c r="J3" s="784"/>
      <c r="K3" s="786"/>
      <c r="L3" s="297"/>
      <c r="M3" s="297"/>
      <c r="N3" s="297"/>
    </row>
    <row r="4" spans="1:14" ht="36.75" customHeight="1" thickBot="1">
      <c r="A4" s="771" t="s">
        <v>659</v>
      </c>
      <c r="B4" s="772"/>
      <c r="C4" s="773"/>
      <c r="D4" s="335">
        <f>SUM(D5:D24)</f>
        <v>65524000</v>
      </c>
      <c r="E4" s="336">
        <f>SUM(E5:E24)</f>
        <v>67361000</v>
      </c>
      <c r="F4" s="331">
        <f t="shared" ref="F4:F24" si="0">E4-D4</f>
        <v>1837000</v>
      </c>
      <c r="G4" s="692"/>
      <c r="H4" s="692"/>
      <c r="I4" s="692"/>
      <c r="J4" s="692"/>
      <c r="K4" s="349"/>
      <c r="L4" s="297"/>
      <c r="M4" s="297"/>
      <c r="N4" s="297"/>
    </row>
    <row r="5" spans="1:14" ht="46.5" customHeight="1" thickBot="1">
      <c r="A5" s="312" t="s">
        <v>660</v>
      </c>
      <c r="B5" s="313" t="s">
        <v>660</v>
      </c>
      <c r="C5" s="325" t="s">
        <v>660</v>
      </c>
      <c r="D5" s="337">
        <v>7200000</v>
      </c>
      <c r="E5" s="338">
        <v>7200000</v>
      </c>
      <c r="F5" s="317">
        <f t="shared" si="0"/>
        <v>0</v>
      </c>
      <c r="G5" s="314">
        <v>250000</v>
      </c>
      <c r="H5" s="315">
        <v>25</v>
      </c>
      <c r="I5" s="316">
        <v>12</v>
      </c>
      <c r="J5" s="348">
        <f>G5*H5*I5</f>
        <v>75000000</v>
      </c>
      <c r="K5" s="350"/>
    </row>
    <row r="6" spans="1:14" ht="27">
      <c r="A6" s="320" t="s">
        <v>661</v>
      </c>
      <c r="B6" s="357" t="s">
        <v>662</v>
      </c>
      <c r="C6" s="326" t="s">
        <v>663</v>
      </c>
      <c r="D6" s="339">
        <v>0</v>
      </c>
      <c r="E6" s="340">
        <v>0</v>
      </c>
      <c r="F6" s="460">
        <f t="shared" si="0"/>
        <v>0</v>
      </c>
      <c r="G6" s="321"/>
      <c r="H6" s="321"/>
      <c r="I6" s="321"/>
      <c r="J6" s="321"/>
      <c r="K6" s="351" t="s">
        <v>664</v>
      </c>
    </row>
    <row r="7" spans="1:14" ht="24.75" customHeight="1">
      <c r="A7" s="453"/>
      <c r="B7" s="454"/>
      <c r="C7" s="455" t="s">
        <v>665</v>
      </c>
      <c r="D7" s="346">
        <v>0</v>
      </c>
      <c r="E7" s="347">
        <v>0</v>
      </c>
      <c r="F7" s="334">
        <f t="shared" si="0"/>
        <v>0</v>
      </c>
      <c r="G7" s="306"/>
      <c r="H7" s="306"/>
      <c r="I7" s="306"/>
      <c r="J7" s="306"/>
      <c r="K7" s="590" t="s">
        <v>664</v>
      </c>
    </row>
    <row r="8" spans="1:14" ht="27">
      <c r="A8" s="307"/>
      <c r="B8" s="301" t="s">
        <v>666</v>
      </c>
      <c r="C8" s="327" t="s">
        <v>665</v>
      </c>
      <c r="D8" s="341">
        <v>51420000</v>
      </c>
      <c r="E8" s="342">
        <v>51420000</v>
      </c>
      <c r="F8" s="298">
        <f t="shared" si="0"/>
        <v>0</v>
      </c>
      <c r="G8" s="306"/>
      <c r="H8" s="306"/>
      <c r="I8" s="306"/>
      <c r="J8" s="306"/>
      <c r="K8" s="352" t="s">
        <v>667</v>
      </c>
    </row>
    <row r="9" spans="1:14" ht="33" customHeight="1">
      <c r="A9" s="307"/>
      <c r="B9" s="454"/>
      <c r="C9" s="328" t="s">
        <v>668</v>
      </c>
      <c r="D9" s="346">
        <v>0</v>
      </c>
      <c r="E9" s="347">
        <v>0</v>
      </c>
      <c r="F9" s="334">
        <f t="shared" si="0"/>
        <v>0</v>
      </c>
      <c r="G9" s="306"/>
      <c r="H9" s="306"/>
      <c r="I9" s="306"/>
      <c r="J9" s="306"/>
      <c r="K9" s="590" t="s">
        <v>664</v>
      </c>
    </row>
    <row r="10" spans="1:14" ht="40.5">
      <c r="A10" s="307"/>
      <c r="B10" s="302"/>
      <c r="C10" s="328" t="s">
        <v>669</v>
      </c>
      <c r="D10" s="341">
        <v>1200000</v>
      </c>
      <c r="E10" s="342">
        <v>1200000</v>
      </c>
      <c r="F10" s="298">
        <f t="shared" si="0"/>
        <v>0</v>
      </c>
      <c r="G10" s="306"/>
      <c r="H10" s="306"/>
      <c r="I10" s="306"/>
      <c r="J10" s="306"/>
      <c r="K10" s="352" t="s">
        <v>664</v>
      </c>
    </row>
    <row r="11" spans="1:14" ht="36" customHeight="1">
      <c r="A11" s="307"/>
      <c r="B11" s="303"/>
      <c r="C11" s="328" t="s">
        <v>670</v>
      </c>
      <c r="D11" s="341">
        <v>0</v>
      </c>
      <c r="E11" s="342">
        <v>0</v>
      </c>
      <c r="F11" s="298">
        <f t="shared" si="0"/>
        <v>0</v>
      </c>
      <c r="G11" s="306"/>
      <c r="H11" s="306"/>
      <c r="I11" s="306"/>
      <c r="J11" s="306"/>
      <c r="K11" s="352" t="s">
        <v>664</v>
      </c>
    </row>
    <row r="12" spans="1:14" ht="36" customHeight="1">
      <c r="A12" s="307"/>
      <c r="B12" s="308" t="s">
        <v>671</v>
      </c>
      <c r="C12" s="328" t="s">
        <v>672</v>
      </c>
      <c r="D12" s="341">
        <v>0</v>
      </c>
      <c r="E12" s="342">
        <v>0</v>
      </c>
      <c r="F12" s="298">
        <f t="shared" si="0"/>
        <v>0</v>
      </c>
      <c r="G12" s="306"/>
      <c r="H12" s="306"/>
      <c r="I12" s="306"/>
      <c r="J12" s="306"/>
      <c r="K12" s="456" t="s">
        <v>664</v>
      </c>
    </row>
    <row r="13" spans="1:14" ht="36" customHeight="1">
      <c r="A13" s="307"/>
      <c r="B13" s="306"/>
      <c r="C13" s="328" t="s">
        <v>670</v>
      </c>
      <c r="D13" s="341">
        <v>0</v>
      </c>
      <c r="E13" s="342">
        <v>0</v>
      </c>
      <c r="F13" s="298">
        <f t="shared" si="0"/>
        <v>0</v>
      </c>
      <c r="G13" s="306"/>
      <c r="H13" s="306"/>
      <c r="I13" s="306"/>
      <c r="J13" s="306"/>
      <c r="K13" s="352" t="s">
        <v>664</v>
      </c>
    </row>
    <row r="14" spans="1:14" ht="34.5" customHeight="1">
      <c r="A14" s="307"/>
      <c r="B14" s="463" t="s">
        <v>673</v>
      </c>
      <c r="C14" s="328" t="s">
        <v>674</v>
      </c>
      <c r="D14" s="341">
        <v>0</v>
      </c>
      <c r="E14" s="342">
        <v>240000</v>
      </c>
      <c r="F14" s="298">
        <f t="shared" si="0"/>
        <v>240000</v>
      </c>
      <c r="G14" s="306"/>
      <c r="H14" s="306"/>
      <c r="I14" s="306"/>
      <c r="J14" s="306"/>
      <c r="K14" s="456" t="s">
        <v>675</v>
      </c>
    </row>
    <row r="15" spans="1:14" ht="33" customHeight="1" thickBot="1">
      <c r="A15" s="309"/>
      <c r="B15" s="311"/>
      <c r="C15" s="328"/>
      <c r="D15" s="343">
        <v>0</v>
      </c>
      <c r="E15" s="344">
        <v>0</v>
      </c>
      <c r="F15" s="333">
        <f t="shared" si="0"/>
        <v>0</v>
      </c>
      <c r="G15" s="311"/>
      <c r="H15" s="311"/>
      <c r="I15" s="311"/>
      <c r="J15" s="311"/>
      <c r="K15" s="352" t="s">
        <v>664</v>
      </c>
    </row>
    <row r="16" spans="1:14" ht="36" customHeight="1">
      <c r="A16" s="375" t="s">
        <v>676</v>
      </c>
      <c r="B16" s="376" t="s">
        <v>676</v>
      </c>
      <c r="C16" s="371" t="s">
        <v>677</v>
      </c>
      <c r="D16" s="339">
        <v>0</v>
      </c>
      <c r="E16" s="372">
        <v>1600000</v>
      </c>
      <c r="F16" s="332">
        <f t="shared" si="0"/>
        <v>1600000</v>
      </c>
      <c r="G16" s="373"/>
      <c r="H16" s="373"/>
      <c r="I16" s="373"/>
      <c r="J16" s="373"/>
      <c r="K16" s="351" t="s">
        <v>728</v>
      </c>
    </row>
    <row r="17" spans="1:11" ht="35.25" customHeight="1" thickBot="1">
      <c r="A17" s="309"/>
      <c r="B17" s="457"/>
      <c r="C17" s="329" t="s">
        <v>678</v>
      </c>
      <c r="D17" s="343">
        <v>300000</v>
      </c>
      <c r="E17" s="458">
        <v>300000</v>
      </c>
      <c r="F17" s="333">
        <f t="shared" si="0"/>
        <v>0</v>
      </c>
      <c r="G17" s="459"/>
      <c r="H17" s="459"/>
      <c r="I17" s="459"/>
      <c r="J17" s="459"/>
      <c r="K17" s="591" t="s">
        <v>729</v>
      </c>
    </row>
    <row r="18" spans="1:11" ht="51" customHeight="1" thickBot="1">
      <c r="A18" s="322" t="s">
        <v>679</v>
      </c>
      <c r="B18" s="313" t="s">
        <v>680</v>
      </c>
      <c r="C18" s="325" t="s">
        <v>681</v>
      </c>
      <c r="D18" s="337">
        <v>0</v>
      </c>
      <c r="E18" s="345">
        <v>0</v>
      </c>
      <c r="F18" s="317">
        <f t="shared" si="0"/>
        <v>0</v>
      </c>
      <c r="G18" s="323"/>
      <c r="H18" s="323"/>
      <c r="I18" s="323"/>
      <c r="J18" s="323"/>
      <c r="K18" s="350" t="s">
        <v>664</v>
      </c>
    </row>
    <row r="19" spans="1:11" ht="40.5" customHeight="1">
      <c r="A19" s="318" t="s">
        <v>682</v>
      </c>
      <c r="B19" s="319" t="s">
        <v>683</v>
      </c>
      <c r="C19" s="330" t="s">
        <v>684</v>
      </c>
      <c r="D19" s="346">
        <v>3934000</v>
      </c>
      <c r="E19" s="347">
        <v>3935000</v>
      </c>
      <c r="F19" s="334">
        <f t="shared" si="0"/>
        <v>1000</v>
      </c>
      <c r="G19" s="306"/>
      <c r="H19" s="306"/>
      <c r="I19" s="306"/>
      <c r="J19" s="306"/>
      <c r="K19" s="355" t="s">
        <v>751</v>
      </c>
    </row>
    <row r="20" spans="1:11" ht="40.5" customHeight="1">
      <c r="A20" s="307"/>
      <c r="B20" s="299"/>
      <c r="C20" s="328" t="s">
        <v>685</v>
      </c>
      <c r="D20" s="341">
        <v>0</v>
      </c>
      <c r="E20" s="342">
        <v>0</v>
      </c>
      <c r="F20" s="298">
        <f t="shared" si="0"/>
        <v>0</v>
      </c>
      <c r="G20" s="306"/>
      <c r="H20" s="306"/>
      <c r="I20" s="306"/>
      <c r="J20" s="306"/>
      <c r="K20" s="353" t="s">
        <v>664</v>
      </c>
    </row>
    <row r="21" spans="1:11" ht="40.5" customHeight="1">
      <c r="A21" s="307"/>
      <c r="B21" s="299"/>
      <c r="C21" s="328" t="s">
        <v>686</v>
      </c>
      <c r="D21" s="341">
        <v>484000</v>
      </c>
      <c r="E21" s="342">
        <v>485000</v>
      </c>
      <c r="F21" s="298">
        <f t="shared" si="0"/>
        <v>1000</v>
      </c>
      <c r="G21" s="306"/>
      <c r="H21" s="306"/>
      <c r="I21" s="306"/>
      <c r="J21" s="306"/>
      <c r="K21" s="353" t="s">
        <v>751</v>
      </c>
    </row>
    <row r="22" spans="1:11" ht="40.5" customHeight="1">
      <c r="A22" s="307"/>
      <c r="B22" s="300"/>
      <c r="C22" s="328" t="s">
        <v>687</v>
      </c>
      <c r="D22" s="341">
        <v>0</v>
      </c>
      <c r="E22" s="342">
        <v>0</v>
      </c>
      <c r="F22" s="298">
        <f t="shared" si="0"/>
        <v>0</v>
      </c>
      <c r="G22" s="306"/>
      <c r="H22" s="306"/>
      <c r="I22" s="306"/>
      <c r="J22" s="306"/>
      <c r="K22" s="353" t="s">
        <v>664</v>
      </c>
    </row>
    <row r="23" spans="1:11" ht="44.25" customHeight="1" thickBot="1">
      <c r="A23" s="309"/>
      <c r="B23" s="310" t="s">
        <v>688</v>
      </c>
      <c r="C23" s="329" t="s">
        <v>689</v>
      </c>
      <c r="D23" s="343">
        <v>968000</v>
      </c>
      <c r="E23" s="344">
        <v>968000</v>
      </c>
      <c r="F23" s="333">
        <f t="shared" si="0"/>
        <v>0</v>
      </c>
      <c r="G23" s="311"/>
      <c r="H23" s="311"/>
      <c r="I23" s="311"/>
      <c r="J23" s="311"/>
      <c r="K23" s="354" t="s">
        <v>729</v>
      </c>
    </row>
    <row r="24" spans="1:11" ht="53.25" customHeight="1" thickBot="1">
      <c r="A24" s="312" t="s">
        <v>690</v>
      </c>
      <c r="B24" s="313" t="s">
        <v>690</v>
      </c>
      <c r="C24" s="325" t="s">
        <v>690</v>
      </c>
      <c r="D24" s="337">
        <v>18000</v>
      </c>
      <c r="E24" s="338">
        <v>13000</v>
      </c>
      <c r="F24" s="317">
        <f t="shared" si="0"/>
        <v>-5000</v>
      </c>
      <c r="G24" s="314">
        <v>250000</v>
      </c>
      <c r="H24" s="315">
        <v>25</v>
      </c>
      <c r="I24" s="316">
        <v>12</v>
      </c>
      <c r="J24" s="348">
        <f>G24*H24*I24</f>
        <v>75000000</v>
      </c>
      <c r="K24" s="350" t="s">
        <v>752</v>
      </c>
    </row>
    <row r="25" spans="1:11" ht="46.5" customHeight="1">
      <c r="D25" s="296"/>
      <c r="E25" s="296"/>
    </row>
    <row r="26" spans="1:11" ht="46.5" customHeight="1"/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바르나바의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workbookViewId="0">
      <selection activeCell="D29" sqref="D29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74" t="s">
        <v>691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</row>
    <row r="2" spans="1:14" ht="46.5" customHeight="1">
      <c r="A2" s="775" t="s">
        <v>649</v>
      </c>
      <c r="B2" s="776"/>
      <c r="C2" s="777"/>
      <c r="D2" s="778" t="s">
        <v>692</v>
      </c>
      <c r="E2" s="777"/>
      <c r="F2" s="779" t="s">
        <v>651</v>
      </c>
      <c r="G2" s="781" t="s">
        <v>652</v>
      </c>
      <c r="H2" s="782"/>
      <c r="I2" s="782"/>
      <c r="J2" s="782"/>
      <c r="K2" s="785" t="s">
        <v>653</v>
      </c>
      <c r="L2" s="297"/>
      <c r="M2" s="297"/>
      <c r="N2" s="297"/>
    </row>
    <row r="3" spans="1:14" ht="46.5" customHeight="1" thickBot="1">
      <c r="A3" s="304" t="s">
        <v>654</v>
      </c>
      <c r="B3" s="305" t="s">
        <v>655</v>
      </c>
      <c r="C3" s="324" t="s">
        <v>656</v>
      </c>
      <c r="D3" s="452" t="s">
        <v>657</v>
      </c>
      <c r="E3" s="452" t="s">
        <v>658</v>
      </c>
      <c r="F3" s="780"/>
      <c r="G3" s="783"/>
      <c r="H3" s="784"/>
      <c r="I3" s="784"/>
      <c r="J3" s="784"/>
      <c r="K3" s="786"/>
      <c r="L3" s="297"/>
      <c r="M3" s="297"/>
      <c r="N3" s="297"/>
    </row>
    <row r="4" spans="1:14" ht="46.5" customHeight="1" thickBot="1">
      <c r="A4" s="771" t="s">
        <v>659</v>
      </c>
      <c r="B4" s="772"/>
      <c r="C4" s="773"/>
      <c r="D4" s="336">
        <f>SUM(D5:D30)</f>
        <v>65524000</v>
      </c>
      <c r="E4" s="336">
        <f>SUM(E5:E30)</f>
        <v>67361000</v>
      </c>
      <c r="F4" s="331">
        <f t="shared" ref="F4:F30" si="0">E4-D4</f>
        <v>1837000</v>
      </c>
      <c r="G4" s="692"/>
      <c r="H4" s="692"/>
      <c r="I4" s="692"/>
      <c r="J4" s="692"/>
      <c r="K4" s="349"/>
      <c r="L4" s="297"/>
      <c r="M4" s="297"/>
      <c r="N4" s="297"/>
    </row>
    <row r="5" spans="1:14" ht="50.1" customHeight="1">
      <c r="A5" s="356" t="s">
        <v>693</v>
      </c>
      <c r="B5" s="357" t="s">
        <v>694</v>
      </c>
      <c r="C5" s="326" t="s">
        <v>695</v>
      </c>
      <c r="D5" s="339">
        <v>24504000</v>
      </c>
      <c r="E5" s="340">
        <v>24504000</v>
      </c>
      <c r="F5" s="332">
        <f t="shared" si="0"/>
        <v>0</v>
      </c>
      <c r="G5" s="321"/>
      <c r="H5" s="321"/>
      <c r="I5" s="321"/>
      <c r="J5" s="321"/>
      <c r="K5" s="351" t="s">
        <v>729</v>
      </c>
    </row>
    <row r="6" spans="1:14" ht="34.5" customHeight="1">
      <c r="A6" s="461"/>
      <c r="B6" s="319"/>
      <c r="C6" s="455" t="s">
        <v>696</v>
      </c>
      <c r="D6" s="346">
        <v>0</v>
      </c>
      <c r="E6" s="347">
        <v>240000</v>
      </c>
      <c r="F6" s="298">
        <f t="shared" si="0"/>
        <v>240000</v>
      </c>
      <c r="G6" s="306"/>
      <c r="H6" s="306"/>
      <c r="I6" s="306"/>
      <c r="J6" s="306"/>
      <c r="K6" s="352" t="s">
        <v>697</v>
      </c>
    </row>
    <row r="7" spans="1:14" ht="50.1" customHeight="1">
      <c r="A7" s="307"/>
      <c r="B7" s="319"/>
      <c r="C7" s="327" t="s">
        <v>698</v>
      </c>
      <c r="D7" s="341">
        <v>8009000</v>
      </c>
      <c r="E7" s="342">
        <v>8009000</v>
      </c>
      <c r="F7" s="298">
        <f t="shared" si="0"/>
        <v>0</v>
      </c>
      <c r="G7" s="306"/>
      <c r="H7" s="306"/>
      <c r="I7" s="306"/>
      <c r="J7" s="306"/>
      <c r="K7" s="352" t="s">
        <v>664</v>
      </c>
    </row>
    <row r="8" spans="1:14" ht="50.1" customHeight="1">
      <c r="A8" s="307"/>
      <c r="B8" s="299"/>
      <c r="C8" s="328" t="s">
        <v>699</v>
      </c>
      <c r="D8" s="341">
        <v>2709000</v>
      </c>
      <c r="E8" s="342">
        <v>2709000</v>
      </c>
      <c r="F8" s="298">
        <f t="shared" si="0"/>
        <v>0</v>
      </c>
      <c r="G8" s="306"/>
      <c r="H8" s="306"/>
      <c r="I8" s="306"/>
      <c r="J8" s="306"/>
      <c r="K8" s="352" t="s">
        <v>664</v>
      </c>
    </row>
    <row r="9" spans="1:14" ht="50.1" customHeight="1">
      <c r="A9" s="307"/>
      <c r="B9" s="299"/>
      <c r="C9" s="328" t="s">
        <v>700</v>
      </c>
      <c r="D9" s="341">
        <v>3062000</v>
      </c>
      <c r="E9" s="342">
        <v>3062000</v>
      </c>
      <c r="F9" s="298">
        <f t="shared" si="0"/>
        <v>0</v>
      </c>
      <c r="G9" s="306"/>
      <c r="H9" s="306"/>
      <c r="I9" s="306"/>
      <c r="J9" s="306"/>
      <c r="K9" s="352" t="s">
        <v>664</v>
      </c>
    </row>
    <row r="10" spans="1:14" ht="49.5" customHeight="1">
      <c r="A10" s="307"/>
      <c r="B10" s="308"/>
      <c r="C10" s="328" t="s">
        <v>701</v>
      </c>
      <c r="D10" s="341">
        <v>0</v>
      </c>
      <c r="E10" s="342">
        <v>40000</v>
      </c>
      <c r="F10" s="298">
        <f t="shared" si="0"/>
        <v>40000</v>
      </c>
      <c r="G10" s="306"/>
      <c r="H10" s="306"/>
      <c r="I10" s="306"/>
      <c r="J10" s="306"/>
      <c r="K10" s="352" t="s">
        <v>753</v>
      </c>
    </row>
    <row r="11" spans="1:14" ht="38.25" customHeight="1">
      <c r="A11" s="307"/>
      <c r="B11" s="463" t="s">
        <v>702</v>
      </c>
      <c r="C11" s="328" t="s">
        <v>703</v>
      </c>
      <c r="D11" s="341">
        <v>50000</v>
      </c>
      <c r="E11" s="342">
        <v>30000</v>
      </c>
      <c r="F11" s="298">
        <f t="shared" si="0"/>
        <v>-20000</v>
      </c>
      <c r="G11" s="306"/>
      <c r="H11" s="306"/>
      <c r="I11" s="306"/>
      <c r="J11" s="306"/>
      <c r="K11" s="352" t="s">
        <v>754</v>
      </c>
    </row>
    <row r="12" spans="1:14" ht="38.25" customHeight="1">
      <c r="A12" s="307"/>
      <c r="B12" s="319"/>
      <c r="C12" s="358" t="s">
        <v>704</v>
      </c>
      <c r="D12" s="341">
        <v>0</v>
      </c>
      <c r="E12" s="342">
        <v>0</v>
      </c>
      <c r="F12" s="298">
        <f t="shared" si="0"/>
        <v>0</v>
      </c>
      <c r="G12" s="306"/>
      <c r="H12" s="306"/>
      <c r="I12" s="306"/>
      <c r="J12" s="306"/>
      <c r="K12" s="352" t="s">
        <v>664</v>
      </c>
    </row>
    <row r="13" spans="1:14" ht="34.5" customHeight="1">
      <c r="A13" s="307"/>
      <c r="B13" s="462"/>
      <c r="C13" s="358" t="s">
        <v>705</v>
      </c>
      <c r="D13" s="359">
        <v>50000</v>
      </c>
      <c r="E13" s="360">
        <v>30000</v>
      </c>
      <c r="F13" s="361">
        <f t="shared" si="0"/>
        <v>-20000</v>
      </c>
      <c r="G13" s="306"/>
      <c r="H13" s="306"/>
      <c r="I13" s="306"/>
      <c r="J13" s="306"/>
      <c r="K13" s="352" t="s">
        <v>754</v>
      </c>
    </row>
    <row r="14" spans="1:14" ht="38.25" customHeight="1">
      <c r="A14" s="307"/>
      <c r="B14" s="463" t="s">
        <v>665</v>
      </c>
      <c r="C14" s="358" t="s">
        <v>706</v>
      </c>
      <c r="D14" s="359">
        <v>90000</v>
      </c>
      <c r="E14" s="360">
        <v>90000</v>
      </c>
      <c r="F14" s="361">
        <f t="shared" si="0"/>
        <v>0</v>
      </c>
      <c r="G14" s="306"/>
      <c r="H14" s="306"/>
      <c r="I14" s="306"/>
      <c r="J14" s="306"/>
      <c r="K14" s="362" t="s">
        <v>664</v>
      </c>
    </row>
    <row r="15" spans="1:14" ht="36" customHeight="1">
      <c r="A15" s="307"/>
      <c r="B15" s="308"/>
      <c r="C15" s="358" t="s">
        <v>707</v>
      </c>
      <c r="D15" s="359">
        <v>2489000</v>
      </c>
      <c r="E15" s="360">
        <v>2789000</v>
      </c>
      <c r="F15" s="361">
        <f t="shared" si="0"/>
        <v>300000</v>
      </c>
      <c r="G15" s="306"/>
      <c r="H15" s="306"/>
      <c r="I15" s="306"/>
      <c r="J15" s="306"/>
      <c r="K15" s="362" t="s">
        <v>708</v>
      </c>
    </row>
    <row r="16" spans="1:14" ht="37.5" customHeight="1">
      <c r="A16" s="307"/>
      <c r="B16" s="308"/>
      <c r="C16" s="358" t="s">
        <v>709</v>
      </c>
      <c r="D16" s="359">
        <v>3552000</v>
      </c>
      <c r="E16" s="360">
        <v>3852000</v>
      </c>
      <c r="F16" s="361">
        <f t="shared" si="0"/>
        <v>300000</v>
      </c>
      <c r="G16" s="306"/>
      <c r="H16" s="306"/>
      <c r="I16" s="306"/>
      <c r="J16" s="306"/>
      <c r="K16" s="362" t="s">
        <v>708</v>
      </c>
    </row>
    <row r="17" spans="1:11" ht="36.75" customHeight="1">
      <c r="A17" s="307"/>
      <c r="B17" s="308"/>
      <c r="C17" s="358" t="s">
        <v>710</v>
      </c>
      <c r="D17" s="359">
        <v>610000</v>
      </c>
      <c r="E17" s="360">
        <v>610000</v>
      </c>
      <c r="F17" s="361">
        <f t="shared" si="0"/>
        <v>0</v>
      </c>
      <c r="G17" s="306"/>
      <c r="H17" s="306"/>
      <c r="I17" s="306"/>
      <c r="J17" s="306"/>
      <c r="K17" s="362" t="s">
        <v>729</v>
      </c>
    </row>
    <row r="18" spans="1:11" ht="36.75" customHeight="1">
      <c r="A18" s="307"/>
      <c r="B18" s="308"/>
      <c r="C18" s="358" t="s">
        <v>711</v>
      </c>
      <c r="D18" s="359">
        <v>400000</v>
      </c>
      <c r="E18" s="360">
        <v>400000</v>
      </c>
      <c r="F18" s="361">
        <f t="shared" si="0"/>
        <v>0</v>
      </c>
      <c r="G18" s="306"/>
      <c r="H18" s="306"/>
      <c r="I18" s="306"/>
      <c r="J18" s="306"/>
      <c r="K18" s="362" t="s">
        <v>729</v>
      </c>
    </row>
    <row r="19" spans="1:11" ht="38.25" customHeight="1" thickBot="1">
      <c r="A19" s="309"/>
      <c r="B19" s="311"/>
      <c r="C19" s="329" t="s">
        <v>712</v>
      </c>
      <c r="D19" s="343">
        <v>150000</v>
      </c>
      <c r="E19" s="344">
        <v>150000</v>
      </c>
      <c r="F19" s="333">
        <f t="shared" si="0"/>
        <v>0</v>
      </c>
      <c r="G19" s="311"/>
      <c r="H19" s="311"/>
      <c r="I19" s="311"/>
      <c r="J19" s="311"/>
      <c r="K19" s="363" t="s">
        <v>664</v>
      </c>
    </row>
    <row r="20" spans="1:11" ht="48" customHeight="1">
      <c r="A20" s="356" t="s">
        <v>714</v>
      </c>
      <c r="B20" s="357" t="s">
        <v>715</v>
      </c>
      <c r="C20" s="704" t="s">
        <v>715</v>
      </c>
      <c r="D20" s="705">
        <v>0</v>
      </c>
      <c r="E20" s="706">
        <v>0</v>
      </c>
      <c r="F20" s="707">
        <f t="shared" si="0"/>
        <v>0</v>
      </c>
      <c r="G20" s="321"/>
      <c r="H20" s="321"/>
      <c r="I20" s="321"/>
      <c r="J20" s="321"/>
      <c r="K20" s="708" t="s">
        <v>664</v>
      </c>
    </row>
    <row r="21" spans="1:11" ht="48" customHeight="1">
      <c r="A21" s="461"/>
      <c r="B21" s="319"/>
      <c r="C21" s="328" t="s">
        <v>716</v>
      </c>
      <c r="D21" s="341">
        <v>0</v>
      </c>
      <c r="E21" s="709">
        <v>1000000</v>
      </c>
      <c r="F21" s="298">
        <f t="shared" si="0"/>
        <v>1000000</v>
      </c>
      <c r="G21" s="710"/>
      <c r="H21" s="710"/>
      <c r="I21" s="710"/>
      <c r="J21" s="710"/>
      <c r="K21" s="352" t="s">
        <v>717</v>
      </c>
    </row>
    <row r="22" spans="1:11" ht="45" customHeight="1" thickBot="1">
      <c r="A22" s="364"/>
      <c r="B22" s="365"/>
      <c r="C22" s="366" t="s">
        <v>718</v>
      </c>
      <c r="D22" s="367">
        <v>0</v>
      </c>
      <c r="E22" s="368">
        <v>0</v>
      </c>
      <c r="F22" s="369">
        <f t="shared" si="0"/>
        <v>0</v>
      </c>
      <c r="G22" s="311"/>
      <c r="H22" s="311"/>
      <c r="I22" s="311"/>
      <c r="J22" s="311"/>
      <c r="K22" s="370" t="s">
        <v>664</v>
      </c>
    </row>
    <row r="23" spans="1:11" ht="46.5" customHeight="1">
      <c r="A23" s="375" t="s">
        <v>719</v>
      </c>
      <c r="B23" s="376" t="s">
        <v>665</v>
      </c>
      <c r="C23" s="371" t="s">
        <v>663</v>
      </c>
      <c r="D23" s="339">
        <v>12178000</v>
      </c>
      <c r="E23" s="340">
        <v>11050000</v>
      </c>
      <c r="F23" s="332">
        <f t="shared" si="0"/>
        <v>-1128000</v>
      </c>
      <c r="G23" s="321"/>
      <c r="H23" s="321"/>
      <c r="I23" s="321"/>
      <c r="J23" s="321"/>
      <c r="K23" s="351" t="s">
        <v>713</v>
      </c>
    </row>
    <row r="24" spans="1:11" ht="31.5" customHeight="1">
      <c r="A24" s="307"/>
      <c r="B24" s="299"/>
      <c r="C24" s="328" t="s">
        <v>720</v>
      </c>
      <c r="D24" s="341">
        <v>1442000</v>
      </c>
      <c r="E24" s="342">
        <v>1442000</v>
      </c>
      <c r="F24" s="298">
        <f t="shared" si="0"/>
        <v>0</v>
      </c>
      <c r="G24" s="306"/>
      <c r="H24" s="306"/>
      <c r="I24" s="306"/>
      <c r="J24" s="306"/>
      <c r="K24" s="352" t="s">
        <v>664</v>
      </c>
    </row>
    <row r="25" spans="1:11" ht="35.25" customHeight="1">
      <c r="A25" s="307"/>
      <c r="B25" s="299"/>
      <c r="C25" s="328" t="s">
        <v>721</v>
      </c>
      <c r="D25" s="341">
        <v>1000000</v>
      </c>
      <c r="E25" s="342">
        <v>1400000</v>
      </c>
      <c r="F25" s="298">
        <f t="shared" si="0"/>
        <v>400000</v>
      </c>
      <c r="G25" s="306"/>
      <c r="H25" s="306"/>
      <c r="I25" s="306"/>
      <c r="J25" s="306"/>
      <c r="K25" s="353" t="s">
        <v>708</v>
      </c>
    </row>
    <row r="26" spans="1:11" ht="38.25" customHeight="1">
      <c r="A26" s="307"/>
      <c r="B26" s="299"/>
      <c r="C26" s="328" t="s">
        <v>722</v>
      </c>
      <c r="D26" s="341">
        <v>360000</v>
      </c>
      <c r="E26" s="342">
        <v>360000</v>
      </c>
      <c r="F26" s="298">
        <f t="shared" si="0"/>
        <v>0</v>
      </c>
      <c r="G26" s="306"/>
      <c r="H26" s="306"/>
      <c r="I26" s="306"/>
      <c r="J26" s="306"/>
      <c r="K26" s="352" t="s">
        <v>664</v>
      </c>
    </row>
    <row r="27" spans="1:11" ht="32.25" customHeight="1">
      <c r="A27" s="307"/>
      <c r="B27" s="299"/>
      <c r="C27" s="328" t="s">
        <v>723</v>
      </c>
      <c r="D27" s="341">
        <v>90000</v>
      </c>
      <c r="E27" s="342">
        <v>211000</v>
      </c>
      <c r="F27" s="298">
        <f t="shared" si="0"/>
        <v>121000</v>
      </c>
      <c r="G27" s="306"/>
      <c r="H27" s="306"/>
      <c r="I27" s="306"/>
      <c r="J27" s="306"/>
      <c r="K27" s="353" t="s">
        <v>708</v>
      </c>
    </row>
    <row r="28" spans="1:11" ht="39.75" customHeight="1" thickBot="1">
      <c r="A28" s="309"/>
      <c r="B28" s="310" t="s">
        <v>724</v>
      </c>
      <c r="C28" s="378" t="s">
        <v>724</v>
      </c>
      <c r="D28" s="343">
        <v>4770000</v>
      </c>
      <c r="E28" s="344">
        <v>5370000</v>
      </c>
      <c r="F28" s="333">
        <f t="shared" si="0"/>
        <v>600000</v>
      </c>
      <c r="G28" s="311"/>
      <c r="H28" s="311"/>
      <c r="I28" s="311"/>
      <c r="J28" s="311"/>
      <c r="K28" s="363" t="s">
        <v>755</v>
      </c>
    </row>
    <row r="29" spans="1:11" ht="39" customHeight="1" thickBot="1">
      <c r="A29" s="312" t="s">
        <v>725</v>
      </c>
      <c r="B29" s="313" t="s">
        <v>725</v>
      </c>
      <c r="C29" s="325" t="s">
        <v>725</v>
      </c>
      <c r="D29" s="337">
        <v>9000</v>
      </c>
      <c r="E29" s="338">
        <v>5000</v>
      </c>
      <c r="F29" s="317">
        <f t="shared" si="0"/>
        <v>-4000</v>
      </c>
      <c r="G29" s="323"/>
      <c r="H29" s="323"/>
      <c r="I29" s="323"/>
      <c r="J29" s="323"/>
      <c r="K29" s="377" t="s">
        <v>726</v>
      </c>
    </row>
    <row r="30" spans="1:11" ht="34.5" customHeight="1" thickBot="1">
      <c r="A30" s="312" t="s">
        <v>727</v>
      </c>
      <c r="B30" s="313" t="s">
        <v>727</v>
      </c>
      <c r="C30" s="325" t="s">
        <v>727</v>
      </c>
      <c r="D30" s="337">
        <v>0</v>
      </c>
      <c r="E30" s="338">
        <v>8000</v>
      </c>
      <c r="F30" s="317">
        <f t="shared" si="0"/>
        <v>8000</v>
      </c>
      <c r="G30" s="323"/>
      <c r="H30" s="323"/>
      <c r="I30" s="323"/>
      <c r="J30" s="323"/>
      <c r="K30" s="377" t="s">
        <v>726</v>
      </c>
    </row>
    <row r="31" spans="1:11" ht="46.5" customHeight="1">
      <c r="D31" s="296"/>
      <c r="E31" s="296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9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바르나바의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60"/>
  <sheetViews>
    <sheetView zoomScale="80" zoomScaleNormal="80" workbookViewId="0">
      <selection activeCell="A12" sqref="A12:XFD12"/>
    </sheetView>
  </sheetViews>
  <sheetFormatPr defaultRowHeight="13.5"/>
  <cols>
    <col min="1" max="1" width="1.77734375" customWidth="1"/>
    <col min="2" max="2" width="8.21875" customWidth="1"/>
    <col min="3" max="3" width="18.33203125" bestFit="1" customWidth="1"/>
    <col min="4" max="7" width="14.6640625" customWidth="1"/>
    <col min="8" max="8" width="4.6640625" customWidth="1"/>
    <col min="9" max="9" width="6.33203125" customWidth="1"/>
    <col min="10" max="10" width="6.6640625" customWidth="1"/>
    <col min="11" max="11" width="14.6640625" customWidth="1"/>
    <col min="12" max="12" width="2.44140625" customWidth="1"/>
    <col min="13" max="13" width="11.6640625" bestFit="1" customWidth="1"/>
    <col min="14" max="14" width="2.77734375" bestFit="1" customWidth="1"/>
    <col min="15" max="15" width="3.44140625" bestFit="1" customWidth="1"/>
    <col min="16" max="16" width="7.44140625" bestFit="1" customWidth="1"/>
    <col min="17" max="17" width="2.88671875" bestFit="1" customWidth="1"/>
    <col min="18" max="18" width="3.44140625" bestFit="1" customWidth="1"/>
    <col min="19" max="19" width="6" bestFit="1" customWidth="1"/>
    <col min="20" max="20" width="2.77734375" bestFit="1" customWidth="1"/>
    <col min="21" max="21" width="4.77734375" bestFit="1" customWidth="1"/>
  </cols>
  <sheetData>
    <row r="1" spans="2:21" ht="45.75" customHeight="1">
      <c r="B1" s="789" t="s">
        <v>456</v>
      </c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  <c r="N1" s="789"/>
      <c r="O1" s="789"/>
      <c r="P1" s="789"/>
      <c r="Q1" s="789"/>
      <c r="R1" s="789"/>
      <c r="S1" s="789"/>
      <c r="T1" s="789"/>
      <c r="U1" s="789"/>
    </row>
    <row r="2" spans="2:21" s="465" customFormat="1" ht="33.75" customHeight="1">
      <c r="B2" s="790" t="s">
        <v>339</v>
      </c>
      <c r="C2" s="790"/>
      <c r="D2" s="790" t="s">
        <v>331</v>
      </c>
      <c r="E2" s="790"/>
      <c r="F2" s="790"/>
      <c r="G2" s="790"/>
      <c r="H2" s="790" t="s">
        <v>332</v>
      </c>
      <c r="I2" s="790"/>
      <c r="J2" s="790"/>
      <c r="K2" s="790" t="s">
        <v>333</v>
      </c>
      <c r="L2" s="791" t="s">
        <v>329</v>
      </c>
      <c r="M2" s="792"/>
      <c r="N2" s="792"/>
      <c r="O2" s="792"/>
      <c r="P2" s="792"/>
      <c r="Q2" s="792"/>
      <c r="R2" s="792"/>
      <c r="S2" s="792"/>
      <c r="T2" s="793"/>
      <c r="U2" s="790" t="s">
        <v>334</v>
      </c>
    </row>
    <row r="3" spans="2:21" s="465" customFormat="1" ht="34.5" customHeight="1">
      <c r="B3" s="790"/>
      <c r="C3" s="790"/>
      <c r="D3" s="510" t="s">
        <v>335</v>
      </c>
      <c r="E3" s="510" t="s">
        <v>336</v>
      </c>
      <c r="F3" s="510" t="s">
        <v>337</v>
      </c>
      <c r="G3" s="510" t="s">
        <v>338</v>
      </c>
      <c r="H3" s="511" t="s">
        <v>343</v>
      </c>
      <c r="I3" s="510" t="s">
        <v>337</v>
      </c>
      <c r="J3" s="510" t="s">
        <v>338</v>
      </c>
      <c r="K3" s="790"/>
      <c r="L3" s="791"/>
      <c r="M3" s="792"/>
      <c r="N3" s="792"/>
      <c r="O3" s="792"/>
      <c r="P3" s="792"/>
      <c r="Q3" s="792"/>
      <c r="R3" s="792"/>
      <c r="S3" s="792"/>
      <c r="T3" s="793"/>
      <c r="U3" s="790"/>
    </row>
    <row r="4" spans="2:21" s="465" customFormat="1" ht="34.5" customHeight="1">
      <c r="B4" s="787" t="s">
        <v>340</v>
      </c>
      <c r="C4" s="788"/>
      <c r="D4" s="512">
        <f>SUM(D5:D45)</f>
        <v>1791498000</v>
      </c>
      <c r="E4" s="512">
        <f>SUM(E5:E45)</f>
        <v>1094650000</v>
      </c>
      <c r="F4" s="512">
        <f t="shared" ref="F4:G4" si="0">SUM(F5:F45)</f>
        <v>106887000</v>
      </c>
      <c r="G4" s="512">
        <f t="shared" si="0"/>
        <v>589961000</v>
      </c>
      <c r="H4" s="513"/>
      <c r="I4" s="514"/>
      <c r="J4" s="514"/>
      <c r="K4" s="512">
        <f t="shared" ref="K4" si="1">SUM(K5:K45)</f>
        <v>1791498000</v>
      </c>
      <c r="L4" s="515"/>
      <c r="M4" s="516"/>
      <c r="N4" s="516"/>
      <c r="O4" s="516"/>
      <c r="P4" s="516"/>
      <c r="Q4" s="516"/>
      <c r="R4" s="516"/>
      <c r="S4" s="516"/>
      <c r="T4" s="517"/>
      <c r="U4" s="514">
        <f>IF(D4=K4,,"×")</f>
        <v>0</v>
      </c>
    </row>
    <row r="5" spans="2:21" s="465" customFormat="1" ht="24" customHeight="1">
      <c r="B5" s="466" t="s">
        <v>59</v>
      </c>
      <c r="C5" s="466" t="s">
        <v>59</v>
      </c>
      <c r="D5" s="467">
        <f>SUM(E5:G5)</f>
        <v>68550000</v>
      </c>
      <c r="E5" s="468">
        <f>ROUND(K5*H5,-3)</f>
        <v>61695000</v>
      </c>
      <c r="F5" s="468">
        <f>ROUNDDOWN(K5*I5,-3)</f>
        <v>4798000</v>
      </c>
      <c r="G5" s="468">
        <f>ROUND(K5*J5,-3)</f>
        <v>2057000</v>
      </c>
      <c r="H5" s="469">
        <v>0.9</v>
      </c>
      <c r="I5" s="469">
        <v>7.0000000000000007E-2</v>
      </c>
      <c r="J5" s="469">
        <v>0.03</v>
      </c>
      <c r="K5" s="470">
        <f>ROUND(M5*P5*S5,-3)</f>
        <v>68550000</v>
      </c>
      <c r="L5" s="472" t="s">
        <v>53</v>
      </c>
      <c r="M5" s="473">
        <v>248371</v>
      </c>
      <c r="N5" s="473" t="s">
        <v>57</v>
      </c>
      <c r="O5" s="474" t="s">
        <v>58</v>
      </c>
      <c r="P5" s="473">
        <v>12</v>
      </c>
      <c r="Q5" s="473" t="s">
        <v>0</v>
      </c>
      <c r="R5" s="474" t="s">
        <v>58</v>
      </c>
      <c r="S5" s="475">
        <v>23</v>
      </c>
      <c r="T5" s="476" t="s">
        <v>56</v>
      </c>
      <c r="U5" s="509">
        <f>IF(D5=K5,,"×")</f>
        <v>0</v>
      </c>
    </row>
    <row r="6" spans="2:21" s="465" customFormat="1" ht="24" customHeight="1">
      <c r="B6" s="466"/>
      <c r="C6" s="466" t="s">
        <v>299</v>
      </c>
      <c r="D6" s="467">
        <f t="shared" ref="D6:D45" si="2">SUM(E6:G6)</f>
        <v>800000</v>
      </c>
      <c r="E6" s="468">
        <f>ROUNDDOWN(K6*H6,-3)</f>
        <v>720000</v>
      </c>
      <c r="F6" s="468">
        <f t="shared" ref="F6:F45" si="3">ROUND(K6*I6,-3)</f>
        <v>56000</v>
      </c>
      <c r="G6" s="468">
        <f t="shared" ref="G6:G45" si="4">ROUND(K6*J6,-3)</f>
        <v>24000</v>
      </c>
      <c r="H6" s="469">
        <v>0.9</v>
      </c>
      <c r="I6" s="469">
        <v>7.0000000000000007E-2</v>
      </c>
      <c r="J6" s="469">
        <v>0.03</v>
      </c>
      <c r="K6" s="470">
        <f>ROUND(M6*P6*S6,-3)</f>
        <v>800000</v>
      </c>
      <c r="L6" s="477" t="s">
        <v>53</v>
      </c>
      <c r="M6" s="478">
        <v>34772</v>
      </c>
      <c r="N6" s="478" t="s">
        <v>57</v>
      </c>
      <c r="O6" s="479" t="s">
        <v>58</v>
      </c>
      <c r="P6" s="478">
        <v>1</v>
      </c>
      <c r="Q6" s="478" t="s">
        <v>72</v>
      </c>
      <c r="R6" s="479" t="s">
        <v>58</v>
      </c>
      <c r="S6" s="478">
        <v>23</v>
      </c>
      <c r="T6" s="480" t="s">
        <v>56</v>
      </c>
      <c r="U6" s="509">
        <f t="shared" ref="U6:U45" si="5">IF(D6=K6,,"×")</f>
        <v>0</v>
      </c>
    </row>
    <row r="7" spans="2:21" s="465" customFormat="1" ht="24" customHeight="1">
      <c r="B7" s="466"/>
      <c r="C7" s="466" t="s">
        <v>300</v>
      </c>
      <c r="D7" s="467">
        <f t="shared" si="2"/>
        <v>1610000</v>
      </c>
      <c r="E7" s="468">
        <f>ROUND(K7*H7,-3)</f>
        <v>1449000</v>
      </c>
      <c r="F7" s="468">
        <f t="shared" si="3"/>
        <v>113000</v>
      </c>
      <c r="G7" s="468">
        <f t="shared" si="4"/>
        <v>48000</v>
      </c>
      <c r="H7" s="469">
        <v>0.9</v>
      </c>
      <c r="I7" s="469">
        <v>7.0000000000000007E-2</v>
      </c>
      <c r="J7" s="469">
        <v>0.03</v>
      </c>
      <c r="K7" s="470">
        <f>ROUND(M7*P7*S7,-3)</f>
        <v>1610000</v>
      </c>
      <c r="L7" s="472" t="s">
        <v>53</v>
      </c>
      <c r="M7" s="473">
        <v>35000</v>
      </c>
      <c r="N7" s="473" t="s">
        <v>57</v>
      </c>
      <c r="O7" s="474" t="s">
        <v>58</v>
      </c>
      <c r="P7" s="473">
        <v>2</v>
      </c>
      <c r="Q7" s="473" t="s">
        <v>72</v>
      </c>
      <c r="R7" s="474" t="s">
        <v>58</v>
      </c>
      <c r="S7" s="475">
        <v>23</v>
      </c>
      <c r="T7" s="476" t="s">
        <v>56</v>
      </c>
      <c r="U7" s="509">
        <f t="shared" si="5"/>
        <v>0</v>
      </c>
    </row>
    <row r="8" spans="2:21" s="465" customFormat="1" ht="24" customHeight="1">
      <c r="B8" s="466" t="s">
        <v>314</v>
      </c>
      <c r="C8" s="466" t="s">
        <v>301</v>
      </c>
      <c r="D8" s="467">
        <f t="shared" si="2"/>
        <v>0</v>
      </c>
      <c r="E8" s="468">
        <f t="shared" ref="E8:E45" si="6">ROUND(K8*H8,-3)</f>
        <v>0</v>
      </c>
      <c r="F8" s="468">
        <f t="shared" si="3"/>
        <v>0</v>
      </c>
      <c r="G8" s="468">
        <f t="shared" si="4"/>
        <v>0</v>
      </c>
      <c r="H8" s="469">
        <v>0.5</v>
      </c>
      <c r="I8" s="469">
        <v>0.5</v>
      </c>
      <c r="J8" s="469">
        <v>0</v>
      </c>
      <c r="K8" s="470">
        <v>0</v>
      </c>
      <c r="L8" s="481"/>
      <c r="M8" s="475" t="s">
        <v>371</v>
      </c>
      <c r="N8" s="475"/>
      <c r="O8" s="482"/>
      <c r="P8" s="483"/>
      <c r="Q8" s="484"/>
      <c r="R8" s="485"/>
      <c r="S8" s="486"/>
      <c r="T8" s="487"/>
      <c r="U8" s="509">
        <f t="shared" si="5"/>
        <v>0</v>
      </c>
    </row>
    <row r="9" spans="2:21" s="465" customFormat="1" ht="24" customHeight="1">
      <c r="B9" s="466" t="s">
        <v>148</v>
      </c>
      <c r="C9" s="466" t="s">
        <v>302</v>
      </c>
      <c r="D9" s="467">
        <f t="shared" si="2"/>
        <v>893027000</v>
      </c>
      <c r="E9" s="468">
        <f t="shared" si="6"/>
        <v>625119000</v>
      </c>
      <c r="F9" s="468">
        <f t="shared" si="3"/>
        <v>40186000</v>
      </c>
      <c r="G9" s="468">
        <f t="shared" si="4"/>
        <v>227722000</v>
      </c>
      <c r="H9" s="469">
        <v>0.7</v>
      </c>
      <c r="I9" s="471">
        <v>4.4999999999999998E-2</v>
      </c>
      <c r="J9" s="471">
        <v>0.255</v>
      </c>
      <c r="K9" s="470">
        <v>893027000</v>
      </c>
      <c r="L9" s="488"/>
      <c r="M9" s="489" t="s">
        <v>330</v>
      </c>
      <c r="N9" s="489"/>
      <c r="O9" s="489"/>
      <c r="P9" s="489"/>
      <c r="Q9" s="489"/>
      <c r="R9" s="489"/>
      <c r="S9" s="489"/>
      <c r="T9" s="490"/>
      <c r="U9" s="509">
        <f t="shared" si="5"/>
        <v>0</v>
      </c>
    </row>
    <row r="10" spans="2:21" s="465" customFormat="1" ht="24" customHeight="1">
      <c r="B10" s="466"/>
      <c r="C10" s="466" t="s">
        <v>303</v>
      </c>
      <c r="D10" s="467">
        <f t="shared" si="2"/>
        <v>88651000</v>
      </c>
      <c r="E10" s="468">
        <f>ROUNDUP(K10*H10,-3)</f>
        <v>62056000</v>
      </c>
      <c r="F10" s="468">
        <f t="shared" si="3"/>
        <v>3989000</v>
      </c>
      <c r="G10" s="468">
        <f t="shared" si="4"/>
        <v>22606000</v>
      </c>
      <c r="H10" s="469">
        <v>0.7</v>
      </c>
      <c r="I10" s="471">
        <v>4.4999999999999998E-2</v>
      </c>
      <c r="J10" s="471">
        <v>0.255</v>
      </c>
      <c r="K10" s="470">
        <v>88651000</v>
      </c>
      <c r="L10" s="488"/>
      <c r="M10" s="489" t="s">
        <v>330</v>
      </c>
      <c r="N10" s="489"/>
      <c r="O10" s="489"/>
      <c r="P10" s="489"/>
      <c r="Q10" s="489"/>
      <c r="R10" s="489"/>
      <c r="S10" s="489"/>
      <c r="T10" s="490"/>
      <c r="U10" s="509">
        <f t="shared" si="5"/>
        <v>0</v>
      </c>
    </row>
    <row r="11" spans="2:21" s="465" customFormat="1" ht="24" customHeight="1">
      <c r="B11" s="466"/>
      <c r="C11" s="466" t="s">
        <v>304</v>
      </c>
      <c r="D11" s="467">
        <f t="shared" si="2"/>
        <v>6240000</v>
      </c>
      <c r="E11" s="468">
        <f t="shared" si="6"/>
        <v>4368000</v>
      </c>
      <c r="F11" s="468">
        <f t="shared" si="3"/>
        <v>281000</v>
      </c>
      <c r="G11" s="468">
        <f t="shared" si="4"/>
        <v>1591000</v>
      </c>
      <c r="H11" s="469">
        <v>0.7</v>
      </c>
      <c r="I11" s="471">
        <v>4.4999999999999998E-2</v>
      </c>
      <c r="J11" s="471">
        <v>0.255</v>
      </c>
      <c r="K11" s="470">
        <v>6240000</v>
      </c>
      <c r="L11" s="488"/>
      <c r="M11" s="489" t="s">
        <v>330</v>
      </c>
      <c r="N11" s="489"/>
      <c r="O11" s="489"/>
      <c r="P11" s="489"/>
      <c r="Q11" s="489"/>
      <c r="R11" s="489"/>
      <c r="S11" s="489"/>
      <c r="T11" s="490"/>
      <c r="U11" s="509">
        <f t="shared" si="5"/>
        <v>0</v>
      </c>
    </row>
    <row r="12" spans="2:21" s="465" customFormat="1" ht="24" customHeight="1">
      <c r="B12" s="466"/>
      <c r="C12" s="466" t="s">
        <v>305</v>
      </c>
      <c r="D12" s="467">
        <f t="shared" si="2"/>
        <v>198089000</v>
      </c>
      <c r="E12" s="468">
        <f t="shared" si="6"/>
        <v>138662000</v>
      </c>
      <c r="F12" s="468">
        <f t="shared" si="3"/>
        <v>8914000</v>
      </c>
      <c r="G12" s="468">
        <f t="shared" si="4"/>
        <v>50513000</v>
      </c>
      <c r="H12" s="469">
        <v>0.7</v>
      </c>
      <c r="I12" s="471">
        <v>4.4999999999999998E-2</v>
      </c>
      <c r="J12" s="471">
        <v>0.255</v>
      </c>
      <c r="K12" s="470">
        <v>198089000</v>
      </c>
      <c r="L12" s="488"/>
      <c r="M12" s="489" t="s">
        <v>330</v>
      </c>
      <c r="N12" s="489"/>
      <c r="O12" s="489"/>
      <c r="P12" s="489"/>
      <c r="Q12" s="489"/>
      <c r="R12" s="489"/>
      <c r="S12" s="489"/>
      <c r="T12" s="490"/>
      <c r="U12" s="509">
        <f t="shared" si="5"/>
        <v>0</v>
      </c>
    </row>
    <row r="13" spans="2:21" s="465" customFormat="1" ht="24" customHeight="1">
      <c r="B13" s="466"/>
      <c r="C13" s="466" t="s">
        <v>306</v>
      </c>
      <c r="D13" s="467">
        <f t="shared" si="2"/>
        <v>98834000</v>
      </c>
      <c r="E13" s="468">
        <f>ROUNDDOWN(K13*H13,-3)</f>
        <v>69183000</v>
      </c>
      <c r="F13" s="468">
        <f t="shared" si="3"/>
        <v>4448000</v>
      </c>
      <c r="G13" s="468">
        <f t="shared" si="4"/>
        <v>25203000</v>
      </c>
      <c r="H13" s="469">
        <v>0.7</v>
      </c>
      <c r="I13" s="471">
        <v>4.4999999999999998E-2</v>
      </c>
      <c r="J13" s="471">
        <v>0.255</v>
      </c>
      <c r="K13" s="470">
        <f>ROUND(M13/P13,-3)</f>
        <v>98834000</v>
      </c>
      <c r="L13" s="472" t="s">
        <v>53</v>
      </c>
      <c r="M13" s="473">
        <f>SUM(K9:K12)</f>
        <v>1186007000</v>
      </c>
      <c r="N13" s="491" t="s">
        <v>57</v>
      </c>
      <c r="O13" s="492" t="s">
        <v>71</v>
      </c>
      <c r="P13" s="493">
        <v>12</v>
      </c>
      <c r="Q13" s="494" t="s">
        <v>0</v>
      </c>
      <c r="R13" s="495"/>
      <c r="S13" s="496"/>
      <c r="T13" s="476"/>
      <c r="U13" s="509">
        <f t="shared" si="5"/>
        <v>0</v>
      </c>
    </row>
    <row r="14" spans="2:21" s="465" customFormat="1" ht="24" customHeight="1">
      <c r="B14" s="466"/>
      <c r="C14" s="466" t="s">
        <v>307</v>
      </c>
      <c r="D14" s="467">
        <f t="shared" si="2"/>
        <v>53370000</v>
      </c>
      <c r="E14" s="468">
        <f>ROUNDUP(K14*H14,-3)</f>
        <v>37359000</v>
      </c>
      <c r="F14" s="468">
        <f t="shared" si="3"/>
        <v>2402000</v>
      </c>
      <c r="G14" s="468">
        <f t="shared" si="4"/>
        <v>13609000</v>
      </c>
      <c r="H14" s="469">
        <v>0.7</v>
      </c>
      <c r="I14" s="471">
        <v>4.4999999999999998E-2</v>
      </c>
      <c r="J14" s="471">
        <v>0.255</v>
      </c>
      <c r="K14" s="470">
        <f>ROUND(M14*P14/Q14,-3)</f>
        <v>53370000</v>
      </c>
      <c r="L14" s="472" t="s">
        <v>53</v>
      </c>
      <c r="M14" s="473">
        <f>M13</f>
        <v>1186007000</v>
      </c>
      <c r="N14" s="491" t="s">
        <v>57</v>
      </c>
      <c r="O14" s="495" t="s">
        <v>58</v>
      </c>
      <c r="P14" s="497">
        <v>0.09</v>
      </c>
      <c r="Q14" s="492">
        <v>2</v>
      </c>
      <c r="R14" s="495"/>
      <c r="S14" s="496"/>
      <c r="T14" s="498"/>
      <c r="U14" s="509">
        <f t="shared" si="5"/>
        <v>0</v>
      </c>
    </row>
    <row r="15" spans="2:21" s="465" customFormat="1" ht="24" customHeight="1">
      <c r="B15" s="466"/>
      <c r="C15" s="466" t="s">
        <v>308</v>
      </c>
      <c r="D15" s="467">
        <f t="shared" si="2"/>
        <v>36292000</v>
      </c>
      <c r="E15" s="468">
        <f>ROUNDUP(K15*H15,-3)</f>
        <v>25405000</v>
      </c>
      <c r="F15" s="468">
        <f t="shared" si="3"/>
        <v>1633000</v>
      </c>
      <c r="G15" s="468">
        <f t="shared" si="4"/>
        <v>9254000</v>
      </c>
      <c r="H15" s="469">
        <v>0.7</v>
      </c>
      <c r="I15" s="471">
        <v>4.4999999999999998E-2</v>
      </c>
      <c r="J15" s="471">
        <v>0.255</v>
      </c>
      <c r="K15" s="470">
        <f>ROUND(M15*P15/Q15,-3)</f>
        <v>36292000</v>
      </c>
      <c r="L15" s="472" t="s">
        <v>53</v>
      </c>
      <c r="M15" s="473">
        <f>M13</f>
        <v>1186007000</v>
      </c>
      <c r="N15" s="491" t="s">
        <v>57</v>
      </c>
      <c r="O15" s="495" t="s">
        <v>58</v>
      </c>
      <c r="P15" s="499">
        <v>6.1199999999999997E-2</v>
      </c>
      <c r="Q15" s="492">
        <v>2</v>
      </c>
      <c r="R15" s="495"/>
      <c r="S15" s="496"/>
      <c r="T15" s="498"/>
      <c r="U15" s="509">
        <f t="shared" si="5"/>
        <v>0</v>
      </c>
    </row>
    <row r="16" spans="2:21" s="465" customFormat="1" ht="24" customHeight="1">
      <c r="B16" s="466"/>
      <c r="C16" s="466" t="s">
        <v>309</v>
      </c>
      <c r="D16" s="467">
        <f t="shared" si="2"/>
        <v>2377000</v>
      </c>
      <c r="E16" s="468">
        <f t="shared" si="6"/>
        <v>1664000</v>
      </c>
      <c r="F16" s="468">
        <f t="shared" si="3"/>
        <v>107000</v>
      </c>
      <c r="G16" s="468">
        <f t="shared" si="4"/>
        <v>606000</v>
      </c>
      <c r="H16" s="469">
        <v>0.7</v>
      </c>
      <c r="I16" s="471">
        <v>4.4999999999999998E-2</v>
      </c>
      <c r="J16" s="471">
        <v>0.255</v>
      </c>
      <c r="K16" s="470">
        <f>ROUND(M16*P16,-3)</f>
        <v>2377000</v>
      </c>
      <c r="L16" s="472" t="s">
        <v>53</v>
      </c>
      <c r="M16" s="473">
        <f>K15</f>
        <v>36292000</v>
      </c>
      <c r="N16" s="491" t="s">
        <v>57</v>
      </c>
      <c r="O16" s="495" t="s">
        <v>58</v>
      </c>
      <c r="P16" s="500">
        <v>6.5500000000000003E-2</v>
      </c>
      <c r="Q16" s="501"/>
      <c r="R16" s="495"/>
      <c r="S16" s="496"/>
      <c r="T16" s="502"/>
      <c r="U16" s="509">
        <f t="shared" si="5"/>
        <v>0</v>
      </c>
    </row>
    <row r="17" spans="2:21" s="465" customFormat="1" ht="24" customHeight="1">
      <c r="B17" s="466"/>
      <c r="C17" s="466" t="s">
        <v>310</v>
      </c>
      <c r="D17" s="467">
        <f t="shared" si="2"/>
        <v>10674000</v>
      </c>
      <c r="E17" s="468">
        <f t="shared" si="6"/>
        <v>7472000</v>
      </c>
      <c r="F17" s="468">
        <f>ROUND(K17*I17,-3)</f>
        <v>480000</v>
      </c>
      <c r="G17" s="468">
        <f t="shared" si="4"/>
        <v>2722000</v>
      </c>
      <c r="H17" s="469">
        <v>0.7</v>
      </c>
      <c r="I17" s="471">
        <v>4.4999999999999998E-2</v>
      </c>
      <c r="J17" s="471">
        <v>0.255</v>
      </c>
      <c r="K17" s="470">
        <f>ROUND(M17*P17,-3)</f>
        <v>10674000</v>
      </c>
      <c r="L17" s="472" t="s">
        <v>53</v>
      </c>
      <c r="M17" s="473">
        <f>M13</f>
        <v>1186007000</v>
      </c>
      <c r="N17" s="491" t="s">
        <v>57</v>
      </c>
      <c r="O17" s="495" t="s">
        <v>58</v>
      </c>
      <c r="P17" s="500">
        <v>8.9999999999999993E-3</v>
      </c>
      <c r="Q17" s="495"/>
      <c r="R17" s="495"/>
      <c r="S17" s="496"/>
      <c r="T17" s="498"/>
      <c r="U17" s="509">
        <f t="shared" si="5"/>
        <v>0</v>
      </c>
    </row>
    <row r="18" spans="2:21" s="465" customFormat="1" ht="24" customHeight="1">
      <c r="B18" s="466"/>
      <c r="C18" s="466" t="s">
        <v>311</v>
      </c>
      <c r="D18" s="467">
        <f t="shared" si="2"/>
        <v>6570000</v>
      </c>
      <c r="E18" s="468">
        <f t="shared" si="6"/>
        <v>4599000</v>
      </c>
      <c r="F18" s="468">
        <f t="shared" si="3"/>
        <v>296000</v>
      </c>
      <c r="G18" s="468">
        <f t="shared" si="4"/>
        <v>1675000</v>
      </c>
      <c r="H18" s="469">
        <v>0.7</v>
      </c>
      <c r="I18" s="471">
        <v>4.4999999999999998E-2</v>
      </c>
      <c r="J18" s="471">
        <v>0.255</v>
      </c>
      <c r="K18" s="470">
        <f>ROUND(M18*P18,-3)</f>
        <v>6570000</v>
      </c>
      <c r="L18" s="472" t="s">
        <v>53</v>
      </c>
      <c r="M18" s="473">
        <f>M13</f>
        <v>1186007000</v>
      </c>
      <c r="N18" s="491" t="s">
        <v>57</v>
      </c>
      <c r="O18" s="495" t="s">
        <v>58</v>
      </c>
      <c r="P18" s="503">
        <v>5.5399999999999998E-3</v>
      </c>
      <c r="Q18" s="495"/>
      <c r="R18" s="495"/>
      <c r="S18" s="496"/>
      <c r="T18" s="498"/>
      <c r="U18" s="509">
        <f t="shared" si="5"/>
        <v>0</v>
      </c>
    </row>
    <row r="19" spans="2:21" s="465" customFormat="1" ht="24" customHeight="1">
      <c r="B19" s="466" t="s">
        <v>93</v>
      </c>
      <c r="C19" s="466" t="s">
        <v>312</v>
      </c>
      <c r="D19" s="467">
        <f t="shared" si="2"/>
        <v>64590000</v>
      </c>
      <c r="E19" s="468">
        <f>ROUND(K19*H19,-3)</f>
        <v>45213000</v>
      </c>
      <c r="F19" s="468">
        <f>ROUND(K19*I19,-3)</f>
        <v>2907000</v>
      </c>
      <c r="G19" s="468">
        <f t="shared" si="4"/>
        <v>16470000</v>
      </c>
      <c r="H19" s="469">
        <v>0.7</v>
      </c>
      <c r="I19" s="471">
        <v>4.4999999999999998E-2</v>
      </c>
      <c r="J19" s="471">
        <v>0.255</v>
      </c>
      <c r="K19" s="470">
        <f>M19*P19</f>
        <v>64590000</v>
      </c>
      <c r="L19" s="472" t="s">
        <v>53</v>
      </c>
      <c r="M19" s="473">
        <v>2153000</v>
      </c>
      <c r="N19" s="473" t="s">
        <v>57</v>
      </c>
      <c r="O19" s="474" t="s">
        <v>58</v>
      </c>
      <c r="P19" s="492">
        <v>30</v>
      </c>
      <c r="Q19" s="473" t="s">
        <v>56</v>
      </c>
      <c r="R19" s="495"/>
      <c r="S19" s="504"/>
      <c r="T19" s="476"/>
      <c r="U19" s="509">
        <f t="shared" ref="U19" si="7">IF(D19=K19,,"×")</f>
        <v>0</v>
      </c>
    </row>
    <row r="20" spans="2:21" s="465" customFormat="1" ht="24" customHeight="1">
      <c r="B20" s="466"/>
      <c r="C20" s="466" t="s">
        <v>313</v>
      </c>
      <c r="D20" s="467">
        <f t="shared" si="2"/>
        <v>13838000</v>
      </c>
      <c r="E20" s="468">
        <f>ROUNDDOWN(K20*H20,-3)</f>
        <v>9686000</v>
      </c>
      <c r="F20" s="468">
        <f t="shared" si="3"/>
        <v>623000</v>
      </c>
      <c r="G20" s="468">
        <f t="shared" si="4"/>
        <v>3529000</v>
      </c>
      <c r="H20" s="469">
        <v>0.7</v>
      </c>
      <c r="I20" s="471">
        <v>4.4999999999999998E-2</v>
      </c>
      <c r="J20" s="471">
        <v>0.255</v>
      </c>
      <c r="K20" s="470">
        <f>M20*P20</f>
        <v>13838000</v>
      </c>
      <c r="L20" s="472" t="s">
        <v>53</v>
      </c>
      <c r="M20" s="473">
        <v>629000</v>
      </c>
      <c r="N20" s="473" t="s">
        <v>57</v>
      </c>
      <c r="O20" s="474" t="s">
        <v>58</v>
      </c>
      <c r="P20" s="492">
        <v>22</v>
      </c>
      <c r="Q20" s="473" t="s">
        <v>56</v>
      </c>
      <c r="R20" s="495"/>
      <c r="S20" s="504"/>
      <c r="T20" s="476"/>
      <c r="U20" s="509">
        <f t="shared" si="5"/>
        <v>0</v>
      </c>
    </row>
    <row r="21" spans="2:21" s="465" customFormat="1" ht="24" customHeight="1">
      <c r="B21" s="466" t="s">
        <v>282</v>
      </c>
      <c r="C21" s="466" t="s">
        <v>315</v>
      </c>
      <c r="D21" s="467">
        <f t="shared" si="2"/>
        <v>9490000</v>
      </c>
      <c r="E21" s="468">
        <f t="shared" si="6"/>
        <v>0</v>
      </c>
      <c r="F21" s="468">
        <f t="shared" si="3"/>
        <v>2847000</v>
      </c>
      <c r="G21" s="468">
        <f>ROUNDDOWN(K21*J21,-3)</f>
        <v>6643000</v>
      </c>
      <c r="H21" s="469">
        <v>0</v>
      </c>
      <c r="I21" s="471">
        <v>0.3</v>
      </c>
      <c r="J21" s="471">
        <v>0.7</v>
      </c>
      <c r="K21" s="470">
        <f>ROUND(M21*P21*S21,-3)</f>
        <v>9490000</v>
      </c>
      <c r="L21" s="472" t="s">
        <v>53</v>
      </c>
      <c r="M21" s="473">
        <v>500</v>
      </c>
      <c r="N21" s="473" t="s">
        <v>57</v>
      </c>
      <c r="O21" s="474" t="s">
        <v>58</v>
      </c>
      <c r="P21" s="473">
        <v>365</v>
      </c>
      <c r="Q21" s="473" t="s">
        <v>81</v>
      </c>
      <c r="R21" s="474" t="s">
        <v>58</v>
      </c>
      <c r="S21" s="473">
        <v>52</v>
      </c>
      <c r="T21" s="476" t="s">
        <v>56</v>
      </c>
      <c r="U21" s="509">
        <f t="shared" si="5"/>
        <v>0</v>
      </c>
    </row>
    <row r="22" spans="2:21" s="465" customFormat="1" ht="24" customHeight="1">
      <c r="B22" s="466"/>
      <c r="C22" s="466" t="s">
        <v>316</v>
      </c>
      <c r="D22" s="467">
        <f t="shared" si="2"/>
        <v>3120000</v>
      </c>
      <c r="E22" s="468">
        <f t="shared" si="6"/>
        <v>0</v>
      </c>
      <c r="F22" s="468">
        <f t="shared" si="3"/>
        <v>936000</v>
      </c>
      <c r="G22" s="468">
        <f t="shared" si="4"/>
        <v>2184000</v>
      </c>
      <c r="H22" s="469">
        <v>0</v>
      </c>
      <c r="I22" s="471">
        <v>0.3</v>
      </c>
      <c r="J22" s="471">
        <v>0.7</v>
      </c>
      <c r="K22" s="470">
        <f>M22*P22*S22</f>
        <v>3120000</v>
      </c>
      <c r="L22" s="472" t="s">
        <v>53</v>
      </c>
      <c r="M22" s="473">
        <v>5000</v>
      </c>
      <c r="N22" s="473" t="s">
        <v>57</v>
      </c>
      <c r="O22" s="474" t="s">
        <v>58</v>
      </c>
      <c r="P22" s="473">
        <v>12</v>
      </c>
      <c r="Q22" s="473" t="s">
        <v>29</v>
      </c>
      <c r="R22" s="474" t="s">
        <v>58</v>
      </c>
      <c r="S22" s="473">
        <v>52</v>
      </c>
      <c r="T22" s="476" t="s">
        <v>56</v>
      </c>
      <c r="U22" s="509">
        <f t="shared" si="5"/>
        <v>0</v>
      </c>
    </row>
    <row r="23" spans="2:21" s="465" customFormat="1" ht="37.5" customHeight="1">
      <c r="B23" s="466"/>
      <c r="C23" s="518" t="s">
        <v>341</v>
      </c>
      <c r="D23" s="467">
        <f t="shared" si="2"/>
        <v>4160000</v>
      </c>
      <c r="E23" s="468">
        <f t="shared" si="6"/>
        <v>0</v>
      </c>
      <c r="F23" s="468">
        <f t="shared" si="3"/>
        <v>1248000</v>
      </c>
      <c r="G23" s="468">
        <f t="shared" si="4"/>
        <v>2912000</v>
      </c>
      <c r="H23" s="469">
        <v>0</v>
      </c>
      <c r="I23" s="471">
        <v>0.3</v>
      </c>
      <c r="J23" s="471">
        <v>0.7</v>
      </c>
      <c r="K23" s="470">
        <f t="shared" ref="K23:K25" si="8">M23*P23*S23</f>
        <v>4160000</v>
      </c>
      <c r="L23" s="477" t="s">
        <v>53</v>
      </c>
      <c r="M23" s="478">
        <v>20000</v>
      </c>
      <c r="N23" s="478" t="s">
        <v>57</v>
      </c>
      <c r="O23" s="505" t="s">
        <v>58</v>
      </c>
      <c r="P23" s="478">
        <v>4</v>
      </c>
      <c r="Q23" s="478" t="s">
        <v>72</v>
      </c>
      <c r="R23" s="505" t="s">
        <v>58</v>
      </c>
      <c r="S23" s="478">
        <v>52</v>
      </c>
      <c r="T23" s="480" t="s">
        <v>56</v>
      </c>
      <c r="U23" s="509">
        <f t="shared" si="5"/>
        <v>0</v>
      </c>
    </row>
    <row r="24" spans="2:21" s="465" customFormat="1" ht="35.25" customHeight="1">
      <c r="B24" s="466"/>
      <c r="C24" s="518" t="s">
        <v>342</v>
      </c>
      <c r="D24" s="467">
        <f t="shared" si="2"/>
        <v>2496000</v>
      </c>
      <c r="E24" s="468">
        <f t="shared" si="6"/>
        <v>0</v>
      </c>
      <c r="F24" s="468">
        <f t="shared" si="3"/>
        <v>749000</v>
      </c>
      <c r="G24" s="468">
        <f t="shared" si="4"/>
        <v>1747000</v>
      </c>
      <c r="H24" s="469">
        <v>0</v>
      </c>
      <c r="I24" s="471">
        <v>0.3</v>
      </c>
      <c r="J24" s="471">
        <v>0.7</v>
      </c>
      <c r="K24" s="470">
        <f t="shared" si="8"/>
        <v>2496000</v>
      </c>
      <c r="L24" s="472" t="s">
        <v>53</v>
      </c>
      <c r="M24" s="473">
        <v>12000</v>
      </c>
      <c r="N24" s="473" t="s">
        <v>57</v>
      </c>
      <c r="O24" s="474" t="s">
        <v>58</v>
      </c>
      <c r="P24" s="473">
        <v>4</v>
      </c>
      <c r="Q24" s="473" t="s">
        <v>72</v>
      </c>
      <c r="R24" s="474" t="s">
        <v>58</v>
      </c>
      <c r="S24" s="473">
        <v>52</v>
      </c>
      <c r="T24" s="476" t="s">
        <v>56</v>
      </c>
      <c r="U24" s="509">
        <f t="shared" si="5"/>
        <v>0</v>
      </c>
    </row>
    <row r="25" spans="2:21" s="465" customFormat="1" ht="31.5" customHeight="1">
      <c r="B25" s="466"/>
      <c r="C25" s="466" t="s">
        <v>317</v>
      </c>
      <c r="D25" s="467">
        <f t="shared" si="2"/>
        <v>2080000</v>
      </c>
      <c r="E25" s="468">
        <f t="shared" si="6"/>
        <v>0</v>
      </c>
      <c r="F25" s="468">
        <f t="shared" si="3"/>
        <v>624000</v>
      </c>
      <c r="G25" s="468">
        <f t="shared" si="4"/>
        <v>1456000</v>
      </c>
      <c r="H25" s="469">
        <v>0</v>
      </c>
      <c r="I25" s="471">
        <v>0.3</v>
      </c>
      <c r="J25" s="471">
        <v>0.7</v>
      </c>
      <c r="K25" s="470">
        <f t="shared" si="8"/>
        <v>2080000</v>
      </c>
      <c r="L25" s="472" t="s">
        <v>53</v>
      </c>
      <c r="M25" s="473">
        <v>40000</v>
      </c>
      <c r="N25" s="473" t="s">
        <v>57</v>
      </c>
      <c r="O25" s="506" t="s">
        <v>58</v>
      </c>
      <c r="P25" s="473">
        <v>1</v>
      </c>
      <c r="Q25" s="473" t="s">
        <v>72</v>
      </c>
      <c r="R25" s="506" t="s">
        <v>58</v>
      </c>
      <c r="S25" s="473">
        <v>52</v>
      </c>
      <c r="T25" s="476" t="s">
        <v>56</v>
      </c>
      <c r="U25" s="509">
        <f t="shared" si="5"/>
        <v>0</v>
      </c>
    </row>
    <row r="26" spans="2:21" s="465" customFormat="1" ht="24" customHeight="1">
      <c r="B26" s="466" t="s">
        <v>283</v>
      </c>
      <c r="C26" s="466" t="s">
        <v>302</v>
      </c>
      <c r="D26" s="467">
        <f t="shared" si="2"/>
        <v>51090000</v>
      </c>
      <c r="E26" s="468">
        <f t="shared" si="6"/>
        <v>0</v>
      </c>
      <c r="F26" s="468">
        <f t="shared" si="3"/>
        <v>5109000</v>
      </c>
      <c r="G26" s="468">
        <f t="shared" si="4"/>
        <v>45981000</v>
      </c>
      <c r="H26" s="469">
        <v>0</v>
      </c>
      <c r="I26" s="471">
        <v>0.1</v>
      </c>
      <c r="J26" s="471">
        <v>0.9</v>
      </c>
      <c r="K26" s="470">
        <v>51090000</v>
      </c>
      <c r="L26" s="488"/>
      <c r="M26" s="489" t="s">
        <v>330</v>
      </c>
      <c r="N26" s="489"/>
      <c r="O26" s="489"/>
      <c r="P26" s="489"/>
      <c r="Q26" s="489"/>
      <c r="R26" s="489"/>
      <c r="S26" s="489"/>
      <c r="T26" s="490"/>
      <c r="U26" s="509">
        <f t="shared" si="5"/>
        <v>0</v>
      </c>
    </row>
    <row r="27" spans="2:21" s="465" customFormat="1" ht="24" customHeight="1">
      <c r="B27" s="466"/>
      <c r="C27" s="466" t="s">
        <v>303</v>
      </c>
      <c r="D27" s="467">
        <f t="shared" si="2"/>
        <v>4637000</v>
      </c>
      <c r="E27" s="468">
        <f t="shared" si="6"/>
        <v>0</v>
      </c>
      <c r="F27" s="468">
        <f t="shared" si="3"/>
        <v>464000</v>
      </c>
      <c r="G27" s="468">
        <f t="shared" si="4"/>
        <v>4173000</v>
      </c>
      <c r="H27" s="469">
        <v>0</v>
      </c>
      <c r="I27" s="471">
        <v>0.1</v>
      </c>
      <c r="J27" s="471">
        <v>0.9</v>
      </c>
      <c r="K27" s="470">
        <v>4637000</v>
      </c>
      <c r="L27" s="488"/>
      <c r="M27" s="489" t="s">
        <v>330</v>
      </c>
      <c r="N27" s="489"/>
      <c r="O27" s="489"/>
      <c r="P27" s="489"/>
      <c r="Q27" s="489"/>
      <c r="R27" s="489"/>
      <c r="S27" s="489"/>
      <c r="T27" s="490"/>
      <c r="U27" s="509">
        <f t="shared" si="5"/>
        <v>0</v>
      </c>
    </row>
    <row r="28" spans="2:21" s="465" customFormat="1" ht="24" customHeight="1">
      <c r="B28" s="466"/>
      <c r="C28" s="466" t="s">
        <v>304</v>
      </c>
      <c r="D28" s="467">
        <f t="shared" si="2"/>
        <v>1280000</v>
      </c>
      <c r="E28" s="468">
        <f t="shared" si="6"/>
        <v>0</v>
      </c>
      <c r="F28" s="468">
        <f t="shared" si="3"/>
        <v>128000</v>
      </c>
      <c r="G28" s="468">
        <f t="shared" si="4"/>
        <v>1152000</v>
      </c>
      <c r="H28" s="469">
        <v>0</v>
      </c>
      <c r="I28" s="471">
        <v>0.1</v>
      </c>
      <c r="J28" s="471">
        <v>0.9</v>
      </c>
      <c r="K28" s="470">
        <v>1280000</v>
      </c>
      <c r="L28" s="488"/>
      <c r="M28" s="489" t="s">
        <v>330</v>
      </c>
      <c r="N28" s="489"/>
      <c r="O28" s="489"/>
      <c r="P28" s="489"/>
      <c r="Q28" s="489"/>
      <c r="R28" s="489"/>
      <c r="S28" s="489"/>
      <c r="T28" s="490"/>
      <c r="U28" s="509">
        <f t="shared" si="5"/>
        <v>0</v>
      </c>
    </row>
    <row r="29" spans="2:21" s="465" customFormat="1" ht="24" customHeight="1">
      <c r="B29" s="466"/>
      <c r="C29" s="466" t="s">
        <v>305</v>
      </c>
      <c r="D29" s="467">
        <f t="shared" si="2"/>
        <v>12715000</v>
      </c>
      <c r="E29" s="468">
        <f t="shared" si="6"/>
        <v>0</v>
      </c>
      <c r="F29" s="468">
        <f t="shared" si="3"/>
        <v>1272000</v>
      </c>
      <c r="G29" s="468">
        <f>ROUNDDOWN(K29*J29,-3)</f>
        <v>11443000</v>
      </c>
      <c r="H29" s="469">
        <v>0</v>
      </c>
      <c r="I29" s="471">
        <v>0.1</v>
      </c>
      <c r="J29" s="471">
        <v>0.9</v>
      </c>
      <c r="K29" s="470">
        <v>12715000</v>
      </c>
      <c r="L29" s="488"/>
      <c r="M29" s="489" t="s">
        <v>330</v>
      </c>
      <c r="N29" s="489"/>
      <c r="O29" s="489"/>
      <c r="P29" s="489"/>
      <c r="Q29" s="489"/>
      <c r="R29" s="489"/>
      <c r="S29" s="489"/>
      <c r="T29" s="490"/>
      <c r="U29" s="509">
        <f t="shared" si="5"/>
        <v>0</v>
      </c>
    </row>
    <row r="30" spans="2:21" s="465" customFormat="1" ht="24" customHeight="1">
      <c r="B30" s="466"/>
      <c r="C30" s="466" t="s">
        <v>318</v>
      </c>
      <c r="D30" s="467">
        <f t="shared" si="2"/>
        <v>100650000</v>
      </c>
      <c r="E30" s="468">
        <f t="shared" si="6"/>
        <v>0</v>
      </c>
      <c r="F30" s="468">
        <f t="shared" si="3"/>
        <v>10065000</v>
      </c>
      <c r="G30" s="468">
        <f t="shared" si="4"/>
        <v>90585000</v>
      </c>
      <c r="H30" s="469">
        <v>0</v>
      </c>
      <c r="I30" s="471">
        <v>0.1</v>
      </c>
      <c r="J30" s="471">
        <v>0.9</v>
      </c>
      <c r="K30" s="470">
        <v>100650000</v>
      </c>
      <c r="L30" s="488"/>
      <c r="M30" s="489" t="s">
        <v>330</v>
      </c>
      <c r="N30" s="489"/>
      <c r="O30" s="489"/>
      <c r="P30" s="489"/>
      <c r="Q30" s="489"/>
      <c r="R30" s="489"/>
      <c r="S30" s="489"/>
      <c r="T30" s="490"/>
      <c r="U30" s="509">
        <f t="shared" si="5"/>
        <v>0</v>
      </c>
    </row>
    <row r="31" spans="2:21" s="465" customFormat="1" ht="24" customHeight="1">
      <c r="B31" s="466"/>
      <c r="C31" s="466" t="s">
        <v>306</v>
      </c>
      <c r="D31" s="467">
        <f t="shared" si="2"/>
        <v>5810000</v>
      </c>
      <c r="E31" s="468">
        <f t="shared" si="6"/>
        <v>0</v>
      </c>
      <c r="F31" s="468">
        <f t="shared" si="3"/>
        <v>581000</v>
      </c>
      <c r="G31" s="468">
        <f t="shared" si="4"/>
        <v>5229000</v>
      </c>
      <c r="H31" s="469">
        <v>0</v>
      </c>
      <c r="I31" s="471">
        <v>0.1</v>
      </c>
      <c r="J31" s="471">
        <v>0.9</v>
      </c>
      <c r="K31" s="470">
        <f>ROUND(M31/P31,-3)</f>
        <v>5810000</v>
      </c>
      <c r="L31" s="472" t="s">
        <v>53</v>
      </c>
      <c r="M31" s="473">
        <f>SUM(K26:K29)</f>
        <v>69722000</v>
      </c>
      <c r="N31" s="491" t="s">
        <v>57</v>
      </c>
      <c r="O31" s="492" t="s">
        <v>71</v>
      </c>
      <c r="P31" s="493">
        <v>12</v>
      </c>
      <c r="Q31" s="494" t="s">
        <v>0</v>
      </c>
      <c r="R31" s="495"/>
      <c r="S31" s="496"/>
      <c r="T31" s="476"/>
      <c r="U31" s="509">
        <f t="shared" si="5"/>
        <v>0</v>
      </c>
    </row>
    <row r="32" spans="2:21" s="465" customFormat="1" ht="24" customHeight="1">
      <c r="B32" s="466"/>
      <c r="C32" s="466" t="s">
        <v>307</v>
      </c>
      <c r="D32" s="467">
        <f t="shared" si="2"/>
        <v>3137000</v>
      </c>
      <c r="E32" s="468">
        <f t="shared" si="6"/>
        <v>0</v>
      </c>
      <c r="F32" s="468">
        <f t="shared" si="3"/>
        <v>314000</v>
      </c>
      <c r="G32" s="468">
        <f t="shared" si="4"/>
        <v>2823000</v>
      </c>
      <c r="H32" s="469">
        <v>0</v>
      </c>
      <c r="I32" s="471">
        <v>0.1</v>
      </c>
      <c r="J32" s="471">
        <v>0.9</v>
      </c>
      <c r="K32" s="470">
        <f>ROUND(M32*P32/Q32,-3)</f>
        <v>3137000</v>
      </c>
      <c r="L32" s="472" t="s">
        <v>53</v>
      </c>
      <c r="M32" s="473">
        <f>M31</f>
        <v>69722000</v>
      </c>
      <c r="N32" s="491" t="s">
        <v>57</v>
      </c>
      <c r="O32" s="495" t="s">
        <v>58</v>
      </c>
      <c r="P32" s="497">
        <v>0.09</v>
      </c>
      <c r="Q32" s="492">
        <v>2</v>
      </c>
      <c r="R32" s="495"/>
      <c r="S32" s="496"/>
      <c r="T32" s="498"/>
      <c r="U32" s="509">
        <f t="shared" si="5"/>
        <v>0</v>
      </c>
    </row>
    <row r="33" spans="2:21" s="465" customFormat="1" ht="24" customHeight="1">
      <c r="B33" s="466"/>
      <c r="C33" s="466" t="s">
        <v>308</v>
      </c>
      <c r="D33" s="467">
        <f t="shared" si="2"/>
        <v>2133000</v>
      </c>
      <c r="E33" s="468">
        <f t="shared" si="6"/>
        <v>0</v>
      </c>
      <c r="F33" s="468">
        <f t="shared" si="3"/>
        <v>213000</v>
      </c>
      <c r="G33" s="468">
        <f t="shared" si="4"/>
        <v>1920000</v>
      </c>
      <c r="H33" s="469">
        <v>0</v>
      </c>
      <c r="I33" s="471">
        <v>0.1</v>
      </c>
      <c r="J33" s="471">
        <v>0.9</v>
      </c>
      <c r="K33" s="470">
        <f>ROUND(M33*P33/Q33,-3)</f>
        <v>2133000</v>
      </c>
      <c r="L33" s="472" t="s">
        <v>53</v>
      </c>
      <c r="M33" s="473">
        <f>M31</f>
        <v>69722000</v>
      </c>
      <c r="N33" s="491" t="s">
        <v>57</v>
      </c>
      <c r="O33" s="495" t="s">
        <v>58</v>
      </c>
      <c r="P33" s="499">
        <v>6.1199999999999997E-2</v>
      </c>
      <c r="Q33" s="492">
        <v>2</v>
      </c>
      <c r="R33" s="495"/>
      <c r="S33" s="496"/>
      <c r="T33" s="498"/>
      <c r="U33" s="509">
        <f t="shared" si="5"/>
        <v>0</v>
      </c>
    </row>
    <row r="34" spans="2:21" s="465" customFormat="1" ht="24" customHeight="1">
      <c r="B34" s="466"/>
      <c r="C34" s="466" t="s">
        <v>309</v>
      </c>
      <c r="D34" s="467">
        <f t="shared" si="2"/>
        <v>140000</v>
      </c>
      <c r="E34" s="468">
        <f t="shared" si="6"/>
        <v>0</v>
      </c>
      <c r="F34" s="468">
        <f t="shared" si="3"/>
        <v>14000</v>
      </c>
      <c r="G34" s="468">
        <f t="shared" si="4"/>
        <v>126000</v>
      </c>
      <c r="H34" s="469">
        <v>0</v>
      </c>
      <c r="I34" s="471">
        <v>0.1</v>
      </c>
      <c r="J34" s="471">
        <v>0.9</v>
      </c>
      <c r="K34" s="470">
        <f>ROUND(M34*P34,-3)</f>
        <v>140000</v>
      </c>
      <c r="L34" s="472" t="s">
        <v>53</v>
      </c>
      <c r="M34" s="473">
        <f>K33</f>
        <v>2133000</v>
      </c>
      <c r="N34" s="491" t="s">
        <v>57</v>
      </c>
      <c r="O34" s="495" t="s">
        <v>58</v>
      </c>
      <c r="P34" s="500">
        <v>6.5500000000000003E-2</v>
      </c>
      <c r="Q34" s="501"/>
      <c r="R34" s="495"/>
      <c r="S34" s="496"/>
      <c r="T34" s="502"/>
      <c r="U34" s="509">
        <f t="shared" si="5"/>
        <v>0</v>
      </c>
    </row>
    <row r="35" spans="2:21" s="465" customFormat="1" ht="24" customHeight="1">
      <c r="B35" s="466"/>
      <c r="C35" s="466" t="s">
        <v>310</v>
      </c>
      <c r="D35" s="467">
        <f t="shared" si="2"/>
        <v>627000</v>
      </c>
      <c r="E35" s="468">
        <f t="shared" si="6"/>
        <v>0</v>
      </c>
      <c r="F35" s="468">
        <f t="shared" si="3"/>
        <v>63000</v>
      </c>
      <c r="G35" s="468">
        <f t="shared" si="4"/>
        <v>564000</v>
      </c>
      <c r="H35" s="469">
        <v>0</v>
      </c>
      <c r="I35" s="471">
        <v>0.1</v>
      </c>
      <c r="J35" s="471">
        <v>0.9</v>
      </c>
      <c r="K35" s="470">
        <f>ROUND(M35*P35,-3)</f>
        <v>627000</v>
      </c>
      <c r="L35" s="472" t="s">
        <v>53</v>
      </c>
      <c r="M35" s="473">
        <f>M31</f>
        <v>69722000</v>
      </c>
      <c r="N35" s="491" t="s">
        <v>57</v>
      </c>
      <c r="O35" s="495" t="s">
        <v>58</v>
      </c>
      <c r="P35" s="500">
        <v>8.9999999999999993E-3</v>
      </c>
      <c r="Q35" s="495"/>
      <c r="R35" s="495"/>
      <c r="S35" s="496"/>
      <c r="T35" s="498"/>
      <c r="U35" s="509">
        <f t="shared" si="5"/>
        <v>0</v>
      </c>
    </row>
    <row r="36" spans="2:21" s="465" customFormat="1" ht="24" customHeight="1">
      <c r="B36" s="466"/>
      <c r="C36" s="466" t="s">
        <v>311</v>
      </c>
      <c r="D36" s="467">
        <f t="shared" si="2"/>
        <v>386000</v>
      </c>
      <c r="E36" s="468">
        <f t="shared" si="6"/>
        <v>0</v>
      </c>
      <c r="F36" s="468">
        <f t="shared" si="3"/>
        <v>39000</v>
      </c>
      <c r="G36" s="468">
        <f t="shared" si="4"/>
        <v>347000</v>
      </c>
      <c r="H36" s="469">
        <v>0</v>
      </c>
      <c r="I36" s="471">
        <v>0.1</v>
      </c>
      <c r="J36" s="471">
        <v>0.9</v>
      </c>
      <c r="K36" s="470">
        <f>ROUND(M36*P36,-3)</f>
        <v>386000</v>
      </c>
      <c r="L36" s="472" t="s">
        <v>53</v>
      </c>
      <c r="M36" s="473">
        <f>M31</f>
        <v>69722000</v>
      </c>
      <c r="N36" s="491" t="s">
        <v>57</v>
      </c>
      <c r="O36" s="495" t="s">
        <v>58</v>
      </c>
      <c r="P36" s="503">
        <v>5.5399999999999998E-3</v>
      </c>
      <c r="Q36" s="495"/>
      <c r="R36" s="495"/>
      <c r="S36" s="496"/>
      <c r="T36" s="498"/>
      <c r="U36" s="509">
        <f t="shared" si="5"/>
        <v>0</v>
      </c>
    </row>
    <row r="37" spans="2:21" s="465" customFormat="1" ht="24" customHeight="1">
      <c r="B37" s="466"/>
      <c r="C37" s="466" t="s">
        <v>319</v>
      </c>
      <c r="D37" s="467">
        <f t="shared" si="2"/>
        <v>3600000</v>
      </c>
      <c r="E37" s="468">
        <f t="shared" si="6"/>
        <v>0</v>
      </c>
      <c r="F37" s="468">
        <f t="shared" si="3"/>
        <v>360000</v>
      </c>
      <c r="G37" s="468">
        <f t="shared" si="4"/>
        <v>3240000</v>
      </c>
      <c r="H37" s="469">
        <v>0</v>
      </c>
      <c r="I37" s="471">
        <v>0.1</v>
      </c>
      <c r="J37" s="471">
        <v>0.9</v>
      </c>
      <c r="K37" s="470">
        <f>M37*P37</f>
        <v>3600000</v>
      </c>
      <c r="L37" s="472" t="s">
        <v>344</v>
      </c>
      <c r="M37" s="478">
        <v>300000</v>
      </c>
      <c r="N37" s="479" t="s">
        <v>345</v>
      </c>
      <c r="O37" s="479" t="s">
        <v>26</v>
      </c>
      <c r="P37" s="478">
        <v>12</v>
      </c>
      <c r="Q37" s="505" t="s">
        <v>346</v>
      </c>
      <c r="R37" s="478"/>
      <c r="S37" s="478"/>
      <c r="T37" s="480"/>
      <c r="U37" s="509">
        <f t="shared" si="5"/>
        <v>0</v>
      </c>
    </row>
    <row r="38" spans="2:21" s="465" customFormat="1" ht="24" customHeight="1">
      <c r="B38" s="466"/>
      <c r="C38" s="466" t="s">
        <v>320</v>
      </c>
      <c r="D38" s="467">
        <f t="shared" si="2"/>
        <v>5000000</v>
      </c>
      <c r="E38" s="468">
        <f t="shared" si="6"/>
        <v>0</v>
      </c>
      <c r="F38" s="468">
        <f t="shared" si="3"/>
        <v>500000</v>
      </c>
      <c r="G38" s="468">
        <f t="shared" si="4"/>
        <v>4500000</v>
      </c>
      <c r="H38" s="469">
        <v>0</v>
      </c>
      <c r="I38" s="471">
        <v>0.1</v>
      </c>
      <c r="J38" s="471">
        <v>0.9</v>
      </c>
      <c r="K38" s="470">
        <v>5000000</v>
      </c>
      <c r="L38" s="488"/>
      <c r="M38" s="489"/>
      <c r="N38" s="489"/>
      <c r="O38" s="489"/>
      <c r="P38" s="489"/>
      <c r="Q38" s="489"/>
      <c r="R38" s="489"/>
      <c r="S38" s="489"/>
      <c r="T38" s="490"/>
      <c r="U38" s="509">
        <f t="shared" si="5"/>
        <v>0</v>
      </c>
    </row>
    <row r="39" spans="2:21" s="465" customFormat="1" ht="24" customHeight="1">
      <c r="B39" s="466"/>
      <c r="C39" s="466" t="s">
        <v>321</v>
      </c>
      <c r="D39" s="467">
        <f t="shared" si="2"/>
        <v>12600000</v>
      </c>
      <c r="E39" s="468">
        <f t="shared" si="6"/>
        <v>0</v>
      </c>
      <c r="F39" s="468">
        <f t="shared" si="3"/>
        <v>1260000</v>
      </c>
      <c r="G39" s="468">
        <f t="shared" si="4"/>
        <v>11340000</v>
      </c>
      <c r="H39" s="469">
        <v>0</v>
      </c>
      <c r="I39" s="471">
        <v>0.1</v>
      </c>
      <c r="J39" s="471">
        <v>0.9</v>
      </c>
      <c r="K39" s="470">
        <f>M39*P39*S39</f>
        <v>12600000</v>
      </c>
      <c r="L39" s="481" t="s">
        <v>344</v>
      </c>
      <c r="M39" s="475">
        <v>70000</v>
      </c>
      <c r="N39" s="475" t="s">
        <v>345</v>
      </c>
      <c r="O39" s="519" t="s">
        <v>347</v>
      </c>
      <c r="P39" s="475">
        <v>1</v>
      </c>
      <c r="Q39" s="475" t="s">
        <v>348</v>
      </c>
      <c r="R39" s="519" t="s">
        <v>347</v>
      </c>
      <c r="S39" s="486">
        <v>180</v>
      </c>
      <c r="T39" s="487" t="s">
        <v>349</v>
      </c>
      <c r="U39" s="509">
        <f t="shared" si="5"/>
        <v>0</v>
      </c>
    </row>
    <row r="40" spans="2:21" s="465" customFormat="1" ht="24" customHeight="1">
      <c r="B40" s="466" t="s">
        <v>322</v>
      </c>
      <c r="C40" s="466" t="s">
        <v>323</v>
      </c>
      <c r="D40" s="467">
        <f t="shared" si="2"/>
        <v>0</v>
      </c>
      <c r="E40" s="468">
        <f t="shared" si="6"/>
        <v>0</v>
      </c>
      <c r="F40" s="468">
        <f t="shared" si="3"/>
        <v>0</v>
      </c>
      <c r="G40" s="468">
        <f t="shared" si="4"/>
        <v>0</v>
      </c>
      <c r="H40" s="469">
        <v>0</v>
      </c>
      <c r="I40" s="471">
        <v>0.3</v>
      </c>
      <c r="J40" s="471">
        <v>0.7</v>
      </c>
      <c r="K40" s="470">
        <v>0</v>
      </c>
      <c r="L40" s="488"/>
      <c r="M40" s="489"/>
      <c r="N40" s="489"/>
      <c r="O40" s="489"/>
      <c r="P40" s="489"/>
      <c r="Q40" s="489"/>
      <c r="R40" s="489"/>
      <c r="S40" s="489"/>
      <c r="T40" s="490"/>
      <c r="U40" s="509">
        <f t="shared" si="5"/>
        <v>0</v>
      </c>
    </row>
    <row r="41" spans="2:21" s="465" customFormat="1" ht="24" customHeight="1">
      <c r="B41" s="466"/>
      <c r="C41" s="466" t="s">
        <v>449</v>
      </c>
      <c r="D41" s="467">
        <f t="shared" si="2"/>
        <v>17735000</v>
      </c>
      <c r="E41" s="468">
        <f t="shared" ref="E41:E42" si="9">ROUND(K41*H41,-3)</f>
        <v>0</v>
      </c>
      <c r="F41" s="468">
        <f t="shared" ref="F41:F42" si="10">ROUND(K41*I41,-3)</f>
        <v>8868000</v>
      </c>
      <c r="G41" s="468">
        <f>ROUNDDOWN(K41*J41,-3)</f>
        <v>8867000</v>
      </c>
      <c r="H41" s="469">
        <v>0</v>
      </c>
      <c r="I41" s="471">
        <v>0.5</v>
      </c>
      <c r="J41" s="471">
        <v>0.5</v>
      </c>
      <c r="K41" s="470">
        <v>17735000</v>
      </c>
      <c r="L41" s="488"/>
      <c r="M41" s="489" t="s">
        <v>450</v>
      </c>
      <c r="N41" s="489"/>
      <c r="O41" s="489"/>
      <c r="P41" s="489"/>
      <c r="Q41" s="489"/>
      <c r="R41" s="489"/>
      <c r="S41" s="489"/>
      <c r="T41" s="490"/>
      <c r="U41" s="509">
        <f t="shared" si="5"/>
        <v>0</v>
      </c>
    </row>
    <row r="42" spans="2:21" s="465" customFormat="1" ht="24" customHeight="1">
      <c r="B42" s="466" t="s">
        <v>328</v>
      </c>
      <c r="C42" s="466" t="s">
        <v>327</v>
      </c>
      <c r="D42" s="467">
        <f t="shared" si="2"/>
        <v>5100000</v>
      </c>
      <c r="E42" s="468">
        <f t="shared" si="9"/>
        <v>0</v>
      </c>
      <c r="F42" s="468">
        <f t="shared" si="10"/>
        <v>0</v>
      </c>
      <c r="G42" s="468">
        <f t="shared" ref="G42" si="11">ROUND(K42*J42,-3)</f>
        <v>5100000</v>
      </c>
      <c r="H42" s="469">
        <v>0</v>
      </c>
      <c r="I42" s="471">
        <v>0</v>
      </c>
      <c r="J42" s="471">
        <v>1</v>
      </c>
      <c r="K42" s="470">
        <f>M42*P42</f>
        <v>5100000</v>
      </c>
      <c r="L42" s="477" t="s">
        <v>53</v>
      </c>
      <c r="M42" s="478">
        <v>300000</v>
      </c>
      <c r="N42" s="520" t="s">
        <v>57</v>
      </c>
      <c r="O42" s="521" t="s">
        <v>58</v>
      </c>
      <c r="P42" s="522">
        <v>17</v>
      </c>
      <c r="Q42" s="521" t="s">
        <v>56</v>
      </c>
      <c r="R42" s="523"/>
      <c r="S42" s="507"/>
      <c r="T42" s="508"/>
      <c r="U42" s="509">
        <f t="shared" ref="U42" si="12">IF(D42=K42,,"×")</f>
        <v>0</v>
      </c>
    </row>
    <row r="43" spans="2:21" s="465" customFormat="1" ht="24" customHeight="1">
      <c r="B43" s="466"/>
      <c r="C43" s="466" t="s">
        <v>324</v>
      </c>
      <c r="D43" s="467">
        <f t="shared" si="2"/>
        <v>0</v>
      </c>
      <c r="E43" s="468">
        <f t="shared" si="6"/>
        <v>0</v>
      </c>
      <c r="F43" s="468">
        <f t="shared" si="3"/>
        <v>0</v>
      </c>
      <c r="G43" s="468">
        <f t="shared" si="4"/>
        <v>0</v>
      </c>
      <c r="H43" s="469">
        <v>0</v>
      </c>
      <c r="I43" s="471">
        <v>0</v>
      </c>
      <c r="J43" s="471">
        <v>1</v>
      </c>
      <c r="K43" s="470">
        <v>0</v>
      </c>
      <c r="L43" s="488"/>
      <c r="M43" s="489"/>
      <c r="N43" s="489"/>
      <c r="O43" s="489"/>
      <c r="P43" s="489"/>
      <c r="Q43" s="489"/>
      <c r="R43" s="489"/>
      <c r="S43" s="489"/>
      <c r="T43" s="490"/>
      <c r="U43" s="509">
        <f t="shared" si="5"/>
        <v>0</v>
      </c>
    </row>
    <row r="44" spans="2:21" s="465" customFormat="1" ht="24" customHeight="1">
      <c r="B44" s="466"/>
      <c r="C44" s="466" t="s">
        <v>325</v>
      </c>
      <c r="D44" s="467">
        <f t="shared" si="2"/>
        <v>0</v>
      </c>
      <c r="E44" s="468">
        <f t="shared" si="6"/>
        <v>0</v>
      </c>
      <c r="F44" s="468">
        <f t="shared" si="3"/>
        <v>0</v>
      </c>
      <c r="G44" s="468">
        <f t="shared" si="4"/>
        <v>0</v>
      </c>
      <c r="H44" s="469">
        <v>0</v>
      </c>
      <c r="I44" s="471">
        <v>0</v>
      </c>
      <c r="J44" s="471">
        <v>1</v>
      </c>
      <c r="K44" s="470">
        <v>0</v>
      </c>
      <c r="L44" s="488"/>
      <c r="M44" s="489"/>
      <c r="N44" s="489"/>
      <c r="O44" s="489"/>
      <c r="P44" s="489"/>
      <c r="Q44" s="489"/>
      <c r="R44" s="489"/>
      <c r="S44" s="489"/>
      <c r="T44" s="490"/>
      <c r="U44" s="509">
        <f t="shared" si="5"/>
        <v>0</v>
      </c>
    </row>
    <row r="45" spans="2:21" s="465" customFormat="1" ht="24" customHeight="1">
      <c r="B45" s="466"/>
      <c r="C45" s="466" t="s">
        <v>326</v>
      </c>
      <c r="D45" s="467">
        <f t="shared" si="2"/>
        <v>0</v>
      </c>
      <c r="E45" s="468">
        <f t="shared" si="6"/>
        <v>0</v>
      </c>
      <c r="F45" s="468">
        <f t="shared" si="3"/>
        <v>0</v>
      </c>
      <c r="G45" s="468">
        <f t="shared" si="4"/>
        <v>0</v>
      </c>
      <c r="H45" s="469">
        <v>0</v>
      </c>
      <c r="I45" s="471">
        <v>0</v>
      </c>
      <c r="J45" s="471">
        <v>1</v>
      </c>
      <c r="K45" s="470">
        <f>M45*P45</f>
        <v>0</v>
      </c>
      <c r="L45" s="477" t="s">
        <v>344</v>
      </c>
      <c r="M45" s="478">
        <v>0</v>
      </c>
      <c r="N45" s="520" t="s">
        <v>345</v>
      </c>
      <c r="O45" s="521" t="s">
        <v>347</v>
      </c>
      <c r="P45" s="522">
        <v>0</v>
      </c>
      <c r="Q45" s="521" t="s">
        <v>348</v>
      </c>
      <c r="R45" s="523"/>
      <c r="S45" s="507"/>
      <c r="T45" s="508"/>
      <c r="U45" s="509">
        <f t="shared" si="5"/>
        <v>0</v>
      </c>
    </row>
    <row r="46" spans="2:21">
      <c r="K46" s="296"/>
      <c r="L46" s="464"/>
    </row>
    <row r="47" spans="2:21">
      <c r="K47" s="296"/>
      <c r="L47" s="464"/>
    </row>
    <row r="48" spans="2:21">
      <c r="K48" s="296"/>
      <c r="L48" s="464"/>
    </row>
    <row r="49" spans="11:12">
      <c r="K49" s="296"/>
      <c r="L49" s="464"/>
    </row>
    <row r="50" spans="11:12">
      <c r="K50" s="296"/>
      <c r="L50" s="464"/>
    </row>
    <row r="51" spans="11:12">
      <c r="K51" s="296"/>
      <c r="L51" s="464"/>
    </row>
    <row r="52" spans="11:12">
      <c r="K52" s="296"/>
    </row>
    <row r="53" spans="11:12">
      <c r="K53" s="296"/>
    </row>
    <row r="54" spans="11:12">
      <c r="K54" s="296"/>
    </row>
    <row r="55" spans="11:12">
      <c r="K55" s="296"/>
    </row>
    <row r="56" spans="11:12">
      <c r="K56" s="296"/>
    </row>
    <row r="57" spans="11:12">
      <c r="K57" s="296"/>
    </row>
    <row r="58" spans="11:12">
      <c r="K58" s="296"/>
    </row>
    <row r="59" spans="11:12">
      <c r="K59" s="296"/>
    </row>
    <row r="60" spans="11:12">
      <c r="K60" s="296"/>
    </row>
  </sheetData>
  <mergeCells count="8">
    <mergeCell ref="B4:C4"/>
    <mergeCell ref="B1:U1"/>
    <mergeCell ref="K2:K3"/>
    <mergeCell ref="U2:U3"/>
    <mergeCell ref="L2:T3"/>
    <mergeCell ref="B2:C3"/>
    <mergeCell ref="H2:J2"/>
    <mergeCell ref="D2:G2"/>
  </mergeCells>
  <phoneticPr fontId="9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9" sqref="F9"/>
    </sheetView>
  </sheetViews>
  <sheetFormatPr defaultRowHeight="13.5"/>
  <cols>
    <col min="1" max="1" width="20.88671875" bestFit="1" customWidth="1"/>
    <col min="2" max="2" width="25.88671875" bestFit="1" customWidth="1"/>
    <col min="3" max="3" width="12.6640625" bestFit="1" customWidth="1"/>
    <col min="4" max="14" width="11.5546875" bestFit="1" customWidth="1"/>
    <col min="15" max="15" width="12.6640625" bestFit="1" customWidth="1"/>
    <col min="18" max="20" width="8.88671875" customWidth="1"/>
  </cols>
  <sheetData>
    <row r="2" spans="1:15" ht="30" customHeight="1">
      <c r="A2" s="797" t="s">
        <v>93</v>
      </c>
      <c r="B2" s="466" t="s">
        <v>312</v>
      </c>
      <c r="C2" s="467">
        <f>보조금!D19</f>
        <v>64590000</v>
      </c>
    </row>
    <row r="3" spans="1:15" ht="30" customHeight="1">
      <c r="A3" s="797"/>
      <c r="B3" s="466" t="s">
        <v>313</v>
      </c>
      <c r="C3" s="467">
        <f>보조금!D20</f>
        <v>13838000</v>
      </c>
    </row>
    <row r="4" spans="1:15" ht="30" customHeight="1">
      <c r="A4" s="797"/>
      <c r="B4" s="598" t="s">
        <v>335</v>
      </c>
      <c r="C4" s="597">
        <f>SUM(C2:C3)</f>
        <v>78428000</v>
      </c>
      <c r="D4" s="599">
        <f>C4/12</f>
        <v>6535666.666666667</v>
      </c>
      <c r="E4" t="s">
        <v>443</v>
      </c>
    </row>
    <row r="6" spans="1:15" ht="24.95" customHeight="1" thickBot="1">
      <c r="A6" t="s">
        <v>398</v>
      </c>
    </row>
    <row r="7" spans="1:15" ht="24.95" customHeight="1" thickBot="1">
      <c r="A7" s="322" t="s">
        <v>181</v>
      </c>
      <c r="B7" s="603" t="s">
        <v>401</v>
      </c>
      <c r="C7" s="607" t="s">
        <v>388</v>
      </c>
      <c r="D7" s="602" t="s">
        <v>389</v>
      </c>
      <c r="E7" s="602" t="s">
        <v>390</v>
      </c>
      <c r="F7" s="602" t="s">
        <v>391</v>
      </c>
      <c r="G7" s="602" t="s">
        <v>392</v>
      </c>
      <c r="H7" s="602" t="s">
        <v>393</v>
      </c>
      <c r="I7" s="602" t="s">
        <v>394</v>
      </c>
      <c r="J7" s="602" t="s">
        <v>395</v>
      </c>
      <c r="K7" s="602" t="s">
        <v>396</v>
      </c>
      <c r="L7" s="602" t="s">
        <v>397</v>
      </c>
      <c r="M7" s="602" t="s">
        <v>399</v>
      </c>
      <c r="N7" s="617" t="s">
        <v>400</v>
      </c>
      <c r="O7" s="622" t="s">
        <v>335</v>
      </c>
    </row>
    <row r="8" spans="1:15" ht="24.95" customHeight="1">
      <c r="A8" s="604" t="s">
        <v>295</v>
      </c>
      <c r="B8" s="611" t="s">
        <v>435</v>
      </c>
      <c r="C8" s="608">
        <v>0</v>
      </c>
      <c r="D8" s="601">
        <v>150000</v>
      </c>
      <c r="E8" s="601">
        <v>0</v>
      </c>
      <c r="F8" s="601">
        <v>50000</v>
      </c>
      <c r="G8" s="601">
        <v>0</v>
      </c>
      <c r="H8" s="601">
        <v>0</v>
      </c>
      <c r="I8" s="601">
        <v>0</v>
      </c>
      <c r="J8" s="601">
        <v>0</v>
      </c>
      <c r="K8" s="601">
        <v>0</v>
      </c>
      <c r="L8" s="601">
        <v>0</v>
      </c>
      <c r="M8" s="601">
        <v>0</v>
      </c>
      <c r="N8" s="618">
        <v>0</v>
      </c>
      <c r="O8" s="623">
        <f>SUM(C8:N8)</f>
        <v>200000</v>
      </c>
    </row>
    <row r="9" spans="1:15" ht="24.95" customHeight="1">
      <c r="A9" s="605" t="s">
        <v>296</v>
      </c>
      <c r="B9" s="612" t="s">
        <v>296</v>
      </c>
      <c r="C9" s="609">
        <v>100000</v>
      </c>
      <c r="D9" s="600">
        <v>0</v>
      </c>
      <c r="E9" s="600">
        <v>0</v>
      </c>
      <c r="F9" s="600">
        <v>0</v>
      </c>
      <c r="G9" s="600">
        <v>0</v>
      </c>
      <c r="H9" s="600">
        <v>0</v>
      </c>
      <c r="I9" s="600">
        <v>0</v>
      </c>
      <c r="J9" s="600">
        <v>0</v>
      </c>
      <c r="K9" s="600">
        <v>0</v>
      </c>
      <c r="L9" s="600">
        <v>0</v>
      </c>
      <c r="M9" s="600">
        <v>0</v>
      </c>
      <c r="N9" s="619">
        <v>0</v>
      </c>
      <c r="O9" s="624">
        <f t="shared" ref="O9:O46" si="0">SUM(C9:N9)</f>
        <v>100000</v>
      </c>
    </row>
    <row r="10" spans="1:15" ht="24.95" customHeight="1">
      <c r="A10" s="794" t="s">
        <v>402</v>
      </c>
      <c r="B10" s="612" t="s">
        <v>403</v>
      </c>
      <c r="C10" s="609">
        <v>0</v>
      </c>
      <c r="D10" s="600">
        <v>100000</v>
      </c>
      <c r="E10" s="600">
        <v>300000</v>
      </c>
      <c r="F10" s="600"/>
      <c r="G10" s="600">
        <v>100000</v>
      </c>
      <c r="H10" s="600"/>
      <c r="I10" s="600">
        <v>100000</v>
      </c>
      <c r="J10" s="600">
        <v>0</v>
      </c>
      <c r="K10" s="600">
        <v>100000</v>
      </c>
      <c r="L10" s="600">
        <v>100000</v>
      </c>
      <c r="M10" s="600">
        <v>100000</v>
      </c>
      <c r="N10" s="619">
        <v>100000</v>
      </c>
      <c r="O10" s="624">
        <f t="shared" si="0"/>
        <v>1000000</v>
      </c>
    </row>
    <row r="11" spans="1:15" ht="24.95" customHeight="1">
      <c r="A11" s="795"/>
      <c r="B11" s="612" t="s">
        <v>404</v>
      </c>
      <c r="C11" s="609">
        <v>0</v>
      </c>
      <c r="D11" s="600">
        <v>100000</v>
      </c>
      <c r="E11" s="600">
        <v>200000</v>
      </c>
      <c r="F11" s="600"/>
      <c r="G11" s="600">
        <v>100000</v>
      </c>
      <c r="H11" s="600"/>
      <c r="I11" s="600">
        <v>100000</v>
      </c>
      <c r="J11" s="600">
        <v>0</v>
      </c>
      <c r="K11" s="600">
        <v>0</v>
      </c>
      <c r="L11" s="600">
        <v>100000</v>
      </c>
      <c r="M11" s="600">
        <v>100000</v>
      </c>
      <c r="N11" s="619">
        <v>150000</v>
      </c>
      <c r="O11" s="624">
        <f t="shared" si="0"/>
        <v>850000</v>
      </c>
    </row>
    <row r="12" spans="1:15" ht="24.95" customHeight="1">
      <c r="A12" s="795"/>
      <c r="B12" s="612" t="s">
        <v>458</v>
      </c>
      <c r="C12" s="609">
        <v>0</v>
      </c>
      <c r="D12" s="600">
        <v>52660</v>
      </c>
      <c r="E12" s="600">
        <v>200000</v>
      </c>
      <c r="F12" s="600">
        <v>121000</v>
      </c>
      <c r="G12" s="600">
        <v>121000</v>
      </c>
      <c r="H12" s="600">
        <v>121000</v>
      </c>
      <c r="I12" s="600">
        <v>121000</v>
      </c>
      <c r="J12" s="600">
        <v>121000</v>
      </c>
      <c r="K12" s="600">
        <v>121000</v>
      </c>
      <c r="L12" s="600">
        <v>121000</v>
      </c>
      <c r="M12" s="600">
        <v>121000</v>
      </c>
      <c r="N12" s="600">
        <v>121000</v>
      </c>
      <c r="O12" s="624">
        <f t="shared" si="0"/>
        <v>1341660</v>
      </c>
    </row>
    <row r="13" spans="1:15" ht="24.95" customHeight="1">
      <c r="A13" s="795"/>
      <c r="B13" s="612" t="s">
        <v>405</v>
      </c>
      <c r="C13" s="609">
        <v>300000</v>
      </c>
      <c r="D13" s="600"/>
      <c r="E13" s="600">
        <v>100000</v>
      </c>
      <c r="F13" s="600">
        <v>0</v>
      </c>
      <c r="G13" s="600"/>
      <c r="H13" s="600"/>
      <c r="I13" s="600">
        <v>150000</v>
      </c>
      <c r="J13" s="600"/>
      <c r="K13" s="600"/>
      <c r="L13" s="600">
        <v>150000</v>
      </c>
      <c r="M13" s="600"/>
      <c r="N13" s="619"/>
      <c r="O13" s="624">
        <f t="shared" si="0"/>
        <v>700000</v>
      </c>
    </row>
    <row r="14" spans="1:15" ht="24.95" customHeight="1">
      <c r="A14" s="795"/>
      <c r="B14" s="612" t="s">
        <v>406</v>
      </c>
      <c r="C14" s="609">
        <v>200660</v>
      </c>
      <c r="D14" s="600">
        <v>200000</v>
      </c>
      <c r="E14" s="600">
        <v>300000</v>
      </c>
      <c r="F14" s="600">
        <v>0</v>
      </c>
      <c r="G14" s="600">
        <v>200000</v>
      </c>
      <c r="H14" s="600">
        <v>200000</v>
      </c>
      <c r="I14" s="600">
        <v>200000</v>
      </c>
      <c r="J14" s="600">
        <v>200000</v>
      </c>
      <c r="K14" s="600">
        <v>200000</v>
      </c>
      <c r="L14" s="600">
        <v>300000</v>
      </c>
      <c r="M14" s="600">
        <v>200000</v>
      </c>
      <c r="N14" s="619">
        <v>200000</v>
      </c>
      <c r="O14" s="624">
        <f t="shared" si="0"/>
        <v>2400660</v>
      </c>
    </row>
    <row r="15" spans="1:15" ht="24.95" customHeight="1">
      <c r="A15" s="795"/>
      <c r="B15" s="612" t="s">
        <v>439</v>
      </c>
      <c r="C15" s="609">
        <v>0</v>
      </c>
      <c r="D15" s="600">
        <v>0</v>
      </c>
      <c r="E15" s="600">
        <v>152660</v>
      </c>
      <c r="F15" s="600">
        <v>0</v>
      </c>
      <c r="G15" s="600">
        <v>0</v>
      </c>
      <c r="H15" s="600">
        <v>0</v>
      </c>
      <c r="I15" s="600">
        <v>0</v>
      </c>
      <c r="J15" s="600">
        <v>0</v>
      </c>
      <c r="K15" s="600">
        <v>0</v>
      </c>
      <c r="L15" s="600">
        <v>0</v>
      </c>
      <c r="M15" s="600">
        <v>0</v>
      </c>
      <c r="N15" s="619">
        <v>0</v>
      </c>
      <c r="O15" s="624">
        <f t="shared" si="0"/>
        <v>152660</v>
      </c>
    </row>
    <row r="16" spans="1:15" ht="24.95" customHeight="1">
      <c r="A16" s="795"/>
      <c r="B16" s="612" t="s">
        <v>438</v>
      </c>
      <c r="C16" s="609">
        <v>100000</v>
      </c>
      <c r="D16" s="600"/>
      <c r="E16" s="600">
        <v>100000</v>
      </c>
      <c r="F16" s="600"/>
      <c r="G16" s="600">
        <v>135000</v>
      </c>
      <c r="H16" s="600">
        <v>100000</v>
      </c>
      <c r="I16" s="600">
        <v>35000</v>
      </c>
      <c r="J16" s="600">
        <v>85000</v>
      </c>
      <c r="K16" s="600">
        <v>100000</v>
      </c>
      <c r="L16" s="600">
        <v>300000</v>
      </c>
      <c r="M16" s="600"/>
      <c r="N16" s="619">
        <v>137660</v>
      </c>
      <c r="O16" s="624">
        <f t="shared" si="0"/>
        <v>1092660</v>
      </c>
    </row>
    <row r="17" spans="1:15" ht="24.95" customHeight="1">
      <c r="A17" s="795"/>
      <c r="B17" s="614" t="s">
        <v>407</v>
      </c>
      <c r="C17" s="615">
        <v>132000</v>
      </c>
      <c r="D17" s="616">
        <v>132000</v>
      </c>
      <c r="E17" s="616">
        <v>132000</v>
      </c>
      <c r="F17" s="616">
        <v>132000</v>
      </c>
      <c r="G17" s="616">
        <v>132000</v>
      </c>
      <c r="H17" s="616">
        <v>132000</v>
      </c>
      <c r="I17" s="616">
        <v>132000</v>
      </c>
      <c r="J17" s="616">
        <v>132000</v>
      </c>
      <c r="K17" s="616">
        <v>132000</v>
      </c>
      <c r="L17" s="616">
        <v>132000</v>
      </c>
      <c r="M17" s="616">
        <v>132000</v>
      </c>
      <c r="N17" s="620">
        <v>132000</v>
      </c>
      <c r="O17" s="625">
        <f t="shared" si="0"/>
        <v>1584000</v>
      </c>
    </row>
    <row r="18" spans="1:15" ht="24.95" customHeight="1">
      <c r="A18" s="795"/>
      <c r="B18" s="614" t="s">
        <v>408</v>
      </c>
      <c r="C18" s="615">
        <v>300000</v>
      </c>
      <c r="D18" s="616">
        <v>300000</v>
      </c>
      <c r="E18" s="616">
        <v>200000</v>
      </c>
      <c r="F18" s="616">
        <v>300000</v>
      </c>
      <c r="G18" s="616">
        <v>200000</v>
      </c>
      <c r="H18" s="616">
        <v>200000</v>
      </c>
      <c r="I18" s="616">
        <v>200000</v>
      </c>
      <c r="J18" s="616">
        <v>200000</v>
      </c>
      <c r="K18" s="616">
        <v>150000</v>
      </c>
      <c r="L18" s="616">
        <v>150000</v>
      </c>
      <c r="M18" s="616">
        <v>250000</v>
      </c>
      <c r="N18" s="620">
        <v>350000</v>
      </c>
      <c r="O18" s="625">
        <f t="shared" si="0"/>
        <v>2800000</v>
      </c>
    </row>
    <row r="19" spans="1:15" ht="24.95" customHeight="1">
      <c r="A19" s="798"/>
      <c r="B19" s="612" t="s">
        <v>409</v>
      </c>
      <c r="C19" s="609">
        <v>0</v>
      </c>
      <c r="D19" s="600">
        <v>0</v>
      </c>
      <c r="E19" s="600">
        <v>0</v>
      </c>
      <c r="F19" s="600">
        <v>0</v>
      </c>
      <c r="G19" s="600">
        <v>0</v>
      </c>
      <c r="H19" s="600">
        <v>1000000</v>
      </c>
      <c r="I19" s="600">
        <v>1000000</v>
      </c>
      <c r="J19" s="600">
        <v>500000</v>
      </c>
      <c r="K19" s="600">
        <v>0</v>
      </c>
      <c r="L19" s="600">
        <v>0</v>
      </c>
      <c r="M19" s="600">
        <v>0</v>
      </c>
      <c r="N19" s="619">
        <v>0</v>
      </c>
      <c r="O19" s="624">
        <f t="shared" si="0"/>
        <v>2500000</v>
      </c>
    </row>
    <row r="20" spans="1:15" ht="24.95" customHeight="1">
      <c r="A20" s="794" t="s">
        <v>297</v>
      </c>
      <c r="B20" s="614" t="s">
        <v>436</v>
      </c>
      <c r="C20" s="615">
        <v>100000</v>
      </c>
      <c r="D20" s="616">
        <v>100000</v>
      </c>
      <c r="E20" s="616">
        <v>100000</v>
      </c>
      <c r="F20" s="616">
        <v>100000</v>
      </c>
      <c r="G20" s="616">
        <v>100000</v>
      </c>
      <c r="H20" s="616">
        <v>100000</v>
      </c>
      <c r="I20" s="616">
        <v>100000</v>
      </c>
      <c r="J20" s="616">
        <v>100000</v>
      </c>
      <c r="K20" s="616">
        <v>100000</v>
      </c>
      <c r="L20" s="616">
        <v>100000</v>
      </c>
      <c r="M20" s="616">
        <v>100000</v>
      </c>
      <c r="N20" s="620">
        <v>100000</v>
      </c>
      <c r="O20" s="625">
        <f t="shared" si="0"/>
        <v>1200000</v>
      </c>
    </row>
    <row r="21" spans="1:15" ht="24.95" customHeight="1">
      <c r="A21" s="795"/>
      <c r="B21" s="614" t="s">
        <v>437</v>
      </c>
      <c r="C21" s="615">
        <v>1152000</v>
      </c>
      <c r="D21" s="616">
        <v>1400000</v>
      </c>
      <c r="E21" s="616">
        <v>600000</v>
      </c>
      <c r="F21" s="616">
        <v>1200000</v>
      </c>
      <c r="G21" s="616">
        <v>1200000</v>
      </c>
      <c r="H21" s="616">
        <v>1400000</v>
      </c>
      <c r="I21" s="616">
        <v>1600000</v>
      </c>
      <c r="J21" s="616">
        <v>1800000</v>
      </c>
      <c r="K21" s="616">
        <v>1500000</v>
      </c>
      <c r="L21" s="616">
        <v>1200000</v>
      </c>
      <c r="M21" s="616">
        <v>1300000</v>
      </c>
      <c r="N21" s="620">
        <v>1300000</v>
      </c>
      <c r="O21" s="625">
        <f t="shared" si="0"/>
        <v>15652000</v>
      </c>
    </row>
    <row r="22" spans="1:15" ht="24.95" customHeight="1">
      <c r="A22" s="795"/>
      <c r="B22" s="614" t="s">
        <v>410</v>
      </c>
      <c r="C22" s="615">
        <v>800000</v>
      </c>
      <c r="D22" s="616">
        <v>500000</v>
      </c>
      <c r="E22" s="616">
        <v>500000</v>
      </c>
      <c r="F22" s="616">
        <v>500000</v>
      </c>
      <c r="G22" s="616">
        <v>500000</v>
      </c>
      <c r="H22" s="616">
        <v>800000</v>
      </c>
      <c r="I22" s="616">
        <v>800000</v>
      </c>
      <c r="J22" s="616">
        <v>700000</v>
      </c>
      <c r="K22" s="616">
        <v>750000</v>
      </c>
      <c r="L22" s="616">
        <v>700000</v>
      </c>
      <c r="M22" s="616">
        <v>702660</v>
      </c>
      <c r="N22" s="620">
        <v>800000</v>
      </c>
      <c r="O22" s="625">
        <f t="shared" si="0"/>
        <v>8052660</v>
      </c>
    </row>
    <row r="23" spans="1:15" ht="24.95" customHeight="1">
      <c r="A23" s="798"/>
      <c r="B23" s="612" t="s">
        <v>411</v>
      </c>
      <c r="C23" s="609">
        <v>0</v>
      </c>
      <c r="D23" s="600">
        <v>50000</v>
      </c>
      <c r="E23" s="600">
        <v>0</v>
      </c>
      <c r="F23" s="600">
        <v>50660</v>
      </c>
      <c r="G23" s="600">
        <v>0</v>
      </c>
      <c r="H23" s="600">
        <v>2660</v>
      </c>
      <c r="I23" s="600">
        <v>52660</v>
      </c>
      <c r="J23" s="600">
        <v>52660</v>
      </c>
      <c r="K23" s="600">
        <v>52660</v>
      </c>
      <c r="L23" s="600">
        <v>37660</v>
      </c>
      <c r="M23" s="600">
        <v>50000</v>
      </c>
      <c r="N23" s="619">
        <v>0</v>
      </c>
      <c r="O23" s="624">
        <f t="shared" si="0"/>
        <v>348960</v>
      </c>
    </row>
    <row r="24" spans="1:15" ht="24.95" customHeight="1">
      <c r="A24" s="794" t="s">
        <v>412</v>
      </c>
      <c r="B24" s="614" t="s">
        <v>413</v>
      </c>
      <c r="C24" s="615">
        <v>120000</v>
      </c>
      <c r="D24" s="616">
        <v>120000</v>
      </c>
      <c r="E24" s="616">
        <v>120000</v>
      </c>
      <c r="F24" s="616">
        <v>120000</v>
      </c>
      <c r="G24" s="616">
        <v>120000</v>
      </c>
      <c r="H24" s="616">
        <v>120000</v>
      </c>
      <c r="I24" s="616">
        <v>120000</v>
      </c>
      <c r="J24" s="616">
        <v>120000</v>
      </c>
      <c r="K24" s="616">
        <v>120000</v>
      </c>
      <c r="L24" s="616">
        <v>120000</v>
      </c>
      <c r="M24" s="616">
        <v>120000</v>
      </c>
      <c r="N24" s="620">
        <v>120000</v>
      </c>
      <c r="O24" s="625">
        <f t="shared" si="0"/>
        <v>1440000</v>
      </c>
    </row>
    <row r="25" spans="1:15" ht="24.95" customHeight="1">
      <c r="A25" s="795"/>
      <c r="B25" s="614" t="s">
        <v>414</v>
      </c>
      <c r="C25" s="615">
        <v>120000</v>
      </c>
      <c r="D25" s="616">
        <v>120000</v>
      </c>
      <c r="E25" s="616">
        <v>120000</v>
      </c>
      <c r="F25" s="616">
        <v>120000</v>
      </c>
      <c r="G25" s="616">
        <v>120000</v>
      </c>
      <c r="H25" s="616">
        <v>120000</v>
      </c>
      <c r="I25" s="616">
        <v>120000</v>
      </c>
      <c r="J25" s="616">
        <v>120000</v>
      </c>
      <c r="K25" s="616">
        <v>120000</v>
      </c>
      <c r="L25" s="616">
        <v>120000</v>
      </c>
      <c r="M25" s="616">
        <v>120000</v>
      </c>
      <c r="N25" s="620">
        <v>120000</v>
      </c>
      <c r="O25" s="625">
        <f t="shared" si="0"/>
        <v>1440000</v>
      </c>
    </row>
    <row r="26" spans="1:15" ht="24.95" customHeight="1">
      <c r="A26" s="795"/>
      <c r="B26" s="612" t="s">
        <v>415</v>
      </c>
      <c r="C26" s="609"/>
      <c r="D26" s="600"/>
      <c r="E26" s="600">
        <v>450000</v>
      </c>
      <c r="F26" s="600"/>
      <c r="G26" s="600">
        <v>400000</v>
      </c>
      <c r="H26" s="600"/>
      <c r="I26" s="600">
        <v>300000</v>
      </c>
      <c r="J26" s="600"/>
      <c r="K26" s="600"/>
      <c r="L26" s="600">
        <v>600000</v>
      </c>
      <c r="M26" s="600">
        <v>700000</v>
      </c>
      <c r="N26" s="619"/>
      <c r="O26" s="624">
        <f t="shared" si="0"/>
        <v>2450000</v>
      </c>
    </row>
    <row r="27" spans="1:15" ht="24.95" customHeight="1">
      <c r="A27" s="795"/>
      <c r="B27" s="612" t="s">
        <v>416</v>
      </c>
      <c r="C27" s="609"/>
      <c r="D27" s="600"/>
      <c r="E27" s="600">
        <v>200000</v>
      </c>
      <c r="F27" s="600"/>
      <c r="G27" s="600"/>
      <c r="H27" s="600"/>
      <c r="I27" s="600"/>
      <c r="J27" s="600"/>
      <c r="K27" s="600"/>
      <c r="L27" s="600"/>
      <c r="M27" s="600"/>
      <c r="N27" s="619"/>
      <c r="O27" s="624">
        <f t="shared" si="0"/>
        <v>200000</v>
      </c>
    </row>
    <row r="28" spans="1:15" ht="24.95" customHeight="1">
      <c r="A28" s="795"/>
      <c r="B28" s="612" t="s">
        <v>417</v>
      </c>
      <c r="C28" s="609"/>
      <c r="D28" s="600"/>
      <c r="E28" s="600">
        <v>550000</v>
      </c>
      <c r="F28" s="600"/>
      <c r="G28" s="600"/>
      <c r="H28" s="600"/>
      <c r="I28" s="600"/>
      <c r="J28" s="600"/>
      <c r="K28" s="600"/>
      <c r="L28" s="600"/>
      <c r="M28" s="600"/>
      <c r="N28" s="619"/>
      <c r="O28" s="624">
        <f t="shared" si="0"/>
        <v>550000</v>
      </c>
    </row>
    <row r="29" spans="1:15" ht="24.95" customHeight="1">
      <c r="A29" s="795"/>
      <c r="B29" s="612" t="s">
        <v>418</v>
      </c>
      <c r="C29" s="609"/>
      <c r="D29" s="600"/>
      <c r="E29" s="600"/>
      <c r="F29" s="600"/>
      <c r="G29" s="600"/>
      <c r="H29" s="600">
        <v>350000</v>
      </c>
      <c r="I29" s="600"/>
      <c r="J29" s="600"/>
      <c r="K29" s="600"/>
      <c r="L29" s="600"/>
      <c r="M29" s="600"/>
      <c r="N29" s="619"/>
      <c r="O29" s="624">
        <f t="shared" si="0"/>
        <v>350000</v>
      </c>
    </row>
    <row r="30" spans="1:15" ht="24.95" customHeight="1">
      <c r="A30" s="795"/>
      <c r="B30" s="612" t="s">
        <v>419</v>
      </c>
      <c r="C30" s="609"/>
      <c r="D30" s="600"/>
      <c r="E30" s="600">
        <v>460000</v>
      </c>
      <c r="F30" s="600"/>
      <c r="G30" s="600"/>
      <c r="H30" s="600"/>
      <c r="I30" s="600"/>
      <c r="J30" s="600"/>
      <c r="K30" s="600">
        <v>400000</v>
      </c>
      <c r="L30" s="600"/>
      <c r="M30" s="600"/>
      <c r="N30" s="619"/>
      <c r="O30" s="624">
        <f t="shared" si="0"/>
        <v>860000</v>
      </c>
    </row>
    <row r="31" spans="1:15" ht="24.95" customHeight="1">
      <c r="A31" s="798"/>
      <c r="B31" s="612" t="s">
        <v>420</v>
      </c>
      <c r="C31" s="609"/>
      <c r="D31" s="600"/>
      <c r="E31" s="600"/>
      <c r="F31" s="600"/>
      <c r="G31" s="600"/>
      <c r="H31" s="600"/>
      <c r="I31" s="600">
        <v>0</v>
      </c>
      <c r="J31" s="600">
        <v>100000</v>
      </c>
      <c r="K31" s="600">
        <v>0</v>
      </c>
      <c r="L31" s="600">
        <v>200000</v>
      </c>
      <c r="M31" s="600">
        <v>0</v>
      </c>
      <c r="N31" s="619">
        <v>0</v>
      </c>
      <c r="O31" s="624">
        <f t="shared" si="0"/>
        <v>300000</v>
      </c>
    </row>
    <row r="32" spans="1:15" ht="24.95" customHeight="1">
      <c r="A32" s="605" t="s">
        <v>298</v>
      </c>
      <c r="B32" s="612" t="s">
        <v>421</v>
      </c>
      <c r="C32" s="609">
        <v>0</v>
      </c>
      <c r="D32" s="600">
        <v>200000</v>
      </c>
      <c r="E32" s="600">
        <v>0</v>
      </c>
      <c r="F32" s="600">
        <v>200000</v>
      </c>
      <c r="G32" s="600">
        <v>100000</v>
      </c>
      <c r="H32" s="600">
        <v>100000</v>
      </c>
      <c r="I32" s="600">
        <v>200000</v>
      </c>
      <c r="J32" s="600">
        <v>100000</v>
      </c>
      <c r="K32" s="600">
        <v>200000</v>
      </c>
      <c r="L32" s="600">
        <v>0</v>
      </c>
      <c r="M32" s="600">
        <v>200000</v>
      </c>
      <c r="N32" s="619">
        <v>100000</v>
      </c>
      <c r="O32" s="624">
        <f t="shared" si="0"/>
        <v>1400000</v>
      </c>
    </row>
    <row r="33" spans="1:15" ht="24.95" customHeight="1">
      <c r="A33" s="605" t="s">
        <v>88</v>
      </c>
      <c r="B33" s="612" t="s">
        <v>451</v>
      </c>
      <c r="C33" s="609">
        <v>0</v>
      </c>
      <c r="D33" s="600">
        <v>100000</v>
      </c>
      <c r="E33" s="600">
        <v>75000</v>
      </c>
      <c r="F33" s="600">
        <v>85000</v>
      </c>
      <c r="G33" s="600">
        <v>100000</v>
      </c>
      <c r="H33" s="600">
        <v>100000</v>
      </c>
      <c r="I33" s="600">
        <v>0</v>
      </c>
      <c r="J33" s="600">
        <v>0</v>
      </c>
      <c r="K33" s="600">
        <v>100000</v>
      </c>
      <c r="L33" s="600">
        <v>0</v>
      </c>
      <c r="M33" s="600">
        <v>0</v>
      </c>
      <c r="N33" s="619">
        <v>0</v>
      </c>
      <c r="O33" s="624">
        <f t="shared" si="0"/>
        <v>560000</v>
      </c>
    </row>
    <row r="34" spans="1:15" ht="24.95" customHeight="1">
      <c r="A34" s="794" t="s">
        <v>422</v>
      </c>
      <c r="B34" s="614" t="s">
        <v>423</v>
      </c>
      <c r="C34" s="615">
        <v>176000</v>
      </c>
      <c r="D34" s="616">
        <v>176000</v>
      </c>
      <c r="E34" s="616">
        <v>176000</v>
      </c>
      <c r="F34" s="616">
        <v>176000</v>
      </c>
      <c r="G34" s="616">
        <v>176000</v>
      </c>
      <c r="H34" s="616">
        <v>176000</v>
      </c>
      <c r="I34" s="616">
        <v>176000</v>
      </c>
      <c r="J34" s="616">
        <v>176000</v>
      </c>
      <c r="K34" s="616">
        <v>176000</v>
      </c>
      <c r="L34" s="616">
        <v>176000</v>
      </c>
      <c r="M34" s="616">
        <v>176000</v>
      </c>
      <c r="N34" s="620">
        <v>176000</v>
      </c>
      <c r="O34" s="625">
        <f t="shared" si="0"/>
        <v>2112000</v>
      </c>
    </row>
    <row r="35" spans="1:15" ht="24.95" customHeight="1">
      <c r="A35" s="798"/>
      <c r="B35" s="614" t="s">
        <v>424</v>
      </c>
      <c r="C35" s="615">
        <v>0</v>
      </c>
      <c r="D35" s="616">
        <v>100000</v>
      </c>
      <c r="E35" s="616">
        <v>100000</v>
      </c>
      <c r="F35" s="616">
        <v>100000</v>
      </c>
      <c r="G35" s="616">
        <v>100000</v>
      </c>
      <c r="H35" s="616">
        <v>100000</v>
      </c>
      <c r="I35" s="616">
        <v>100000</v>
      </c>
      <c r="J35" s="616">
        <v>100000</v>
      </c>
      <c r="K35" s="616">
        <v>100000</v>
      </c>
      <c r="L35" s="616">
        <v>100000</v>
      </c>
      <c r="M35" s="616">
        <v>100000</v>
      </c>
      <c r="N35" s="620">
        <v>100000</v>
      </c>
      <c r="O35" s="625">
        <f t="shared" si="0"/>
        <v>1100000</v>
      </c>
    </row>
    <row r="36" spans="1:15" ht="24.95" customHeight="1">
      <c r="A36" s="794" t="s">
        <v>425</v>
      </c>
      <c r="B36" s="612" t="s">
        <v>426</v>
      </c>
      <c r="C36" s="609">
        <v>300000</v>
      </c>
      <c r="D36" s="600">
        <v>300000</v>
      </c>
      <c r="E36" s="600">
        <v>1300000</v>
      </c>
      <c r="F36" s="600">
        <v>300000</v>
      </c>
      <c r="G36" s="600">
        <v>0</v>
      </c>
      <c r="H36" s="600">
        <v>300000</v>
      </c>
      <c r="I36" s="600">
        <v>300000</v>
      </c>
      <c r="J36" s="600">
        <v>300000</v>
      </c>
      <c r="K36" s="600">
        <v>300000</v>
      </c>
      <c r="L36" s="600">
        <v>450000</v>
      </c>
      <c r="M36" s="600">
        <v>400000</v>
      </c>
      <c r="N36" s="619">
        <v>300000</v>
      </c>
      <c r="O36" s="624">
        <f t="shared" si="0"/>
        <v>4550000</v>
      </c>
    </row>
    <row r="37" spans="1:15" ht="24.95" customHeight="1">
      <c r="A37" s="795"/>
      <c r="B37" s="612" t="s">
        <v>427</v>
      </c>
      <c r="C37" s="609">
        <v>0</v>
      </c>
      <c r="D37" s="600">
        <v>100000</v>
      </c>
      <c r="E37" s="600"/>
      <c r="F37" s="600">
        <v>0</v>
      </c>
      <c r="G37" s="600"/>
      <c r="H37" s="600">
        <v>0</v>
      </c>
      <c r="I37" s="600"/>
      <c r="J37" s="600">
        <v>0</v>
      </c>
      <c r="K37" s="600">
        <v>0</v>
      </c>
      <c r="L37" s="600">
        <v>0</v>
      </c>
      <c r="M37" s="600"/>
      <c r="N37" s="619"/>
      <c r="O37" s="624">
        <f t="shared" si="0"/>
        <v>100000</v>
      </c>
    </row>
    <row r="38" spans="1:15" ht="24.95" customHeight="1">
      <c r="A38" s="795"/>
      <c r="B38" s="612" t="s">
        <v>428</v>
      </c>
      <c r="C38" s="609">
        <v>100000</v>
      </c>
      <c r="D38" s="600">
        <v>100000</v>
      </c>
      <c r="E38" s="600">
        <v>100000</v>
      </c>
      <c r="F38" s="600">
        <v>100000</v>
      </c>
      <c r="G38" s="600">
        <v>100000</v>
      </c>
      <c r="H38" s="600">
        <v>100000</v>
      </c>
      <c r="I38" s="600">
        <v>100000</v>
      </c>
      <c r="J38" s="600">
        <v>100000</v>
      </c>
      <c r="K38" s="600">
        <v>100000</v>
      </c>
      <c r="L38" s="600">
        <v>100000</v>
      </c>
      <c r="M38" s="600">
        <v>100000</v>
      </c>
      <c r="N38" s="619">
        <v>100000</v>
      </c>
      <c r="O38" s="624">
        <f t="shared" si="0"/>
        <v>1200000</v>
      </c>
    </row>
    <row r="39" spans="1:15" ht="24.95" customHeight="1">
      <c r="A39" s="795"/>
      <c r="B39" s="612" t="s">
        <v>429</v>
      </c>
      <c r="C39" s="609"/>
      <c r="D39" s="600"/>
      <c r="E39" s="600"/>
      <c r="F39" s="600"/>
      <c r="G39" s="600"/>
      <c r="H39" s="600"/>
      <c r="I39" s="600"/>
      <c r="J39" s="600"/>
      <c r="K39" s="600"/>
      <c r="L39" s="600"/>
      <c r="M39" s="600"/>
      <c r="N39" s="619"/>
      <c r="O39" s="624">
        <f t="shared" si="0"/>
        <v>0</v>
      </c>
    </row>
    <row r="40" spans="1:15" ht="24.95" customHeight="1">
      <c r="A40" s="798"/>
      <c r="B40" s="612" t="s">
        <v>430</v>
      </c>
      <c r="C40" s="609"/>
      <c r="D40" s="600"/>
      <c r="E40" s="600"/>
      <c r="F40" s="600"/>
      <c r="G40" s="600"/>
      <c r="H40" s="600"/>
      <c r="I40" s="600"/>
      <c r="J40" s="600"/>
      <c r="K40" s="600"/>
      <c r="L40" s="600"/>
      <c r="M40" s="600"/>
      <c r="N40" s="619"/>
      <c r="O40" s="624">
        <f t="shared" si="0"/>
        <v>0</v>
      </c>
    </row>
    <row r="41" spans="1:15" ht="24.95" customHeight="1">
      <c r="A41" s="605" t="s">
        <v>431</v>
      </c>
      <c r="B41" s="612" t="s">
        <v>432</v>
      </c>
      <c r="C41" s="609">
        <v>300000</v>
      </c>
      <c r="D41" s="600">
        <v>0</v>
      </c>
      <c r="E41" s="600">
        <v>0</v>
      </c>
      <c r="F41" s="600">
        <v>0</v>
      </c>
      <c r="G41" s="600">
        <v>0</v>
      </c>
      <c r="H41" s="600">
        <v>185000</v>
      </c>
      <c r="I41" s="600">
        <v>100000</v>
      </c>
      <c r="J41" s="600">
        <v>0</v>
      </c>
      <c r="K41" s="600">
        <v>100000</v>
      </c>
      <c r="L41" s="600">
        <v>0</v>
      </c>
      <c r="M41" s="600">
        <v>100000</v>
      </c>
      <c r="N41" s="619">
        <v>100000</v>
      </c>
      <c r="O41" s="624">
        <f t="shared" si="0"/>
        <v>885000</v>
      </c>
    </row>
    <row r="42" spans="1:15" ht="24.95" customHeight="1">
      <c r="A42" s="794" t="s">
        <v>440</v>
      </c>
      <c r="B42" s="614" t="s">
        <v>441</v>
      </c>
      <c r="C42" s="615">
        <v>2235000</v>
      </c>
      <c r="D42" s="616">
        <v>1800000</v>
      </c>
      <c r="E42" s="616">
        <v>0</v>
      </c>
      <c r="F42" s="616">
        <v>1400000</v>
      </c>
      <c r="G42" s="616">
        <v>900000</v>
      </c>
      <c r="H42" s="616">
        <v>600000</v>
      </c>
      <c r="I42" s="616">
        <v>400000</v>
      </c>
      <c r="J42" s="616">
        <v>400000</v>
      </c>
      <c r="K42" s="616">
        <v>800000</v>
      </c>
      <c r="L42" s="616">
        <v>0</v>
      </c>
      <c r="M42" s="616">
        <v>1235000</v>
      </c>
      <c r="N42" s="620">
        <v>1700000</v>
      </c>
      <c r="O42" s="625">
        <f t="shared" si="0"/>
        <v>11470000</v>
      </c>
    </row>
    <row r="43" spans="1:15" ht="24.95" customHeight="1">
      <c r="A43" s="798"/>
      <c r="B43" s="614" t="s">
        <v>442</v>
      </c>
      <c r="C43" s="615">
        <v>0</v>
      </c>
      <c r="D43" s="616">
        <v>335000</v>
      </c>
      <c r="E43" s="616">
        <v>0</v>
      </c>
      <c r="F43" s="616">
        <v>350000</v>
      </c>
      <c r="G43" s="616">
        <v>300000</v>
      </c>
      <c r="H43" s="616">
        <v>550000</v>
      </c>
      <c r="I43" s="616">
        <v>0</v>
      </c>
      <c r="J43" s="616">
        <v>250000</v>
      </c>
      <c r="K43" s="616">
        <v>235000</v>
      </c>
      <c r="L43" s="616">
        <v>550000</v>
      </c>
      <c r="M43" s="616">
        <v>50000</v>
      </c>
      <c r="N43" s="620">
        <v>50000</v>
      </c>
      <c r="O43" s="625">
        <f t="shared" si="0"/>
        <v>2670000</v>
      </c>
    </row>
    <row r="44" spans="1:15" ht="24.95" customHeight="1">
      <c r="A44" s="794" t="s">
        <v>433</v>
      </c>
      <c r="B44" s="612" t="s">
        <v>459</v>
      </c>
      <c r="C44" s="609"/>
      <c r="D44" s="600"/>
      <c r="E44" s="600"/>
      <c r="F44" s="600">
        <v>1000000</v>
      </c>
      <c r="G44" s="600">
        <v>1000000</v>
      </c>
      <c r="H44" s="600"/>
      <c r="I44" s="600"/>
      <c r="J44" s="600"/>
      <c r="K44" s="600">
        <v>0</v>
      </c>
      <c r="L44" s="600"/>
      <c r="M44" s="600"/>
      <c r="N44" s="619"/>
      <c r="O44" s="624">
        <f t="shared" si="0"/>
        <v>2000000</v>
      </c>
    </row>
    <row r="45" spans="1:15" ht="24.95" customHeight="1">
      <c r="A45" s="795"/>
      <c r="B45" s="612" t="s">
        <v>444</v>
      </c>
      <c r="C45" s="609">
        <v>0</v>
      </c>
      <c r="D45" s="600">
        <v>0</v>
      </c>
      <c r="E45" s="600">
        <v>0</v>
      </c>
      <c r="F45" s="600">
        <v>0</v>
      </c>
      <c r="G45" s="600">
        <v>0</v>
      </c>
      <c r="H45" s="600">
        <v>0</v>
      </c>
      <c r="I45" s="600">
        <v>0</v>
      </c>
      <c r="J45" s="600">
        <v>0</v>
      </c>
      <c r="K45" s="600">
        <v>0</v>
      </c>
      <c r="L45" s="600">
        <v>400000</v>
      </c>
      <c r="M45" s="600">
        <v>0</v>
      </c>
      <c r="N45" s="619">
        <v>0</v>
      </c>
      <c r="O45" s="624">
        <f t="shared" si="0"/>
        <v>400000</v>
      </c>
    </row>
    <row r="46" spans="1:15" ht="24.95" customHeight="1" thickBot="1">
      <c r="A46" s="796"/>
      <c r="B46" s="613" t="s">
        <v>434</v>
      </c>
      <c r="C46" s="610">
        <v>0</v>
      </c>
      <c r="D46" s="606">
        <v>0</v>
      </c>
      <c r="E46" s="606"/>
      <c r="F46" s="606">
        <v>100000</v>
      </c>
      <c r="G46" s="606">
        <v>100000</v>
      </c>
      <c r="H46" s="606">
        <v>300000</v>
      </c>
      <c r="I46" s="606">
        <v>100000</v>
      </c>
      <c r="J46" s="606">
        <v>100000</v>
      </c>
      <c r="K46" s="606">
        <v>300000</v>
      </c>
      <c r="L46" s="606">
        <v>100000</v>
      </c>
      <c r="M46" s="606">
        <v>100000</v>
      </c>
      <c r="N46" s="621">
        <v>300000</v>
      </c>
      <c r="O46" s="626">
        <f t="shared" si="0"/>
        <v>1500000</v>
      </c>
    </row>
    <row r="47" spans="1:15" ht="24.95" customHeight="1">
      <c r="C47" s="296">
        <f>SUM(C8:C46)</f>
        <v>6535660</v>
      </c>
      <c r="D47" s="296">
        <f t="shared" ref="D47:J47" si="1">SUM(D8:D46)</f>
        <v>6535660</v>
      </c>
      <c r="E47" s="296">
        <f t="shared" si="1"/>
        <v>6535660</v>
      </c>
      <c r="F47" s="296">
        <f t="shared" si="1"/>
        <v>6504660</v>
      </c>
      <c r="G47" s="296">
        <f t="shared" si="1"/>
        <v>6304000</v>
      </c>
      <c r="H47" s="296">
        <f t="shared" si="1"/>
        <v>7156660</v>
      </c>
      <c r="I47" s="296">
        <f t="shared" si="1"/>
        <v>6606660</v>
      </c>
      <c r="J47" s="296">
        <f t="shared" si="1"/>
        <v>5756660</v>
      </c>
      <c r="K47" s="296">
        <f>SUM(K8:K46)</f>
        <v>6256660</v>
      </c>
      <c r="L47" s="296">
        <f>SUM(L8:L46)</f>
        <v>6306660</v>
      </c>
      <c r="M47" s="296">
        <f t="shared" ref="M47" si="2">SUM(M8:M46)</f>
        <v>6456660</v>
      </c>
      <c r="N47" s="296">
        <f>SUM(N8:N46)</f>
        <v>6556660</v>
      </c>
      <c r="O47" s="296">
        <f t="shared" ref="O47" si="3">SUM(O8:O46)</f>
        <v>77512260</v>
      </c>
    </row>
    <row r="48" spans="1:15" ht="24.95" customHeight="1">
      <c r="C48" s="296">
        <v>6535660</v>
      </c>
      <c r="D48" s="296">
        <v>6535660</v>
      </c>
      <c r="E48" s="296">
        <v>6535660</v>
      </c>
      <c r="F48" s="296">
        <v>6535660</v>
      </c>
      <c r="G48" s="296">
        <v>6535660</v>
      </c>
      <c r="H48" s="296">
        <v>6535660</v>
      </c>
      <c r="I48" s="296">
        <v>6535660</v>
      </c>
      <c r="J48" s="296">
        <v>6535660</v>
      </c>
      <c r="K48" s="296">
        <v>6535660</v>
      </c>
      <c r="L48" s="296">
        <v>6535660</v>
      </c>
      <c r="M48" s="296">
        <v>6535660</v>
      </c>
      <c r="N48" s="296">
        <v>6535660</v>
      </c>
      <c r="O48" s="596">
        <f>SUM(C48:N48)</f>
        <v>78427920</v>
      </c>
    </row>
    <row r="49" spans="3:14" ht="24.95" customHeight="1">
      <c r="C49" s="596">
        <f>C48-C47</f>
        <v>0</v>
      </c>
      <c r="D49" s="596">
        <f t="shared" ref="D49:N49" si="4">D48-D47</f>
        <v>0</v>
      </c>
      <c r="E49" s="596">
        <f t="shared" si="4"/>
        <v>0</v>
      </c>
      <c r="F49" s="596">
        <f t="shared" si="4"/>
        <v>31000</v>
      </c>
      <c r="G49" s="596">
        <f t="shared" si="4"/>
        <v>231660</v>
      </c>
      <c r="H49" s="596">
        <f t="shared" si="4"/>
        <v>-621000</v>
      </c>
      <c r="I49" s="596">
        <f t="shared" si="4"/>
        <v>-71000</v>
      </c>
      <c r="J49" s="596">
        <f t="shared" si="4"/>
        <v>779000</v>
      </c>
      <c r="K49" s="596">
        <f t="shared" si="4"/>
        <v>279000</v>
      </c>
      <c r="L49" s="596">
        <f>L48-L47</f>
        <v>229000</v>
      </c>
      <c r="M49" s="596">
        <f t="shared" si="4"/>
        <v>79000</v>
      </c>
      <c r="N49" s="596">
        <f t="shared" si="4"/>
        <v>-21000</v>
      </c>
    </row>
    <row r="50" spans="3:14" ht="24.95" customHeight="1"/>
    <row r="51" spans="3:14" ht="24.95" customHeight="1"/>
    <row r="52" spans="3:14" ht="24.95" customHeight="1"/>
    <row r="53" spans="3:14" ht="24.95" customHeight="1"/>
    <row r="54" spans="3:14" ht="24.95" customHeight="1"/>
    <row r="55" spans="3:14" ht="24.95" customHeight="1"/>
    <row r="56" spans="3:14" ht="24.95" customHeight="1"/>
    <row r="57" spans="3:14" ht="24.95" customHeight="1"/>
    <row r="58" spans="3:14" ht="24.95" customHeight="1"/>
    <row r="59" spans="3:14" ht="24.95" customHeight="1"/>
  </sheetData>
  <mergeCells count="8">
    <mergeCell ref="A44:A46"/>
    <mergeCell ref="A2:A4"/>
    <mergeCell ref="A10:A19"/>
    <mergeCell ref="A20:A23"/>
    <mergeCell ref="A24:A31"/>
    <mergeCell ref="A34:A35"/>
    <mergeCell ref="A36:A40"/>
    <mergeCell ref="A42:A4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12" sqref="E12"/>
    </sheetView>
  </sheetViews>
  <sheetFormatPr defaultRowHeight="16.5"/>
  <cols>
    <col min="1" max="1" width="13.44140625" style="685" bestFit="1" customWidth="1"/>
    <col min="2" max="6" width="12.6640625" style="685" bestFit="1" customWidth="1"/>
    <col min="7" max="7" width="10.5546875" style="685" bestFit="1" customWidth="1"/>
    <col min="8" max="16384" width="8.88671875" style="685"/>
  </cols>
  <sheetData>
    <row r="1" spans="1:7" ht="20.100000000000001" customHeight="1">
      <c r="A1" s="799" t="s">
        <v>628</v>
      </c>
      <c r="B1" s="800"/>
      <c r="C1" s="800"/>
      <c r="D1" s="800"/>
      <c r="E1" s="800"/>
      <c r="F1" s="800"/>
    </row>
    <row r="2" spans="1:7" ht="20.100000000000001" customHeight="1">
      <c r="A2" s="687" t="s">
        <v>625</v>
      </c>
      <c r="B2" s="687" t="s">
        <v>624</v>
      </c>
      <c r="C2" s="687" t="s">
        <v>623</v>
      </c>
      <c r="D2" s="687" t="s">
        <v>622</v>
      </c>
      <c r="E2" s="687" t="s">
        <v>621</v>
      </c>
      <c r="F2" s="687" t="s">
        <v>620</v>
      </c>
    </row>
    <row r="3" spans="1:7" ht="20.100000000000001" customHeight="1">
      <c r="A3" s="689" t="s">
        <v>619</v>
      </c>
      <c r="B3" s="688">
        <v>5884000</v>
      </c>
      <c r="C3" s="688">
        <v>6272000</v>
      </c>
      <c r="D3" s="688">
        <v>6174000</v>
      </c>
      <c r="E3" s="688">
        <v>6174000</v>
      </c>
      <c r="F3" s="688">
        <f t="shared" ref="F3:F13" si="0">SUM(B3:E3)</f>
        <v>24504000</v>
      </c>
    </row>
    <row r="4" spans="1:7" ht="20.100000000000001" customHeight="1">
      <c r="A4" s="689" t="s">
        <v>618</v>
      </c>
      <c r="B4" s="688">
        <v>0</v>
      </c>
      <c r="C4" s="688">
        <v>0</v>
      </c>
      <c r="D4" s="688">
        <v>0</v>
      </c>
      <c r="E4" s="688">
        <v>0</v>
      </c>
      <c r="F4" s="688">
        <f t="shared" si="0"/>
        <v>0</v>
      </c>
    </row>
    <row r="5" spans="1:7" ht="20.100000000000001" customHeight="1">
      <c r="A5" s="689" t="s">
        <v>617</v>
      </c>
      <c r="B5" s="688">
        <v>1165800</v>
      </c>
      <c r="C5" s="688">
        <v>-14930</v>
      </c>
      <c r="D5" s="688">
        <v>1234800</v>
      </c>
      <c r="E5" s="688">
        <v>0</v>
      </c>
      <c r="F5" s="688">
        <f t="shared" si="0"/>
        <v>2385670</v>
      </c>
    </row>
    <row r="6" spans="1:7" ht="20.100000000000001" customHeight="1">
      <c r="A6" s="689" t="s">
        <v>616</v>
      </c>
      <c r="B6" s="688">
        <v>697000</v>
      </c>
      <c r="C6" s="688">
        <v>1107750</v>
      </c>
      <c r="D6" s="688">
        <v>1107630</v>
      </c>
      <c r="E6" s="688">
        <v>1403030</v>
      </c>
      <c r="F6" s="688">
        <f t="shared" si="0"/>
        <v>4315410</v>
      </c>
    </row>
    <row r="7" spans="1:7" ht="20.100000000000001" customHeight="1">
      <c r="A7" s="689" t="s">
        <v>615</v>
      </c>
      <c r="B7" s="688">
        <v>670560</v>
      </c>
      <c r="C7" s="688">
        <v>638720</v>
      </c>
      <c r="D7" s="688">
        <v>734710</v>
      </c>
      <c r="E7" s="688">
        <v>656400</v>
      </c>
      <c r="F7" s="688">
        <f t="shared" si="0"/>
        <v>2700390</v>
      </c>
    </row>
    <row r="8" spans="1:7" ht="20.100000000000001" customHeight="1">
      <c r="A8" s="689" t="s">
        <v>614</v>
      </c>
      <c r="B8" s="688">
        <v>322770</v>
      </c>
      <c r="C8" s="688">
        <v>322770</v>
      </c>
      <c r="D8" s="688">
        <v>340740</v>
      </c>
      <c r="E8" s="688">
        <v>340740</v>
      </c>
      <c r="F8" s="688">
        <f t="shared" si="0"/>
        <v>1327020</v>
      </c>
    </row>
    <row r="9" spans="1:7" ht="20.100000000000001" customHeight="1">
      <c r="A9" s="689" t="s">
        <v>613</v>
      </c>
      <c r="B9" s="688">
        <v>231990</v>
      </c>
      <c r="C9" s="688">
        <v>288990</v>
      </c>
      <c r="D9" s="688">
        <v>253830</v>
      </c>
      <c r="E9" s="688">
        <v>252390</v>
      </c>
      <c r="F9" s="688">
        <f t="shared" si="0"/>
        <v>1027200</v>
      </c>
    </row>
    <row r="10" spans="1:7" ht="20.100000000000001" customHeight="1">
      <c r="A10" s="689" t="s">
        <v>612</v>
      </c>
      <c r="B10" s="688">
        <v>64530</v>
      </c>
      <c r="C10" s="688">
        <v>64530</v>
      </c>
      <c r="D10" s="688">
        <v>91130</v>
      </c>
      <c r="E10" s="688">
        <v>69660</v>
      </c>
      <c r="F10" s="688">
        <f t="shared" si="0"/>
        <v>289850</v>
      </c>
    </row>
    <row r="11" spans="1:7" ht="20.100000000000001" customHeight="1">
      <c r="A11" s="689" t="s">
        <v>611</v>
      </c>
      <c r="B11" s="688">
        <v>55950</v>
      </c>
      <c r="C11" s="688">
        <v>56400</v>
      </c>
      <c r="D11" s="688">
        <v>74370</v>
      </c>
      <c r="E11" s="688">
        <v>58830</v>
      </c>
      <c r="F11" s="688">
        <f t="shared" si="0"/>
        <v>245550</v>
      </c>
    </row>
    <row r="12" spans="1:7" ht="20.100000000000001" customHeight="1">
      <c r="A12" s="689" t="s">
        <v>610</v>
      </c>
      <c r="B12" s="688">
        <v>300000</v>
      </c>
      <c r="C12" s="688">
        <v>300000</v>
      </c>
      <c r="D12" s="688">
        <v>300000</v>
      </c>
      <c r="E12" s="688">
        <v>300000</v>
      </c>
      <c r="F12" s="688">
        <f t="shared" si="0"/>
        <v>1200000</v>
      </c>
    </row>
    <row r="13" spans="1:7" ht="20.100000000000001" customHeight="1">
      <c r="A13" s="689" t="s">
        <v>609</v>
      </c>
      <c r="B13" s="688"/>
      <c r="C13" s="688"/>
      <c r="D13" s="688"/>
      <c r="E13" s="688"/>
      <c r="F13" s="688">
        <f t="shared" si="0"/>
        <v>0</v>
      </c>
    </row>
    <row r="14" spans="1:7" ht="17.25" thickBot="1">
      <c r="A14" s="689"/>
      <c r="B14" s="688"/>
      <c r="C14" s="688"/>
      <c r="D14" s="688"/>
      <c r="E14" s="688"/>
      <c r="F14" s="688"/>
    </row>
    <row r="15" spans="1:7" ht="20.100000000000001" customHeight="1" thickBot="1">
      <c r="A15" s="687" t="s">
        <v>598</v>
      </c>
      <c r="B15" s="686">
        <f>SUM(B3:B14)</f>
        <v>9392600</v>
      </c>
      <c r="C15" s="686">
        <f>SUM(C3:C14)</f>
        <v>9036230</v>
      </c>
      <c r="D15" s="686">
        <f>SUM(D3:D14)</f>
        <v>10311210</v>
      </c>
      <c r="E15" s="686">
        <f>SUM(E3:E14)</f>
        <v>9255050</v>
      </c>
      <c r="F15" s="690">
        <f>SUM(B15:E15)</f>
        <v>37995090</v>
      </c>
      <c r="G15" s="691">
        <f>SUM(F3:F13)</f>
        <v>37995090</v>
      </c>
    </row>
    <row r="16" spans="1:7">
      <c r="A16" s="689"/>
      <c r="B16" s="688"/>
      <c r="C16" s="688"/>
      <c r="D16" s="688"/>
      <c r="E16" s="688"/>
      <c r="F16" s="688"/>
    </row>
    <row r="17" spans="1:7" ht="20.100000000000001" customHeight="1">
      <c r="A17" s="689" t="s">
        <v>608</v>
      </c>
      <c r="B17" s="688">
        <v>116100</v>
      </c>
      <c r="C17" s="688">
        <v>116100</v>
      </c>
      <c r="D17" s="688">
        <v>116100</v>
      </c>
      <c r="E17" s="688">
        <v>110700</v>
      </c>
      <c r="F17" s="688">
        <f t="shared" ref="F17:F28" si="1">SUM(B17:E17)</f>
        <v>459000</v>
      </c>
    </row>
    <row r="18" spans="1:7" ht="20.100000000000001" customHeight="1">
      <c r="A18" s="689" t="s">
        <v>607</v>
      </c>
      <c r="B18" s="688">
        <v>300000</v>
      </c>
      <c r="C18" s="688">
        <v>300000</v>
      </c>
      <c r="D18" s="688">
        <v>300000</v>
      </c>
      <c r="E18" s="688">
        <v>180470</v>
      </c>
      <c r="F18" s="688">
        <f t="shared" si="1"/>
        <v>1080470</v>
      </c>
    </row>
    <row r="19" spans="1:7" ht="20.100000000000001" customHeight="1">
      <c r="A19" s="689" t="s">
        <v>606</v>
      </c>
      <c r="B19" s="688">
        <v>1050000</v>
      </c>
      <c r="C19" s="688">
        <v>650000</v>
      </c>
      <c r="D19" s="688">
        <v>500000</v>
      </c>
      <c r="E19" s="688">
        <v>420000</v>
      </c>
      <c r="F19" s="688">
        <f t="shared" si="1"/>
        <v>2620000</v>
      </c>
    </row>
    <row r="20" spans="1:7" ht="20.100000000000001" customHeight="1">
      <c r="A20" s="689" t="s">
        <v>605</v>
      </c>
      <c r="B20" s="688">
        <v>126000</v>
      </c>
      <c r="C20" s="688">
        <v>126000</v>
      </c>
      <c r="D20" s="688">
        <v>126000</v>
      </c>
      <c r="E20" s="688">
        <v>80000</v>
      </c>
      <c r="F20" s="688">
        <f t="shared" si="1"/>
        <v>458000</v>
      </c>
    </row>
    <row r="21" spans="1:7" ht="20.100000000000001" customHeight="1">
      <c r="A21" s="689" t="s">
        <v>604</v>
      </c>
      <c r="B21" s="688">
        <v>2400000</v>
      </c>
      <c r="C21" s="688">
        <v>2100000</v>
      </c>
      <c r="D21" s="688">
        <v>1900000</v>
      </c>
      <c r="E21" s="688">
        <v>741110</v>
      </c>
      <c r="F21" s="688">
        <f t="shared" si="1"/>
        <v>7141110</v>
      </c>
    </row>
    <row r="22" spans="1:7" ht="20.100000000000001" customHeight="1">
      <c r="A22" s="689" t="s">
        <v>603</v>
      </c>
      <c r="B22" s="688">
        <v>277200</v>
      </c>
      <c r="C22" s="688">
        <v>277200</v>
      </c>
      <c r="D22" s="688">
        <v>277200</v>
      </c>
      <c r="E22" s="688">
        <v>277200</v>
      </c>
      <c r="F22" s="688">
        <f t="shared" si="1"/>
        <v>1108800</v>
      </c>
    </row>
    <row r="23" spans="1:7" ht="20.100000000000001" customHeight="1">
      <c r="A23" s="689" t="s">
        <v>602</v>
      </c>
      <c r="B23" s="688">
        <v>150000</v>
      </c>
      <c r="C23" s="688">
        <v>150000</v>
      </c>
      <c r="D23" s="688">
        <v>150000</v>
      </c>
      <c r="E23" s="688">
        <v>127400</v>
      </c>
      <c r="F23" s="688">
        <f t="shared" si="1"/>
        <v>577400</v>
      </c>
    </row>
    <row r="24" spans="1:7" ht="20.100000000000001" customHeight="1">
      <c r="A24" s="689" t="s">
        <v>601</v>
      </c>
      <c r="B24" s="688">
        <v>250000</v>
      </c>
      <c r="C24" s="688">
        <v>0</v>
      </c>
      <c r="D24" s="688">
        <v>350000</v>
      </c>
      <c r="E24" s="688">
        <v>400000</v>
      </c>
      <c r="F24" s="688">
        <f t="shared" si="1"/>
        <v>1000000</v>
      </c>
    </row>
    <row r="25" spans="1:7" ht="20.100000000000001" customHeight="1">
      <c r="A25" s="689" t="s">
        <v>600</v>
      </c>
      <c r="B25" s="688">
        <v>160000</v>
      </c>
      <c r="C25" s="688">
        <v>0</v>
      </c>
      <c r="D25" s="688">
        <v>0</v>
      </c>
      <c r="E25" s="688">
        <v>0</v>
      </c>
      <c r="F25" s="688">
        <f t="shared" si="1"/>
        <v>160000</v>
      </c>
    </row>
    <row r="26" spans="1:7" ht="20.100000000000001" customHeight="1">
      <c r="A26" s="689" t="s">
        <v>599</v>
      </c>
      <c r="B26" s="688">
        <v>0</v>
      </c>
      <c r="C26" s="688">
        <v>0</v>
      </c>
      <c r="D26" s="688">
        <v>0</v>
      </c>
      <c r="E26" s="688">
        <v>20130</v>
      </c>
      <c r="F26" s="688">
        <f t="shared" si="1"/>
        <v>20130</v>
      </c>
    </row>
    <row r="27" spans="1:7" ht="17.25" thickBot="1">
      <c r="A27" s="689"/>
      <c r="B27" s="688"/>
      <c r="C27" s="688"/>
      <c r="D27" s="688"/>
      <c r="E27" s="688"/>
      <c r="F27" s="688">
        <f t="shared" si="1"/>
        <v>0</v>
      </c>
    </row>
    <row r="28" spans="1:7" ht="20.100000000000001" customHeight="1" thickBot="1">
      <c r="A28" s="687" t="s">
        <v>598</v>
      </c>
      <c r="B28" s="686">
        <f>SUM(B17:B27)</f>
        <v>4829300</v>
      </c>
      <c r="C28" s="686">
        <f>SUM(C17:C27)</f>
        <v>3719300</v>
      </c>
      <c r="D28" s="686">
        <f>SUM(D17:D27)</f>
        <v>3719300</v>
      </c>
      <c r="E28" s="686">
        <f>SUM(E17:E27)</f>
        <v>2357010</v>
      </c>
      <c r="F28" s="690">
        <f t="shared" si="1"/>
        <v>14624910</v>
      </c>
      <c r="G28" s="691">
        <f>SUM(F17:F26)</f>
        <v>14624910</v>
      </c>
    </row>
    <row r="29" spans="1:7">
      <c r="A29" s="689"/>
      <c r="B29" s="688"/>
      <c r="C29" s="688"/>
      <c r="D29" s="688"/>
      <c r="E29" s="688"/>
      <c r="F29" s="688"/>
    </row>
    <row r="30" spans="1:7" ht="20.100000000000001" customHeight="1">
      <c r="A30" s="687" t="s">
        <v>597</v>
      </c>
      <c r="B30" s="686">
        <f>B15+B28</f>
        <v>14221900</v>
      </c>
      <c r="C30" s="686">
        <f>C15+C28</f>
        <v>12755530</v>
      </c>
      <c r="D30" s="686">
        <f>D15+D28</f>
        <v>14030510</v>
      </c>
      <c r="E30" s="686">
        <f>E15+E28</f>
        <v>11612060</v>
      </c>
      <c r="F30" s="686">
        <f>F15+F28</f>
        <v>52620000</v>
      </c>
    </row>
  </sheetData>
  <mergeCells count="1">
    <mergeCell ref="A1:F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10</vt:i4>
      </vt:variant>
    </vt:vector>
  </HeadingPairs>
  <TitlesOfParts>
    <vt:vector size="18" baseType="lpstr">
      <vt:lpstr>세입세출총괄표</vt:lpstr>
      <vt:lpstr>세입</vt:lpstr>
      <vt:lpstr>세출</vt:lpstr>
      <vt:lpstr>추경세입명세서</vt:lpstr>
      <vt:lpstr>추경세출명세서</vt:lpstr>
      <vt:lpstr>보조금</vt:lpstr>
      <vt:lpstr>운영비배정</vt:lpstr>
      <vt:lpstr>보조금 배정표</vt:lpstr>
      <vt:lpstr>세입!Print_Area</vt:lpstr>
      <vt:lpstr>보조금!Print_Titles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2016-12-14T18:04:46Z</cp:lastPrinted>
  <dcterms:created xsi:type="dcterms:W3CDTF">2003-12-18T04:11:57Z</dcterms:created>
  <dcterms:modified xsi:type="dcterms:W3CDTF">2019-06-04T07:41:56Z</dcterms:modified>
</cp:coreProperties>
</file>