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세입!$A$1:$Y$292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59" i="5"/>
  <c r="X203" i="29"/>
  <c r="X227"/>
  <c r="AD16" i="5"/>
  <c r="AD267"/>
  <c r="X163" i="29"/>
  <c r="E240"/>
  <c r="E255"/>
  <c r="AD89" i="5"/>
  <c r="E282" i="29"/>
  <c r="X251"/>
  <c r="AD150" i="5" l="1"/>
  <c r="AD274"/>
  <c r="AD173"/>
  <c r="AD141"/>
  <c r="X237" i="29"/>
  <c r="F253"/>
  <c r="G253" s="1"/>
  <c r="H253" s="1"/>
  <c r="F251"/>
  <c r="F258"/>
  <c r="G258" s="1"/>
  <c r="F256"/>
  <c r="X255"/>
  <c r="H258"/>
  <c r="X230"/>
  <c r="AD118" i="5"/>
  <c r="AD206"/>
  <c r="AD164"/>
  <c r="AD163" s="1"/>
  <c r="X235" i="29"/>
  <c r="X234" s="1"/>
  <c r="X224"/>
  <c r="X221"/>
  <c r="X219"/>
  <c r="X218" s="1"/>
  <c r="X216"/>
  <c r="X215"/>
  <c r="X214"/>
  <c r="X213"/>
  <c r="X212"/>
  <c r="X208"/>
  <c r="X207"/>
  <c r="X206"/>
  <c r="X205"/>
  <c r="X204"/>
  <c r="E232"/>
  <c r="X22"/>
  <c r="X24"/>
  <c r="X15"/>
  <c r="M109"/>
  <c r="X109" s="1"/>
  <c r="M110"/>
  <c r="M108"/>
  <c r="M45"/>
  <c r="X45" s="1"/>
  <c r="M46"/>
  <c r="M44"/>
  <c r="X232" l="1"/>
  <c r="F233" s="1"/>
  <c r="F232" s="1"/>
  <c r="F255"/>
  <c r="X211"/>
  <c r="AD306" i="5"/>
  <c r="X200" i="29" l="1"/>
  <c r="AD325" i="5"/>
  <c r="AD200" l="1"/>
  <c r="AD225"/>
  <c r="X188" i="29"/>
  <c r="AD149" i="5"/>
  <c r="AD158"/>
  <c r="AD64"/>
  <c r="AD160"/>
  <c r="X286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19" i="5" l="1"/>
  <c r="X144" i="29" l="1"/>
  <c r="AD242" i="5"/>
  <c r="AD235" l="1"/>
  <c r="AD219" l="1"/>
  <c r="S38"/>
  <c r="X148" i="29"/>
  <c r="M150"/>
  <c r="X113"/>
  <c r="M119"/>
  <c r="M122" s="1"/>
  <c r="X122" s="1"/>
  <c r="M55"/>
  <c r="M58" s="1"/>
  <c r="X287"/>
  <c r="AD207" i="5"/>
  <c r="AD201"/>
  <c r="X6" i="29"/>
  <c r="X166"/>
  <c r="M153" l="1"/>
  <c r="X153" s="1"/>
  <c r="M154" s="1"/>
  <c r="X150"/>
  <c r="M156"/>
  <c r="M155"/>
  <c r="M152"/>
  <c r="X152" s="1"/>
  <c r="M121"/>
  <c r="M125"/>
  <c r="X125" s="1"/>
  <c r="M124"/>
  <c r="X124" s="1"/>
  <c r="M57"/>
  <c r="X57" s="1"/>
  <c r="M61"/>
  <c r="M60"/>
  <c r="X55"/>
  <c r="X266" l="1"/>
  <c r="X244"/>
  <c r="X241"/>
  <c r="AD161" i="5" l="1"/>
  <c r="I27" i="18"/>
  <c r="I23"/>
  <c r="I16"/>
  <c r="I12"/>
  <c r="I8"/>
  <c r="D22"/>
  <c r="D20"/>
  <c r="D18"/>
  <c r="D15"/>
  <c r="D10"/>
  <c r="D8"/>
  <c r="AD65" i="5"/>
  <c r="AD226"/>
  <c r="AD228"/>
  <c r="AD218"/>
  <c r="D7" i="18" l="1"/>
  <c r="I7"/>
  <c r="AD331" i="5"/>
  <c r="AD236"/>
  <c r="AD205"/>
  <c r="X16" i="29" l="1"/>
  <c r="X132"/>
  <c r="X117"/>
  <c r="X44"/>
  <c r="X36"/>
  <c r="X184" l="1"/>
  <c r="M26"/>
  <c r="X26" s="1"/>
  <c r="X146"/>
  <c r="X51"/>
  <c r="AD69" i="5" l="1"/>
  <c r="L363"/>
  <c r="K363"/>
  <c r="J363"/>
  <c r="I363"/>
  <c r="H363"/>
  <c r="G363"/>
  <c r="F363"/>
  <c r="J360"/>
  <c r="L360"/>
  <c r="K360"/>
  <c r="I360"/>
  <c r="H360"/>
  <c r="G360"/>
  <c r="F360"/>
  <c r="L347"/>
  <c r="K347"/>
  <c r="J347"/>
  <c r="I347"/>
  <c r="H347"/>
  <c r="G347"/>
  <c r="F347"/>
  <c r="L340"/>
  <c r="K340"/>
  <c r="H340"/>
  <c r="G340"/>
  <c r="F340"/>
  <c r="L331"/>
  <c r="K331"/>
  <c r="J331"/>
  <c r="I331"/>
  <c r="H331"/>
  <c r="G331"/>
  <c r="F331"/>
  <c r="L325"/>
  <c r="K325"/>
  <c r="J325"/>
  <c r="I325"/>
  <c r="H325"/>
  <c r="G325"/>
  <c r="F325"/>
  <c r="L319"/>
  <c r="K319"/>
  <c r="J319"/>
  <c r="I319"/>
  <c r="H319"/>
  <c r="G319"/>
  <c r="F319"/>
  <c r="L306"/>
  <c r="K306"/>
  <c r="J306"/>
  <c r="I306"/>
  <c r="H306"/>
  <c r="G306"/>
  <c r="F306"/>
  <c r="L299"/>
  <c r="K299"/>
  <c r="J299"/>
  <c r="I299"/>
  <c r="H299"/>
  <c r="G299"/>
  <c r="F299"/>
  <c r="L294"/>
  <c r="K294"/>
  <c r="J294"/>
  <c r="I294"/>
  <c r="H294"/>
  <c r="G294"/>
  <c r="F294"/>
  <c r="L290"/>
  <c r="K290"/>
  <c r="I290"/>
  <c r="H290"/>
  <c r="G290"/>
  <c r="F290"/>
  <c r="L281"/>
  <c r="K281"/>
  <c r="J281"/>
  <c r="I281"/>
  <c r="H281"/>
  <c r="G281"/>
  <c r="F281"/>
  <c r="L274"/>
  <c r="K274"/>
  <c r="J274"/>
  <c r="I274"/>
  <c r="H274"/>
  <c r="G274"/>
  <c r="F274"/>
  <c r="L267"/>
  <c r="K267"/>
  <c r="J267"/>
  <c r="I267"/>
  <c r="H267"/>
  <c r="G267"/>
  <c r="F267"/>
  <c r="L260"/>
  <c r="K260"/>
  <c r="J260"/>
  <c r="I260"/>
  <c r="H260"/>
  <c r="G260"/>
  <c r="F260"/>
  <c r="L248"/>
  <c r="K248"/>
  <c r="H248"/>
  <c r="G248"/>
  <c r="L242"/>
  <c r="K242"/>
  <c r="J242"/>
  <c r="I242"/>
  <c r="H242"/>
  <c r="G242"/>
  <c r="F242"/>
  <c r="L233"/>
  <c r="K233"/>
  <c r="J233"/>
  <c r="H233"/>
  <c r="G233"/>
  <c r="L222"/>
  <c r="K222"/>
  <c r="J222"/>
  <c r="L217"/>
  <c r="K217"/>
  <c r="I217"/>
  <c r="G217"/>
  <c r="F217"/>
  <c r="L212"/>
  <c r="K212"/>
  <c r="J212"/>
  <c r="I212"/>
  <c r="H212"/>
  <c r="G212"/>
  <c r="F212"/>
  <c r="K198"/>
  <c r="J198"/>
  <c r="I198"/>
  <c r="G198"/>
  <c r="L183"/>
  <c r="K183"/>
  <c r="J183"/>
  <c r="I183"/>
  <c r="H183"/>
  <c r="G183"/>
  <c r="L173"/>
  <c r="K173"/>
  <c r="J173"/>
  <c r="H173"/>
  <c r="G173"/>
  <c r="F173"/>
  <c r="L170"/>
  <c r="K170"/>
  <c r="J170"/>
  <c r="I170"/>
  <c r="H170"/>
  <c r="G170"/>
  <c r="F170"/>
  <c r="L144"/>
  <c r="J144"/>
  <c r="H144"/>
  <c r="G144"/>
  <c r="L138"/>
  <c r="K138"/>
  <c r="J138"/>
  <c r="I138"/>
  <c r="H138"/>
  <c r="L123"/>
  <c r="K123"/>
  <c r="J123"/>
  <c r="I123"/>
  <c r="H123"/>
  <c r="G123"/>
  <c r="L114"/>
  <c r="K114"/>
  <c r="J114"/>
  <c r="I114"/>
  <c r="H114"/>
  <c r="G114"/>
  <c r="L91"/>
  <c r="K91"/>
  <c r="J91"/>
  <c r="H91"/>
  <c r="G91"/>
  <c r="L88"/>
  <c r="J88"/>
  <c r="H88"/>
  <c r="G88"/>
  <c r="F88"/>
  <c r="J83"/>
  <c r="I83"/>
  <c r="H83"/>
  <c r="G83"/>
  <c r="F83"/>
  <c r="L81"/>
  <c r="K81"/>
  <c r="J81"/>
  <c r="I81"/>
  <c r="H81"/>
  <c r="G81"/>
  <c r="F81"/>
  <c r="L78"/>
  <c r="K78"/>
  <c r="J78"/>
  <c r="I78"/>
  <c r="H78"/>
  <c r="G78"/>
  <c r="F78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E22" i="18" l="1"/>
  <c r="F222" i="5"/>
  <c r="AD95"/>
  <c r="AD105"/>
  <c r="AD85"/>
  <c r="AD83" s="1"/>
  <c r="F241" i="29"/>
  <c r="G241" l="1"/>
  <c r="H241" s="1"/>
  <c r="K83" i="5"/>
  <c r="L83"/>
  <c r="X119" i="29"/>
  <c r="AD294" i="5"/>
  <c r="AD38"/>
  <c r="X183" i="29"/>
  <c r="X182" s="1"/>
  <c r="M123" l="1"/>
  <c r="X58"/>
  <c r="M59" s="1"/>
  <c r="X59" s="1"/>
  <c r="X155"/>
  <c r="X61"/>
  <c r="X156"/>
  <c r="X60"/>
  <c r="AD234" i="5" l="1"/>
  <c r="F144"/>
  <c r="AD117"/>
  <c r="AD116"/>
  <c r="AD100"/>
  <c r="I88"/>
  <c r="AD251"/>
  <c r="AD250"/>
  <c r="AD199"/>
  <c r="AD7"/>
  <c r="X20" i="29"/>
  <c r="F13" i="18" l="1"/>
  <c r="I222" i="5" l="1"/>
  <c r="I173"/>
  <c r="X169" i="29"/>
  <c r="X7" l="1"/>
  <c r="X5" s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2"/>
  <c r="G182" s="1"/>
  <c r="H182" s="1"/>
  <c r="E186"/>
  <c r="X187"/>
  <c r="E192"/>
  <c r="H192" s="1"/>
  <c r="H193"/>
  <c r="X193"/>
  <c r="X192" s="1"/>
  <c r="E195"/>
  <c r="H195" s="1"/>
  <c r="X195"/>
  <c r="F196"/>
  <c r="F195" s="1"/>
  <c r="H196"/>
  <c r="E199"/>
  <c r="X199"/>
  <c r="X247"/>
  <c r="X240" s="1"/>
  <c r="G251"/>
  <c r="H251" s="1"/>
  <c r="E261"/>
  <c r="H261" s="1"/>
  <c r="H262"/>
  <c r="X261"/>
  <c r="E265"/>
  <c r="E264" s="1"/>
  <c r="X265"/>
  <c r="E270"/>
  <c r="X271"/>
  <c r="X270" s="1"/>
  <c r="X284"/>
  <c r="X288"/>
  <c r="X290"/>
  <c r="X289" s="1"/>
  <c r="F247" l="1"/>
  <c r="G247" s="1"/>
  <c r="H247" s="1"/>
  <c r="X283"/>
  <c r="X282" s="1"/>
  <c r="X264" s="1"/>
  <c r="F289"/>
  <c r="X102"/>
  <c r="F102" s="1"/>
  <c r="G102" s="1"/>
  <c r="H102" s="1"/>
  <c r="F271"/>
  <c r="G271" s="1"/>
  <c r="H271" s="1"/>
  <c r="M91"/>
  <c r="X91" s="1"/>
  <c r="X88"/>
  <c r="X158"/>
  <c r="X127"/>
  <c r="F127" s="1"/>
  <c r="G127" s="1"/>
  <c r="H127" s="1"/>
  <c r="X50"/>
  <c r="X43"/>
  <c r="F43" s="1"/>
  <c r="G43" s="1"/>
  <c r="H43" s="1"/>
  <c r="X141"/>
  <c r="F200"/>
  <c r="G200" s="1"/>
  <c r="H200" s="1"/>
  <c r="G168"/>
  <c r="H168" s="1"/>
  <c r="E191"/>
  <c r="H191" s="1"/>
  <c r="G195"/>
  <c r="X14"/>
  <c r="F14" s="1"/>
  <c r="E171"/>
  <c r="X80"/>
  <c r="E239"/>
  <c r="G196"/>
  <c r="F262"/>
  <c r="G262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1"/>
  <c r="X131"/>
  <c r="F131" s="1"/>
  <c r="G131" s="1"/>
  <c r="H131" s="1"/>
  <c r="X70"/>
  <c r="F70" s="1"/>
  <c r="G70" s="1"/>
  <c r="H70" s="1"/>
  <c r="G169"/>
  <c r="H169" s="1"/>
  <c r="F163"/>
  <c r="G163" s="1"/>
  <c r="H163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8"/>
  <c r="E12"/>
  <c r="F5"/>
  <c r="F187"/>
  <c r="X186"/>
  <c r="F173"/>
  <c r="X172"/>
  <c r="G256"/>
  <c r="H256" s="1"/>
  <c r="G255"/>
  <c r="H255" s="1"/>
  <c r="F266"/>
  <c r="F244"/>
  <c r="F240" s="1"/>
  <c r="F193"/>
  <c r="M32"/>
  <c r="X32" s="1"/>
  <c r="G289" l="1"/>
  <c r="H289" s="1"/>
  <c r="X154"/>
  <c r="M30"/>
  <c r="X30" s="1"/>
  <c r="M93"/>
  <c r="X93" s="1"/>
  <c r="F199"/>
  <c r="G199" s="1"/>
  <c r="H199" s="1"/>
  <c r="F270"/>
  <c r="G270" s="1"/>
  <c r="H270" s="1"/>
  <c r="F261"/>
  <c r="G261" s="1"/>
  <c r="X120"/>
  <c r="X112" s="1"/>
  <c r="F283"/>
  <c r="X239"/>
  <c r="X56"/>
  <c r="X48" s="1"/>
  <c r="F48" s="1"/>
  <c r="G48" s="1"/>
  <c r="H48" s="1"/>
  <c r="G107"/>
  <c r="H107" s="1"/>
  <c r="G266"/>
  <c r="H266" s="1"/>
  <c r="F265"/>
  <c r="G14"/>
  <c r="H14" s="1"/>
  <c r="G187"/>
  <c r="H187" s="1"/>
  <c r="F186"/>
  <c r="G186" s="1"/>
  <c r="H186" s="1"/>
  <c r="G193"/>
  <c r="F192"/>
  <c r="G173"/>
  <c r="H173" s="1"/>
  <c r="F172"/>
  <c r="G244"/>
  <c r="H244" s="1"/>
  <c r="G5"/>
  <c r="E4"/>
  <c r="X171"/>
  <c r="G283" l="1"/>
  <c r="H283" s="1"/>
  <c r="F282"/>
  <c r="G282" s="1"/>
  <c r="H282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5"/>
  <c r="H265" s="1"/>
  <c r="F239"/>
  <c r="G239" s="1"/>
  <c r="H239" s="1"/>
  <c r="G240"/>
  <c r="H240" s="1"/>
  <c r="F191"/>
  <c r="G191" s="1"/>
  <c r="G192"/>
  <c r="F264" l="1"/>
  <c r="G264" s="1"/>
  <c r="H264" s="1"/>
  <c r="F78"/>
  <c r="X42"/>
  <c r="X13"/>
  <c r="F13"/>
  <c r="G13" s="1"/>
  <c r="H13" s="1"/>
  <c r="F139"/>
  <c r="G139" s="1"/>
  <c r="H139" s="1"/>
  <c r="X106"/>
  <c r="G112"/>
  <c r="H112" s="1"/>
  <c r="G78" l="1"/>
  <c r="H78" s="1"/>
  <c r="F42"/>
  <c r="G42" s="1"/>
  <c r="H42" s="1"/>
  <c r="X12"/>
  <c r="F106"/>
  <c r="G106" s="1"/>
  <c r="H106" s="1"/>
  <c r="F12" l="1"/>
  <c r="G12" l="1"/>
  <c r="AD94" i="5"/>
  <c r="AD92"/>
  <c r="AD255"/>
  <c r="K241"/>
  <c r="H241"/>
  <c r="G241"/>
  <c r="D241"/>
  <c r="AD342"/>
  <c r="I340" s="1"/>
  <c r="E325"/>
  <c r="M325" s="1"/>
  <c r="N325" s="1"/>
  <c r="AD319"/>
  <c r="E319" s="1"/>
  <c r="M319" s="1"/>
  <c r="N319" s="1"/>
  <c r="AD299"/>
  <c r="E299" s="1"/>
  <c r="M299" s="1"/>
  <c r="N299" s="1"/>
  <c r="E294"/>
  <c r="M294" s="1"/>
  <c r="N294" s="1"/>
  <c r="AD290"/>
  <c r="AD281"/>
  <c r="E281" s="1"/>
  <c r="M281" s="1"/>
  <c r="N281" s="1"/>
  <c r="L241"/>
  <c r="E267"/>
  <c r="M267" s="1"/>
  <c r="N267" s="1"/>
  <c r="E242"/>
  <c r="M242" s="1"/>
  <c r="N242" s="1"/>
  <c r="AD27"/>
  <c r="F248" l="1"/>
  <c r="F241" s="1"/>
  <c r="AD248"/>
  <c r="J248"/>
  <c r="I248"/>
  <c r="AD340"/>
  <c r="E340" s="1"/>
  <c r="M340" s="1"/>
  <c r="N340" s="1"/>
  <c r="J340"/>
  <c r="J290"/>
  <c r="E306"/>
  <c r="M306" s="1"/>
  <c r="N306" s="1"/>
  <c r="E331"/>
  <c r="M331" s="1"/>
  <c r="N331" s="1"/>
  <c r="H12" i="29"/>
  <c r="E290" i="5"/>
  <c r="M290" s="1"/>
  <c r="N290" s="1"/>
  <c r="I241" l="1"/>
  <c r="J241"/>
  <c r="AD66" l="1"/>
  <c r="F233"/>
  <c r="I233"/>
  <c r="I144"/>
  <c r="AD126"/>
  <c r="AD99"/>
  <c r="AD93"/>
  <c r="AD96" l="1"/>
  <c r="F91" s="1"/>
  <c r="J217" l="1"/>
  <c r="AD220"/>
  <c r="H217" s="1"/>
  <c r="AD347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E248" i="5" l="1"/>
  <c r="M248" l="1"/>
  <c r="N248" s="1"/>
  <c r="AD157"/>
  <c r="AD145" s="1"/>
  <c r="AD144" s="1"/>
  <c r="E144" s="1"/>
  <c r="AD139" l="1"/>
  <c r="AD208" l="1"/>
  <c r="E274" l="1"/>
  <c r="M274" s="1"/>
  <c r="N274" s="1"/>
  <c r="AD260"/>
  <c r="AD241" s="1"/>
  <c r="S36"/>
  <c r="S34"/>
  <c r="AD34" s="1"/>
  <c r="AD36" l="1"/>
  <c r="E260"/>
  <c r="E241" s="1"/>
  <c r="F198"/>
  <c r="F32"/>
  <c r="AD224"/>
  <c r="G222" s="1"/>
  <c r="AD35" l="1"/>
  <c r="G32"/>
  <c r="M260"/>
  <c r="N260" s="1"/>
  <c r="AD68" l="1"/>
  <c r="AD74"/>
  <c r="L62" s="1"/>
  <c r="AD73"/>
  <c r="I62" s="1"/>
  <c r="D362" l="1"/>
  <c r="D359"/>
  <c r="D346"/>
  <c r="D169"/>
  <c r="D168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40" i="5"/>
  <c r="AD71"/>
  <c r="G62" s="1"/>
  <c r="F138" l="1"/>
  <c r="G138"/>
  <c r="F7" i="18"/>
  <c r="AD138" i="5"/>
  <c r="AD202"/>
  <c r="AD19"/>
  <c r="D197"/>
  <c r="D196" s="1"/>
  <c r="D87"/>
  <c r="D77"/>
  <c r="S44"/>
  <c r="AD44" s="1"/>
  <c r="S48" l="1"/>
  <c r="AD48" s="1"/>
  <c r="S43"/>
  <c r="AD43" s="1"/>
  <c r="F362"/>
  <c r="G362"/>
  <c r="H362"/>
  <c r="I362"/>
  <c r="J362"/>
  <c r="K362"/>
  <c r="L362"/>
  <c r="AD363"/>
  <c r="AD362" s="1"/>
  <c r="F359"/>
  <c r="G359"/>
  <c r="H359"/>
  <c r="I359"/>
  <c r="J359"/>
  <c r="K359"/>
  <c r="L359"/>
  <c r="I346"/>
  <c r="J346"/>
  <c r="K346"/>
  <c r="L346"/>
  <c r="H346"/>
  <c r="G346"/>
  <c r="F346"/>
  <c r="G87"/>
  <c r="H87"/>
  <c r="G197"/>
  <c r="K197"/>
  <c r="AD212"/>
  <c r="AD209"/>
  <c r="AD185"/>
  <c r="AD184"/>
  <c r="G169"/>
  <c r="G168" s="1"/>
  <c r="H169"/>
  <c r="H168" s="1"/>
  <c r="I169"/>
  <c r="I168" s="1"/>
  <c r="J169"/>
  <c r="J168" s="1"/>
  <c r="K169"/>
  <c r="K168" s="1"/>
  <c r="L169"/>
  <c r="L168" s="1"/>
  <c r="AD170"/>
  <c r="E170" s="1"/>
  <c r="M170" s="1"/>
  <c r="N170" s="1"/>
  <c r="AD115"/>
  <c r="F114" s="1"/>
  <c r="J87"/>
  <c r="J6"/>
  <c r="G77"/>
  <c r="H77"/>
  <c r="I77"/>
  <c r="J77"/>
  <c r="L77"/>
  <c r="AD78"/>
  <c r="F183" l="1"/>
  <c r="F169" s="1"/>
  <c r="F168" s="1"/>
  <c r="AD183"/>
  <c r="AD169" s="1"/>
  <c r="L198"/>
  <c r="AD88"/>
  <c r="K88"/>
  <c r="AD114"/>
  <c r="AD233"/>
  <c r="S56"/>
  <c r="AD56" s="1"/>
  <c r="S52"/>
  <c r="AD52" s="1"/>
  <c r="S47"/>
  <c r="AD47" s="1"/>
  <c r="E363"/>
  <c r="K196"/>
  <c r="J5"/>
  <c r="G196"/>
  <c r="AD42"/>
  <c r="G40" l="1"/>
  <c r="S55"/>
  <c r="AD55" s="1"/>
  <c r="S60"/>
  <c r="AD60" s="1"/>
  <c r="J197"/>
  <c r="S59" l="1"/>
  <c r="AD59" s="1"/>
  <c r="AD54"/>
  <c r="S51"/>
  <c r="AD51" s="1"/>
  <c r="AD46"/>
  <c r="J196"/>
  <c r="J4" s="1"/>
  <c r="I197"/>
  <c r="AD217"/>
  <c r="E217" s="1"/>
  <c r="AD58" l="1"/>
  <c r="AD50"/>
  <c r="F40"/>
  <c r="I196"/>
  <c r="E7"/>
  <c r="M7" l="1"/>
  <c r="K18"/>
  <c r="AD40" l="1"/>
  <c r="E40" s="1"/>
  <c r="M40" s="1"/>
  <c r="N40" s="1"/>
  <c r="AD33"/>
  <c r="F6" l="1"/>
  <c r="AD346" l="1"/>
  <c r="K144"/>
  <c r="F77"/>
  <c r="AD63"/>
  <c r="AD62" s="1"/>
  <c r="AD23"/>
  <c r="AD18" s="1"/>
  <c r="AD15"/>
  <c r="AD125"/>
  <c r="AD127"/>
  <c r="AD111"/>
  <c r="AD112"/>
  <c r="AD203"/>
  <c r="AD198" s="1"/>
  <c r="AD204"/>
  <c r="AD223"/>
  <c r="H222" s="1"/>
  <c r="H198" l="1"/>
  <c r="F123"/>
  <c r="F87" s="1"/>
  <c r="F5" s="1"/>
  <c r="AD37"/>
  <c r="K32"/>
  <c r="K62"/>
  <c r="AD13"/>
  <c r="G13"/>
  <c r="AD123"/>
  <c r="E123" s="1"/>
  <c r="M123" s="1"/>
  <c r="N123" s="1"/>
  <c r="H6"/>
  <c r="H5" s="1"/>
  <c r="L197"/>
  <c r="L196" s="1"/>
  <c r="E198"/>
  <c r="K87"/>
  <c r="AD222"/>
  <c r="E222" s="1"/>
  <c r="M222" s="1"/>
  <c r="N222" s="1"/>
  <c r="I6"/>
  <c r="L87"/>
  <c r="L6"/>
  <c r="E173"/>
  <c r="M173" s="1"/>
  <c r="N173" s="1"/>
  <c r="E62"/>
  <c r="E18"/>
  <c r="N7"/>
  <c r="E183"/>
  <c r="AD110"/>
  <c r="E78"/>
  <c r="E88"/>
  <c r="E212"/>
  <c r="M212" s="1"/>
  <c r="N212" s="1"/>
  <c r="E347"/>
  <c r="AD32" l="1"/>
  <c r="AD6" s="1"/>
  <c r="I91"/>
  <c r="I87" s="1"/>
  <c r="I5" s="1"/>
  <c r="I4" s="1"/>
  <c r="AD91"/>
  <c r="AD87" s="1"/>
  <c r="AD77"/>
  <c r="K77"/>
  <c r="E83"/>
  <c r="M83" s="1"/>
  <c r="N83" s="1"/>
  <c r="H197"/>
  <c r="H196" s="1"/>
  <c r="H4" s="1"/>
  <c r="L5"/>
  <c r="L4" s="1"/>
  <c r="M62"/>
  <c r="N62" s="1"/>
  <c r="G6"/>
  <c r="G5" s="1"/>
  <c r="G4" s="1"/>
  <c r="M198"/>
  <c r="N198" s="1"/>
  <c r="AD197"/>
  <c r="AD196" s="1"/>
  <c r="M88"/>
  <c r="N88" s="1"/>
  <c r="F197"/>
  <c r="F196" s="1"/>
  <c r="F4" s="1"/>
  <c r="M183"/>
  <c r="N183" s="1"/>
  <c r="E169"/>
  <c r="E168" s="1"/>
  <c r="AD168"/>
  <c r="M144"/>
  <c r="N144" s="1"/>
  <c r="E138"/>
  <c r="M138" s="1"/>
  <c r="N138" s="1"/>
  <c r="K6"/>
  <c r="M78"/>
  <c r="N78" s="1"/>
  <c r="E114"/>
  <c r="M114" s="1"/>
  <c r="N114" s="1"/>
  <c r="M217"/>
  <c r="N217" s="1"/>
  <c r="E233"/>
  <c r="M233" s="1"/>
  <c r="N233" s="1"/>
  <c r="M347"/>
  <c r="N347" s="1"/>
  <c r="E346"/>
  <c r="D6"/>
  <c r="D5" s="1"/>
  <c r="D4" s="1"/>
  <c r="E13"/>
  <c r="M241"/>
  <c r="E81"/>
  <c r="M81" s="1"/>
  <c r="N81" s="1"/>
  <c r="E32" l="1"/>
  <c r="M32" s="1"/>
  <c r="N32" s="1"/>
  <c r="K5"/>
  <c r="K4" s="1"/>
  <c r="N241"/>
  <c r="M13"/>
  <c r="N13" s="1"/>
  <c r="AD5"/>
  <c r="M346"/>
  <c r="N346" s="1"/>
  <c r="E360"/>
  <c r="AD359"/>
  <c r="E197"/>
  <c r="E196" s="1"/>
  <c r="M168"/>
  <c r="N168" s="1"/>
  <c r="M169"/>
  <c r="N169" s="1"/>
  <c r="E77"/>
  <c r="M77" s="1"/>
  <c r="N77" s="1"/>
  <c r="M18"/>
  <c r="N18" s="1"/>
  <c r="E91"/>
  <c r="M363"/>
  <c r="N363" s="1"/>
  <c r="E362"/>
  <c r="M362" s="1"/>
  <c r="N362" s="1"/>
  <c r="E6" l="1"/>
  <c r="M6" s="1"/>
  <c r="N6" s="1"/>
  <c r="AD4"/>
  <c r="M197"/>
  <c r="M360"/>
  <c r="N360" s="1"/>
  <c r="E359"/>
  <c r="M359" s="1"/>
  <c r="N359" s="1"/>
  <c r="M91"/>
  <c r="N91" s="1"/>
  <c r="E87"/>
  <c r="M87" s="1"/>
  <c r="N87" s="1"/>
  <c r="N197" l="1"/>
  <c r="M196"/>
  <c r="N196" s="1"/>
  <c r="E5"/>
  <c r="E4" s="1"/>
  <c r="M4" l="1"/>
  <c r="N4" s="1"/>
  <c r="M5"/>
  <c r="N5" s="1"/>
  <c r="X198" i="29"/>
  <c r="X4" s="1"/>
  <c r="G233" l="1"/>
  <c r="H233" s="1"/>
  <c r="F198"/>
  <c r="F4" s="1"/>
  <c r="G232"/>
  <c r="H232" s="1"/>
  <c r="G198" l="1"/>
  <c r="H198" l="1"/>
  <c r="G4"/>
  <c r="H4" s="1"/>
</calcChain>
</file>

<file path=xl/sharedStrings.xml><?xml version="1.0" encoding="utf-8"?>
<sst xmlns="http://schemas.openxmlformats.org/spreadsheetml/2006/main" count="2749" uniqueCount="913">
  <si>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</si>
  <si>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</si>
  <si>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</si>
  <si>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</si>
  <si>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</si>
  <si>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</si>
  <si>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</si>
  <si>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</si>
  <si>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</si>
  <si>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</si>
  <si>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</si>
  <si>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</si>
  <si>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</si>
  <si>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</si>
  <si>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</si>
  <si>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</si>
  <si>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</si>
  <si>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</si>
  <si>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</si>
  <si>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</si>
  <si>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</si>
  <si>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</si>
  <si>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</si>
  <si>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</si>
  <si>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</si>
  <si>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</si>
  <si>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</si>
  <si>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</si>
  <si>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</si>
  <si>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</si>
  <si>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</si>
  <si>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</si>
  <si>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</si>
  <si>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</si>
  <si>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</si>
  <si>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</si>
  <si>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</si>
  <si>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</si>
  <si>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</si>
  <si>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</si>
  <si>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</si>
  <si>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</si>
  <si>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</si>
  <si>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</si>
  <si>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</si>
  <si>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</si>
  <si>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</si>
  <si>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</si>
  <si>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</si>
  <si>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</si>
  <si>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</si>
  <si>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</si>
  <si>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</si>
  <si>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</si>
  <si>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</si>
  <si>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</si>
  <si>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</si>
  <si>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</si>
  <si>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</si>
  <si>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</si>
  <si>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</si>
  <si>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</si>
  <si>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</si>
  <si>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</si>
  <si>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</si>
  <si>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</si>
  <si>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</si>
  <si>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</si>
  <si>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</si>
  <si>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</si>
  <si>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</si>
  <si>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</si>
  <si>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</si>
  <si>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</si>
  <si>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</si>
  <si>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</si>
  <si>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</si>
  <si>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</si>
  <si>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</si>
  <si>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</si>
  <si>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</si>
  <si>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</si>
  <si>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</si>
  <si>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</si>
  <si>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</si>
  <si>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</si>
  <si>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</si>
  <si>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</si>
  <si>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</si>
  <si>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</si>
  <si>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</si>
  <si>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</si>
  <si>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</si>
  <si>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</si>
  <si>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</si>
  <si>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</si>
  <si>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</si>
  <si>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</si>
  <si>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</si>
  <si>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</si>
  <si>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</si>
  <si>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</si>
  <si>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</si>
  <si>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</si>
  <si>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</si>
  <si>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</si>
  <si>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</si>
  <si>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</si>
  <si>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</si>
  <si>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</si>
  <si>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</si>
  <si>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</si>
  <si>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</si>
  <si>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</si>
  <si>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</si>
  <si>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</si>
  <si>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</si>
  <si>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</si>
  <si>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</si>
  <si>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</si>
  <si>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</si>
  <si>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</si>
  <si>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</si>
  <si>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</si>
  <si>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</si>
  <si>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</si>
  <si>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</si>
  <si>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</si>
  <si>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</si>
  <si>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</si>
  <si>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</si>
  <si>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</si>
  <si>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</si>
  <si>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</si>
  <si>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</si>
  <si>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</si>
  <si>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</si>
  <si>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</si>
  <si>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</si>
  <si>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</si>
  <si>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</si>
  <si>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</si>
  <si>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</si>
  <si>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</si>
  <si>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</si>
  <si>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</si>
  <si>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</si>
  <si>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</si>
  <si>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</si>
  <si>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</si>
  <si>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</si>
  <si>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</si>
  <si>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</si>
  <si>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</si>
  <si>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</si>
  <si>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</si>
  <si>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</si>
  <si>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</si>
  <si>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</si>
  <si>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</si>
  <si>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</si>
  <si>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</si>
  <si>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</si>
  <si>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</si>
  <si>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</si>
  <si>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</si>
  <si>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</si>
  <si>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</si>
  <si>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</si>
  <si>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</si>
  <si>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</si>
  <si>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</si>
  <si>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</si>
  <si>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</si>
  <si>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</si>
  <si>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</si>
  <si>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</si>
  <si>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</si>
  <si>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</si>
  <si>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</si>
  <si>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</si>
  <si>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</si>
  <si>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</si>
  <si>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</si>
  <si>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</si>
  <si>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</si>
  <si>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</si>
  <si>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</si>
  <si>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</si>
  <si>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</si>
  <si>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</si>
  <si>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</si>
  <si>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</si>
  <si>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</si>
  <si>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</si>
  <si>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</si>
  <si>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</si>
  <si>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</si>
  <si>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</si>
  <si>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</si>
  <si>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</si>
  <si>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</si>
  <si>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</si>
  <si>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</si>
  <si>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</si>
  <si>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</si>
  <si>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</si>
  <si>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</si>
  <si>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</si>
  <si>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</si>
  <si>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</si>
  <si>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</si>
  <si>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</si>
  <si>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</si>
  <si>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</si>
  <si>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</si>
  <si>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</si>
  <si>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</si>
  <si>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</si>
  <si>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</si>
  <si>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</si>
  <si>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</si>
  <si>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</si>
  <si>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</si>
  <si>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</si>
  <si>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</si>
  <si>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</si>
  <si>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</si>
  <si>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</si>
  <si>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</si>
  <si>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</si>
  <si>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</si>
  <si>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</si>
  <si>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</si>
  <si>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</si>
  <si>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</si>
  <si>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</si>
  <si>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</si>
  <si>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</si>
  <si>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</si>
  <si>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</si>
  <si>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</si>
  <si>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</si>
  <si>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</si>
  <si>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</si>
  <si>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</si>
  <si>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</si>
  <si>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</si>
  <si>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</si>
  <si>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</si>
  <si>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</si>
  <si>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</si>
  <si>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</si>
  <si>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</si>
  <si>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</si>
  <si>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</si>
  <si>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</si>
  <si>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</si>
  <si>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</si>
  <si>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</si>
  <si>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</si>
  <si>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</si>
  <si>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</si>
  <si>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</si>
  <si>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</si>
  <si>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</si>
  <si>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</si>
  <si>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</si>
  <si>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</si>
  <si>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</si>
  <si>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</si>
  <si>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</si>
  <si>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</si>
  <si>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</si>
  <si>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</si>
  <si>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</si>
  <si>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</si>
  <si>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</si>
  <si>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</si>
  <si>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</si>
  <si>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</si>
  <si>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</si>
  <si>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</si>
  <si>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</si>
  <si>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</si>
  <si>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</si>
  <si>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</si>
  <si>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</si>
  <si>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</si>
  <si>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</si>
  <si>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</si>
  <si>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</si>
  <si>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</si>
  <si>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</si>
  <si>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</si>
  <si>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</si>
  <si>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</si>
  <si>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</si>
  <si>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</si>
  <si>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</si>
  <si>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</si>
  <si>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</si>
  <si>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</si>
  <si>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</si>
  <si>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</si>
  <si>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</si>
  <si>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</si>
  <si>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</si>
  <si>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</si>
  <si>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</si>
  <si>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</si>
  <si>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</si>
  <si>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</si>
  <si>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</si>
  <si>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</si>
  <si>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</si>
  <si>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</si>
  <si>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</si>
  <si>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</si>
  <si>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후원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</si>
  <si>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</si>
  <si>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</si>
  <si>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</si>
  <si>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</si>
  <si>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</si>
  <si>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</si>
  <si>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</si>
  <si>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</si>
  <si>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</si>
  <si>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</si>
  <si>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</si>
  <si>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</si>
  <si>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</si>
  <si>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</si>
  <si>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</si>
  <si>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</si>
  <si>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</si>
  <si>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</si>
  <si>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</si>
  <si>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</si>
  <si>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</si>
  <si>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</si>
  <si>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</si>
  <si>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* 식권 수입(공익 등)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</si>
  <si>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</si>
  <si>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</si>
  <si>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</si>
  <si>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</si>
  <si>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</si>
  <si>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</si>
  <si>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</si>
  <si>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</si>
  <si>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</si>
  <si>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</si>
  <si>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</si>
  <si>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</si>
  <si>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</si>
  <si>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</si>
  <si>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</si>
  <si>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</si>
  <si>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</si>
  <si>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</si>
  <si>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</si>
  <si>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</si>
  <si>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</si>
  <si>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</si>
  <si>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</si>
  <si>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</si>
  <si>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</si>
  <si>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</si>
  <si>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</si>
  <si>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</si>
  <si>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</si>
  <si>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</si>
  <si>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</si>
  <si>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</si>
  <si>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</si>
  <si>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</si>
  <si>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</si>
  <si>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</si>
  <si>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</si>
  <si>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</si>
  <si>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</si>
  <si>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</si>
  <si>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</si>
  <si>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</si>
  <si>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</si>
  <si>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</si>
  <si>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</si>
  <si>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</si>
  <si>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</si>
  <si>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</si>
  <si>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</si>
  <si>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</si>
  <si>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</si>
  <si>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</si>
  <si>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</si>
  <si>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</si>
  <si>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</si>
  <si>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</si>
  <si>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</si>
  <si>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</si>
  <si>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</si>
  <si>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</si>
  <si>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</si>
  <si>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</si>
  <si>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</si>
  <si>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</si>
  <si>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</si>
  <si>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</si>
  <si>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</si>
  <si>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</si>
  <si>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</si>
  <si>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</si>
  <si>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</si>
  <si>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</si>
  <si>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</si>
  <si>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</si>
  <si>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</si>
  <si>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</si>
  <si>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</si>
  <si>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</si>
  <si>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</si>
  <si>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</si>
  <si>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</si>
  <si>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</si>
  <si>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</si>
  <si>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</si>
  <si>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</si>
  <si>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</si>
  <si>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</si>
  <si>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</si>
  <si>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</si>
  <si>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</si>
  <si>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</si>
  <si>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</si>
  <si>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</si>
  <si>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</si>
  <si>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</si>
  <si>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</si>
  <si>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</si>
  <si>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</si>
  <si>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</si>
  <si>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</si>
  <si>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</si>
  <si>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</si>
  <si>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</si>
  <si>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</si>
  <si>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</si>
  <si>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</si>
  <si>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</si>
  <si>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</si>
  <si>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</si>
  <si>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</si>
  <si>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</si>
  <si>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</si>
  <si>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</si>
  <si>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</si>
  <si>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</si>
  <si>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</si>
  <si>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</si>
  <si>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</si>
  <si>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</si>
  <si>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</si>
  <si>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</si>
  <si>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</si>
  <si>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</si>
  <si>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</si>
  <si>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</si>
  <si>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</si>
  <si>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</si>
  <si>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</si>
  <si>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</si>
  <si>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</si>
  <si>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</si>
  <si>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</si>
  <si>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</si>
  <si>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</si>
  <si>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</si>
  <si>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</si>
  <si>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</si>
  <si>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</si>
  <si>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</si>
  <si>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</si>
  <si>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</si>
  <si>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</si>
  <si>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</si>
  <si>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</si>
  <si>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</si>
  <si>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</si>
  <si>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</si>
  <si>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</si>
  <si>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</si>
  <si>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</si>
  <si>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</si>
  <si>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</si>
  <si>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</si>
  <si>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</si>
  <si>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</si>
  <si>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</si>
  <si>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</si>
  <si>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</si>
  <si>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</si>
  <si>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</si>
  <si>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</si>
  <si>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</si>
  <si>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</si>
  <si>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</si>
  <si>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</si>
  <si>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</si>
  <si>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</si>
  <si>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</si>
  <si>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</si>
  <si>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</si>
  <si>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</si>
  <si>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</si>
  <si>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</si>
  <si>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</si>
  <si>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</si>
  <si>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</si>
  <si>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</si>
  <si>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</si>
  <si>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</si>
  <si>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</si>
  <si>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</si>
  <si>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</si>
  <si>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</si>
  <si>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</si>
  <si>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</si>
  <si>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</si>
  <si>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</si>
  <si>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</si>
  <si>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</si>
  <si>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</si>
  <si>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</si>
  <si>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기타법인 지원금 :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</si>
  <si>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</si>
  <si>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</si>
  <si>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</si>
  <si>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</si>
  <si>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</si>
  <si>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</si>
  <si>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</si>
  <si>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</si>
  <si>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</si>
  <si>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</si>
  <si>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</si>
  <si>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</si>
  <si>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</si>
  <si>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</si>
  <si>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</si>
  <si>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</si>
  <si>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15. CMS수수료,보증보험료,이용료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</si>
  <si>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</si>
  <si>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</si>
  <si>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</si>
  <si>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</si>
  <si>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</si>
  <si>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</si>
  <si>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</si>
  <si>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</si>
  <si>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</si>
  <si>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</si>
  <si>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</si>
  <si>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</si>
  <si>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</si>
  <si>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</si>
  <si>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</si>
  <si>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</si>
  <si>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</si>
  <si>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</si>
  <si>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</si>
  <si>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</si>
  <si>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</si>
  <si>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</si>
  <si>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</si>
  <si>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</si>
  <si>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</si>
  <si>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</si>
  <si>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</si>
  <si>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</si>
  <si>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</si>
  <si>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</si>
  <si>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</si>
  <si>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</si>
  <si>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</si>
  <si>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</si>
  <si>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</si>
  <si>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</si>
  <si>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</si>
  <si>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</si>
  <si>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</si>
  <si>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</si>
  <si>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</si>
  <si>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</si>
  <si>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</si>
  <si>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</si>
  <si>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</si>
  <si>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</si>
  <si>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>2. 주방가스요금/ 할부금 포함)</t>
    <phoneticPr fontId="7" type="noConversion"/>
  </si>
  <si>
    <t>원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</si>
  <si>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</si>
  <si>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</si>
  <si>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</si>
  <si>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</si>
  <si>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</si>
  <si>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</si>
  <si>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</si>
  <si>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</si>
  <si>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>후원</t>
    <phoneticPr fontId="7" type="noConversion"/>
  </si>
  <si>
    <t>13. 시설방역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</si>
  <si>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</si>
  <si>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</si>
  <si>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</si>
  <si>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</si>
  <si>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</si>
  <si>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</si>
  <si>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</si>
  <si>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입소</t>
    <phoneticPr fontId="7" type="noConversion"/>
  </si>
  <si>
    <t>4. 가정방문</t>
    <phoneticPr fontId="7" type="noConversion"/>
  </si>
  <si>
    <t>5. 어버이날 행사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</si>
  <si>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</si>
  <si>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</si>
  <si>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</si>
  <si>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7. 기타 공공요금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</si>
  <si>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</si>
  <si>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</si>
  <si>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</si>
  <si>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</si>
  <si>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</si>
  <si>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</si>
  <si>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</si>
  <si>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</si>
  <si>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</si>
  <si>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</si>
  <si>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잡수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</si>
  <si>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</si>
  <si>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</si>
  <si>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</si>
  <si>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</si>
  <si>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</si>
  <si>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</si>
  <si>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</si>
  <si>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</si>
  <si>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</si>
  <si>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</si>
  <si>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</si>
  <si>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</si>
  <si>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</si>
  <si>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</si>
  <si>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</si>
  <si>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</si>
  <si>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</si>
  <si>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</si>
  <si>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</si>
  <si>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</si>
  <si>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</si>
  <si>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</si>
  <si>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</si>
  <si>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</si>
  <si>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</si>
  <si>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</si>
  <si>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</si>
  <si>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</si>
  <si>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</si>
  <si>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</si>
  <si>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</si>
  <si>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</si>
  <si>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3. 예산심의 사업계획수립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</si>
  <si>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</si>
  <si>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</si>
  <si>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</si>
  <si>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</si>
  <si>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⑤이용자 여행배상책임보험료</t>
    <phoneticPr fontId="7" type="noConversion"/>
  </si>
  <si>
    <t>3. 제세공과금 보충액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</si>
  <si>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</si>
  <si>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</si>
  <si>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</si>
  <si>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</si>
  <si>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</si>
  <si>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</si>
  <si>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</si>
  <si>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</si>
  <si>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입소</t>
    <phoneticPr fontId="7" type="noConversion"/>
  </si>
  <si>
    <t xml:space="preserve"> * 일일호프수익금(차량구입)</t>
    <phoneticPr fontId="7" type="noConversion"/>
  </si>
  <si>
    <t>2.차량구입(일일호프수익금)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</si>
  <si>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</si>
  <si>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</si>
  <si>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</si>
  <si>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4. BMW</t>
    <phoneticPr fontId="7" type="noConversion"/>
  </si>
  <si>
    <t>7. 이용인 성교육</t>
    <phoneticPr fontId="7" type="noConversion"/>
  </si>
  <si>
    <t>9. 기타프로그램</t>
    <phoneticPr fontId="7" type="noConversion"/>
  </si>
  <si>
    <t>2. 재활치료(통증/수중치료)</t>
    <phoneticPr fontId="7" type="noConversion"/>
  </si>
  <si>
    <t>3. 육상필드</t>
    <phoneticPr fontId="7" type="noConversion"/>
  </si>
  <si>
    <t>5. 정규활동(몸짱)</t>
    <phoneticPr fontId="7" type="noConversion"/>
  </si>
  <si>
    <t>2. 종교활동(레지오)</t>
    <phoneticPr fontId="7" type="noConversion"/>
  </si>
  <si>
    <t>* 10년 장기근속자(이혜자/소지영)</t>
    <phoneticPr fontId="7" type="noConversion"/>
  </si>
  <si>
    <t>2. 자원봉사자 나들이&amp;간담회</t>
    <phoneticPr fontId="7" type="noConversion"/>
  </si>
  <si>
    <t>3. 일일호프 준비용품</t>
    <phoneticPr fontId="7" type="noConversion"/>
  </si>
  <si>
    <t>1. 자원봉사자 교육/연계프로그램</t>
    <phoneticPr fontId="7" type="noConversion"/>
  </si>
  <si>
    <t>1. 사회적응(렛츠고하나)</t>
    <phoneticPr fontId="7" type="noConversion"/>
  </si>
  <si>
    <t>3. 행복공장</t>
    <phoneticPr fontId="7" type="noConversion"/>
  </si>
  <si>
    <t>2. 사회적응(렛츠고둘)</t>
    <phoneticPr fontId="7" type="noConversion"/>
  </si>
  <si>
    <t>4. 자립준비가정</t>
    <phoneticPr fontId="7" type="noConversion"/>
  </si>
  <si>
    <t>5. 금전관리교육</t>
    <phoneticPr fontId="7" type="noConversion"/>
  </si>
  <si>
    <t>1. 종합체육활동(굿바디)</t>
    <phoneticPr fontId="7" type="noConversion"/>
  </si>
  <si>
    <t>(지정후원금)</t>
    <phoneticPr fontId="7" type="noConversion"/>
  </si>
  <si>
    <t>2. 재활승마(경기도재활프로그램사업)</t>
    <phoneticPr fontId="7" type="noConversion"/>
  </si>
  <si>
    <t>1. 신체활동</t>
    <phoneticPr fontId="7" type="noConversion"/>
  </si>
  <si>
    <t>1. 마음의소리</t>
    <phoneticPr fontId="7" type="noConversion"/>
  </si>
  <si>
    <t>2. 스누젤렌</t>
    <phoneticPr fontId="7" type="noConversion"/>
  </si>
  <si>
    <t>1. 아름채 여가누리</t>
    <phoneticPr fontId="7" type="noConversion"/>
  </si>
  <si>
    <t>2. 사랑채 여가누리</t>
    <phoneticPr fontId="7" type="noConversion"/>
  </si>
  <si>
    <t>3. 도예-사랑빚은</t>
    <phoneticPr fontId="7" type="noConversion"/>
  </si>
  <si>
    <t>4. 봉사동아리-사랑담아</t>
    <phoneticPr fontId="7" type="noConversion"/>
  </si>
  <si>
    <t>5. 문화누리</t>
    <phoneticPr fontId="7" type="noConversion"/>
  </si>
  <si>
    <t>6. 하늘투어</t>
    <phoneticPr fontId="7" type="noConversion"/>
  </si>
  <si>
    <t>개별지원</t>
    <phoneticPr fontId="7" type="noConversion"/>
  </si>
  <si>
    <t>서비스</t>
    <phoneticPr fontId="7" type="noConversion"/>
  </si>
  <si>
    <t>1. 사량재 개별지원</t>
    <phoneticPr fontId="7" type="noConversion"/>
  </si>
  <si>
    <t>2. 하늘채 개별지원</t>
    <phoneticPr fontId="7" type="noConversion"/>
  </si>
  <si>
    <t>3. 생일프로그램</t>
    <phoneticPr fontId="7" type="noConversion"/>
  </si>
  <si>
    <t>3. 송년회</t>
    <phoneticPr fontId="7" type="noConversion"/>
  </si>
  <si>
    <t>4. 사회적응/여가활동</t>
    <phoneticPr fontId="7" type="noConversion"/>
  </si>
  <si>
    <t>5. 계절별여행</t>
    <phoneticPr fontId="7" type="noConversion"/>
  </si>
  <si>
    <t>입소</t>
    <phoneticPr fontId="7" type="noConversion"/>
  </si>
  <si>
    <t>1. 건강관리(경기마라톤)</t>
    <phoneticPr fontId="7" type="noConversion"/>
  </si>
  <si>
    <t>2. 환경미화</t>
    <phoneticPr fontId="7" type="noConversion"/>
  </si>
  <si>
    <t>3. 이용인 송년회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</si>
  <si>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</si>
  <si>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</si>
  <si>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</si>
  <si>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</si>
  <si>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</si>
  <si>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 xml:space="preserve">  공동경비</t>
    <phoneticPr fontId="7" type="noConversion"/>
  </si>
  <si>
    <t>입소</t>
    <phoneticPr fontId="7" type="noConversion"/>
  </si>
  <si>
    <t>5.물리치료기기 수리비</t>
    <phoneticPr fontId="7" type="noConversion"/>
  </si>
  <si>
    <t>식대수입</t>
    <phoneticPr fontId="7" type="noConversion"/>
  </si>
  <si>
    <t>2019년
1차추경예산</t>
    <phoneticPr fontId="28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</si>
  <si>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</si>
  <si>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</si>
  <si>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</si>
  <si>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여가활동</t>
    <phoneticPr fontId="7" type="noConversion"/>
  </si>
  <si>
    <t>지원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</si>
  <si>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</si>
  <si>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</si>
  <si>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</si>
  <si>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</si>
  <si>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6. 해외여행지원금</t>
    <phoneticPr fontId="7" type="noConversion"/>
  </si>
  <si>
    <t>※ 기타운영비</t>
    <phoneticPr fontId="7" type="noConversion"/>
  </si>
  <si>
    <t>원</t>
    <phoneticPr fontId="7" type="noConversion"/>
  </si>
  <si>
    <t>후원</t>
    <phoneticPr fontId="7" type="noConversion"/>
  </si>
  <si>
    <t>입소</t>
    <phoneticPr fontId="7" type="noConversion"/>
  </si>
  <si>
    <t>잡수</t>
    <phoneticPr fontId="7" type="noConversion"/>
  </si>
  <si>
    <t>7종</t>
    <phoneticPr fontId="7" type="noConversion"/>
  </si>
  <si>
    <t>원</t>
    <phoneticPr fontId="7" type="noConversion"/>
  </si>
  <si>
    <t xml:space="preserve">  환경개선사업비(자부담)</t>
    <phoneticPr fontId="7" type="noConversion"/>
  </si>
  <si>
    <t>후원</t>
    <phoneticPr fontId="7" type="noConversion"/>
  </si>
  <si>
    <t>(지정후원금)</t>
    <phoneticPr fontId="7" type="noConversion"/>
  </si>
  <si>
    <t>3.지하프로그램실 붙박이장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</si>
  <si>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</si>
  <si>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</si>
  <si>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</si>
  <si>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</si>
  <si>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</si>
  <si>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</si>
  <si>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</si>
  <si>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</si>
  <si>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</si>
  <si>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</si>
  <si>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</si>
  <si>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</si>
  <si>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법인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</si>
  <si>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</si>
  <si>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</si>
  <si>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</si>
  <si>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</si>
  <si>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</si>
  <si>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2.시설장비유지비</t>
    <phoneticPr fontId="7" type="noConversion"/>
  </si>
  <si>
    <t>1. 시설장비유지비</t>
    <phoneticPr fontId="7" type="noConversion"/>
  </si>
  <si>
    <t>원</t>
    <phoneticPr fontId="7" type="noConversion"/>
  </si>
  <si>
    <t xml:space="preserve">  *감동드림프로젝트(김태윤)</t>
    <phoneticPr fontId="7" type="noConversion"/>
  </si>
  <si>
    <t>후원</t>
    <phoneticPr fontId="7" type="noConversion"/>
  </si>
  <si>
    <t xml:space="preserve">   감동프로젝트(김태윤)</t>
    <phoneticPr fontId="7" type="noConversion"/>
  </si>
  <si>
    <t>원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</si>
  <si>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</si>
  <si>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</si>
  <si>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</si>
  <si>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</si>
  <si>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</si>
  <si>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</si>
  <si>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* 사회복지 실습비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</si>
  <si>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</si>
  <si>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</si>
  <si>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</si>
  <si>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원</t>
    <phoneticPr fontId="7" type="noConversion"/>
  </si>
  <si>
    <t>2. 태권도(수원시장애인체육회 지원)</t>
    <phoneticPr fontId="7" type="noConversion"/>
  </si>
  <si>
    <t>후원</t>
    <phoneticPr fontId="7" type="noConversion"/>
  </si>
  <si>
    <t>(단위:천원)</t>
    <phoneticPr fontId="28" type="noConversion"/>
  </si>
  <si>
    <t>2019년
2차추경예산</t>
    <phoneticPr fontId="28" type="noConversion"/>
  </si>
  <si>
    <t>&lt;2019년도 2차추경예산 세입내역&gt;</t>
    <phoneticPr fontId="7" type="noConversion"/>
  </si>
  <si>
    <t>2019년
1차추경예산
(A)
(단위:천원)</t>
    <phoneticPr fontId="7" type="noConversion"/>
  </si>
  <si>
    <t>2019년
2차추경예산
(B)
(단위:천원)</t>
    <phoneticPr fontId="7" type="noConversion"/>
  </si>
  <si>
    <t>&lt;2019년도 2차추경예산 세출내역&gt;</t>
    <phoneticPr fontId="7" type="noConversion"/>
  </si>
  <si>
    <t>2019년 2차추경예산액(B)         (단위:천원)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</si>
  <si>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</si>
  <si>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</si>
  <si>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</si>
  <si>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</si>
  <si>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* 현대자동차(EM발효기/생활실 안전바설치)</t>
    <phoneticPr fontId="7" type="noConversion"/>
  </si>
  <si>
    <t>* 산하시설견학</t>
    <phoneticPr fontId="7" type="noConversion"/>
  </si>
  <si>
    <t>회</t>
    <phoneticPr fontId="7" type="noConversion"/>
  </si>
  <si>
    <t xml:space="preserve"> * 수원시복지기금(동물매개)</t>
    <phoneticPr fontId="7" type="noConversion"/>
  </si>
  <si>
    <t>원</t>
    <phoneticPr fontId="7" type="noConversion"/>
  </si>
  <si>
    <t>입소</t>
    <phoneticPr fontId="7" type="noConversion"/>
  </si>
  <si>
    <t>보조</t>
    <phoneticPr fontId="7" type="noConversion"/>
  </si>
  <si>
    <t>3. 동물매개활동</t>
    <phoneticPr fontId="7" type="noConversion"/>
  </si>
  <si>
    <t>수원시복지기금</t>
    <phoneticPr fontId="7" type="noConversion"/>
  </si>
  <si>
    <t>1. 부활절 나눔행사</t>
    <phoneticPr fontId="7" type="noConversion"/>
  </si>
  <si>
    <t>3. 미귀가생 프로그램</t>
    <phoneticPr fontId="7" type="noConversion"/>
  </si>
  <si>
    <t>후원</t>
    <phoneticPr fontId="7" type="noConversion"/>
  </si>
  <si>
    <t>입소</t>
    <phoneticPr fontId="7" type="noConversion"/>
  </si>
  <si>
    <t>법인</t>
    <phoneticPr fontId="7" type="noConversion"/>
  </si>
  <si>
    <t>④신원보증보험갱신</t>
    <phoneticPr fontId="7" type="noConversion"/>
  </si>
  <si>
    <t>잡수</t>
    <phoneticPr fontId="7" type="noConversion"/>
  </si>
  <si>
    <t>* 직원 단체복 구입(지정후원금)</t>
    <phoneticPr fontId="7" type="noConversion"/>
  </si>
  <si>
    <t>* 직원 연찬회</t>
    <phoneticPr fontId="7" type="noConversion"/>
  </si>
  <si>
    <t>* 경장협 종사자 체육대회</t>
    <phoneticPr fontId="7" type="noConversion"/>
  </si>
  <si>
    <t>* 10년 장기근속자 포상(이혜자/소지영)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</si>
  <si>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</si>
  <si>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</si>
  <si>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</si>
  <si>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야간근로자 특수건강검진</t>
    <phoneticPr fontId="7" type="noConversion"/>
  </si>
  <si>
    <t>* 직원독감 예방접종(지정후원금)</t>
    <phoneticPr fontId="7" type="noConversion"/>
  </si>
  <si>
    <t>5. 성탄행사(이용인선물)</t>
    <phoneticPr fontId="7" type="noConversion"/>
  </si>
  <si>
    <t>1. 마라톤 대회 참가</t>
    <phoneticPr fontId="7" type="noConversion"/>
  </si>
  <si>
    <t>5. 경장협 작품전시회</t>
    <phoneticPr fontId="7" type="noConversion"/>
  </si>
  <si>
    <t>잡수</t>
    <phoneticPr fontId="7" type="noConversion"/>
  </si>
  <si>
    <t>* 경장협작품전시회 참가비</t>
    <phoneticPr fontId="7" type="noConversion"/>
  </si>
  <si>
    <t xml:space="preserve"> * 공동모금회(대한항공) 지하프로그램실 붙박이장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</si>
  <si>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</si>
  <si>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</si>
  <si>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>* 기타 잡수입(공익실습비/경장협 행사지원금 수입/비누판매금 등)</t>
    <phoneticPr fontId="7" type="noConversion"/>
  </si>
  <si>
    <t>원</t>
    <phoneticPr fontId="7" type="noConversion"/>
  </si>
  <si>
    <t xml:space="preserve"> * 기타 불용품매각대</t>
    <phoneticPr fontId="7" type="noConversion"/>
  </si>
  <si>
    <t>원</t>
    <phoneticPr fontId="7" type="noConversion"/>
  </si>
  <si>
    <t xml:space="preserve"> * 굿피플로타리클럽(청소기구입)</t>
    <phoneticPr fontId="7" type="noConversion"/>
  </si>
  <si>
    <t>4.EM발효기(2대)/현대자동차</t>
    <phoneticPr fontId="7" type="noConversion"/>
  </si>
  <si>
    <t>(지정후원금)</t>
    <phoneticPr fontId="7" type="noConversion"/>
  </si>
  <si>
    <t>후원</t>
    <phoneticPr fontId="7" type="noConversion"/>
  </si>
  <si>
    <t>×</t>
    <phoneticPr fontId="7" type="noConversion"/>
  </si>
  <si>
    <t>명</t>
    <phoneticPr fontId="7" type="noConversion"/>
  </si>
  <si>
    <t>일</t>
    <phoneticPr fontId="7" type="noConversion"/>
  </si>
  <si>
    <t>=</t>
    <phoneticPr fontId="7" type="noConversion"/>
  </si>
  <si>
    <t>법인</t>
    <phoneticPr fontId="7" type="noConversion"/>
  </si>
  <si>
    <t xml:space="preserve"> * 푸드머스(보일러 교체공사)</t>
    <phoneticPr fontId="7" type="noConversion"/>
  </si>
  <si>
    <t>원</t>
    <phoneticPr fontId="7" type="noConversion"/>
  </si>
  <si>
    <t xml:space="preserve">  *경장협 결연후원금</t>
    <phoneticPr fontId="7" type="noConversion"/>
  </si>
  <si>
    <t>7. 일용잡금(주방 보조인력)</t>
    <phoneticPr fontId="7" type="noConversion"/>
  </si>
  <si>
    <t>8. 직원해외연수</t>
    <phoneticPr fontId="7" type="noConversion"/>
  </si>
  <si>
    <t>* 직원하계수련회</t>
    <phoneticPr fontId="7" type="noConversion"/>
  </si>
  <si>
    <t>* 스승의날/가정의달 직원선물</t>
    <phoneticPr fontId="7" type="noConversion"/>
  </si>
  <si>
    <t>* 기타후생경비</t>
    <phoneticPr fontId="7" type="noConversion"/>
  </si>
  <si>
    <t>원</t>
    <phoneticPr fontId="7" type="noConversion"/>
  </si>
  <si>
    <t>* 해외여행지원금</t>
    <phoneticPr fontId="7" type="noConversion"/>
  </si>
  <si>
    <t>원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</si>
  <si>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</si>
  <si>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</si>
  <si>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r>
      <t xml:space="preserve">* 데크공사 </t>
    </r>
    <r>
      <rPr>
        <sz val="10"/>
        <color rgb="FFFF0000"/>
        <rFont val="맑은 고딕"/>
        <family val="3"/>
        <charset val="129"/>
      </rPr>
      <t>→</t>
    </r>
    <r>
      <rPr>
        <sz val="8.5"/>
        <color rgb="FFFF0000"/>
        <rFont val="맑은 고딕"/>
        <family val="3"/>
        <charset val="129"/>
      </rPr>
      <t xml:space="preserve"> 보일러 교체공사로 변경</t>
    </r>
    <phoneticPr fontId="7" type="noConversion"/>
  </si>
  <si>
    <t xml:space="preserve">2.주방 보조인력 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</si>
  <si>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</si>
  <si>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</si>
  <si>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</si>
  <si>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</si>
  <si>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</si>
  <si>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</si>
  <si>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</si>
  <si>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>회</t>
    <phoneticPr fontId="7" type="noConversion"/>
  </si>
  <si>
    <t>4.보일러교체공사</t>
    <phoneticPr fontId="7" type="noConversion"/>
  </si>
  <si>
    <t>* 직원하계수련회비용</t>
    <phoneticPr fontId="7" type="noConversion"/>
  </si>
  <si>
    <t>회</t>
    <phoneticPr fontId="7" type="noConversion"/>
  </si>
  <si>
    <t>후원</t>
    <phoneticPr fontId="7" type="noConversion"/>
  </si>
  <si>
    <t>7.거주인 해외여행프로그램 직원지원금/공동경비</t>
    <phoneticPr fontId="7" type="noConversion"/>
  </si>
  <si>
    <t>12. 퇴직연금관리수수료</t>
    <phoneticPr fontId="7" type="noConversion"/>
  </si>
  <si>
    <t>입소</t>
    <phoneticPr fontId="7" type="noConversion"/>
  </si>
  <si>
    <t>14. 기타 수용비 및 수수료</t>
    <phoneticPr fontId="7" type="noConversion"/>
  </si>
  <si>
    <t>잡수</t>
    <phoneticPr fontId="7" type="noConversion"/>
  </si>
  <si>
    <t>법인</t>
    <phoneticPr fontId="7" type="noConversion"/>
  </si>
  <si>
    <t>1.사무실 노후 컴퓨터 교체</t>
    <phoneticPr fontId="7" type="noConversion"/>
  </si>
  <si>
    <t>원</t>
    <phoneticPr fontId="7" type="noConversion"/>
  </si>
  <si>
    <t>대</t>
    <phoneticPr fontId="7" type="noConversion"/>
  </si>
  <si>
    <t>후원</t>
    <phoneticPr fontId="7" type="noConversion"/>
  </si>
  <si>
    <t>8. 일반전기요금/ 상하수도요금 자부담 보충액</t>
    <phoneticPr fontId="7" type="noConversion"/>
  </si>
  <si>
    <t>5. 생활실,주방 필요물품 구입</t>
    <phoneticPr fontId="7" type="noConversion"/>
  </si>
  <si>
    <t>후원</t>
    <phoneticPr fontId="7" type="noConversion"/>
  </si>
  <si>
    <t>원</t>
    <phoneticPr fontId="7" type="noConversion"/>
  </si>
  <si>
    <t xml:space="preserve">  (생활실 냉장고,주방 압력솥,문서세단기 등)</t>
    <phoneticPr fontId="7" type="noConversion"/>
  </si>
  <si>
    <t>6.굿피플 지원 청소기 구입(5대)</t>
    <phoneticPr fontId="7" type="noConversion"/>
  </si>
  <si>
    <t xml:space="preserve"> * 생활실리모델링공사 설계비</t>
    <phoneticPr fontId="7" type="noConversion"/>
  </si>
  <si>
    <t>3.생활실 리모델링공사  설계비</t>
    <phoneticPr fontId="7" type="noConversion"/>
  </si>
  <si>
    <t>6. 환경개선사업(소방감지기)</t>
    <phoneticPr fontId="7" type="noConversion"/>
  </si>
  <si>
    <t>7. 생활실 안전바 설치/현대자동차</t>
    <phoneticPr fontId="7" type="noConversion"/>
  </si>
  <si>
    <t>8. 기타 시설장비유지비</t>
    <phoneticPr fontId="7" type="noConversion"/>
  </si>
  <si>
    <t xml:space="preserve"> 1)하계직원교육</t>
    <phoneticPr fontId="7" type="noConversion"/>
  </si>
  <si>
    <t>원</t>
    <phoneticPr fontId="7" type="noConversion"/>
  </si>
  <si>
    <t>×</t>
    <phoneticPr fontId="7" type="noConversion"/>
  </si>
  <si>
    <t>회</t>
    <phoneticPr fontId="7" type="noConversion"/>
  </si>
  <si>
    <t>=</t>
    <phoneticPr fontId="7" type="noConversion"/>
  </si>
  <si>
    <t>후원</t>
    <phoneticPr fontId="7" type="noConversion"/>
  </si>
  <si>
    <t xml:space="preserve"> 2)역량강화교육</t>
    <phoneticPr fontId="7" type="noConversion"/>
  </si>
  <si>
    <t>(지정후원금)</t>
    <phoneticPr fontId="7" type="noConversion"/>
  </si>
  <si>
    <t>* 기관방문 손님접대용 다과</t>
    <phoneticPr fontId="7" type="noConversion"/>
  </si>
  <si>
    <t>□ 2019년도 2차추경예산 세 입 · 세 출 총  괄  표</t>
    <phoneticPr fontId="28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</si>
</sst>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rgb="FFFF0000"/>
      <name val="맑은 고딕"/>
      <family val="3"/>
      <charset val="129"/>
    </font>
    <font>
      <sz val="8.5"/>
      <color rgb="FFFF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67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41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27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0" fontId="33" fillId="0" borderId="5" xfId="0" applyFont="1" applyFill="1" applyBorder="1">
      <alignment vertical="center"/>
    </xf>
    <xf numFmtId="41" fontId="36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>
      <alignment vertical="center"/>
    </xf>
    <xf numFmtId="176" fontId="49" fillId="0" borderId="0" xfId="3" applyNumberFormat="1" applyFont="1" applyFill="1" applyBorder="1" applyAlignment="1">
      <alignment vertical="center"/>
    </xf>
    <xf numFmtId="0" fontId="33" fillId="0" borderId="14" xfId="0" applyFont="1" applyFill="1" applyBorder="1">
      <alignment vertical="center"/>
    </xf>
    <xf numFmtId="178" fontId="33" fillId="0" borderId="14" xfId="0" applyNumberFormat="1" applyFont="1" applyFill="1" applyBorder="1" applyAlignment="1">
      <alignment horizontal="right" vertical="center"/>
    </xf>
    <xf numFmtId="0" fontId="33" fillId="0" borderId="37" xfId="0" applyFont="1" applyFill="1" applyBorder="1">
      <alignment vertical="center"/>
    </xf>
    <xf numFmtId="0" fontId="33" fillId="0" borderId="38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33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41" fontId="33" fillId="0" borderId="0" xfId="2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center" vertical="center"/>
    </xf>
    <xf numFmtId="42" fontId="33" fillId="0" borderId="14" xfId="3" applyNumberFormat="1" applyFont="1" applyFill="1" applyBorder="1" applyAlignment="1">
      <alignment horizontal="center" vertical="center"/>
    </xf>
    <xf numFmtId="178" fontId="33" fillId="0" borderId="14" xfId="3" applyNumberFormat="1" applyFont="1" applyFill="1" applyBorder="1" applyAlignment="1">
      <alignment horizontal="center" vertical="center"/>
    </xf>
    <xf numFmtId="180" fontId="33" fillId="0" borderId="14" xfId="2" applyNumberFormat="1" applyFont="1" applyFill="1" applyBorder="1" applyAlignment="1">
      <alignment horizontal="center" vertical="center"/>
    </xf>
    <xf numFmtId="178" fontId="48" fillId="0" borderId="14" xfId="0" applyNumberFormat="1" applyFont="1" applyBorder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4" fillId="0" borderId="40" xfId="3" applyFont="1" applyFill="1" applyBorder="1" applyAlignment="1">
      <alignment vertical="center"/>
    </xf>
    <xf numFmtId="0" fontId="34" fillId="0" borderId="22" xfId="3" applyFont="1" applyFill="1" applyBorder="1" applyAlignment="1">
      <alignment vertical="center"/>
    </xf>
    <xf numFmtId="181" fontId="33" fillId="0" borderId="0" xfId="1" applyNumberFormat="1" applyFont="1" applyFill="1" applyBorder="1" applyAlignment="1">
      <alignment vertical="center"/>
    </xf>
    <xf numFmtId="176" fontId="33" fillId="0" borderId="56" xfId="3" applyNumberFormat="1" applyFont="1" applyFill="1" applyBorder="1" applyAlignment="1">
      <alignment horizontal="right" vertical="center"/>
    </xf>
    <xf numFmtId="0" fontId="33" fillId="0" borderId="0" xfId="0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B2" sqref="B2"/>
    </sheetView>
  </sheetViews>
  <sheetFormatPr defaultRowHeight="16.5"/>
  <cols>
    <col min="1" max="1" width="1.44140625" style="191" customWidth="1"/>
    <col min="2" max="2" width="11.5546875" style="191" bestFit="1" customWidth="1"/>
    <col min="3" max="3" width="13.33203125" style="191" bestFit="1" customWidth="1"/>
    <col min="4" max="5" width="18" style="191" bestFit="1" customWidth="1"/>
    <col min="6" max="6" width="16" style="191" bestFit="1" customWidth="1"/>
    <col min="7" max="7" width="9.6640625" style="191" bestFit="1" customWidth="1"/>
    <col min="8" max="8" width="13.33203125" style="191" bestFit="1" customWidth="1"/>
    <col min="9" max="10" width="18" style="191" bestFit="1" customWidth="1"/>
    <col min="11" max="11" width="16" style="191" bestFit="1" customWidth="1"/>
    <col min="12" max="16384" width="8.88671875" style="191"/>
  </cols>
  <sheetData>
    <row r="1" spans="2:11" ht="9.9499999999999993" customHeight="1"/>
    <row r="2" spans="2:11" ht="26.25">
      <c r="B2" s="192" t="s">
        <v>912</v>
      </c>
      <c r="K2" s="193" t="s">
        <v>798</v>
      </c>
    </row>
    <row r="3" spans="2:11" ht="9.9499999999999993" customHeight="1" thickBot="1"/>
    <row r="4" spans="2:11" ht="30" customHeight="1">
      <c r="B4" s="704" t="s">
        <v>158</v>
      </c>
      <c r="C4" s="705"/>
      <c r="D4" s="705"/>
      <c r="E4" s="705"/>
      <c r="F4" s="706"/>
      <c r="G4" s="704" t="s">
        <v>159</v>
      </c>
      <c r="H4" s="705"/>
      <c r="I4" s="705"/>
      <c r="J4" s="705"/>
      <c r="K4" s="707"/>
    </row>
    <row r="5" spans="2:11" ht="16.5" customHeight="1">
      <c r="B5" s="708" t="s">
        <v>160</v>
      </c>
      <c r="C5" s="709"/>
      <c r="D5" s="712" t="s">
        <v>738</v>
      </c>
      <c r="E5" s="712" t="s">
        <v>799</v>
      </c>
      <c r="F5" s="714" t="s">
        <v>161</v>
      </c>
      <c r="G5" s="708" t="s">
        <v>160</v>
      </c>
      <c r="H5" s="709"/>
      <c r="I5" s="712" t="s">
        <v>738</v>
      </c>
      <c r="J5" s="712" t="s">
        <v>799</v>
      </c>
      <c r="K5" s="716" t="s">
        <v>161</v>
      </c>
    </row>
    <row r="6" spans="2:11" ht="22.5" customHeight="1" thickBot="1">
      <c r="B6" s="710"/>
      <c r="C6" s="711"/>
      <c r="D6" s="713"/>
      <c r="E6" s="713"/>
      <c r="F6" s="715"/>
      <c r="G6" s="710"/>
      <c r="H6" s="711"/>
      <c r="I6" s="713"/>
      <c r="J6" s="713"/>
      <c r="K6" s="717"/>
    </row>
    <row r="7" spans="2:11" ht="24.95" customHeight="1" thickTop="1">
      <c r="B7" s="696" t="s">
        <v>162</v>
      </c>
      <c r="C7" s="697"/>
      <c r="D7" s="418">
        <f>SUM(D8:D23)/2</f>
        <v>2403302</v>
      </c>
      <c r="E7" s="418">
        <f>SUM(E8:E23)/2</f>
        <v>2394934</v>
      </c>
      <c r="F7" s="419">
        <f>SUM(F8:F23)/2</f>
        <v>-8368</v>
      </c>
      <c r="G7" s="696" t="s">
        <v>162</v>
      </c>
      <c r="H7" s="697"/>
      <c r="I7" s="418">
        <f>SUM(I8:I28)/2</f>
        <v>2403302</v>
      </c>
      <c r="J7" s="418">
        <f>SUM(J8:J28)/2</f>
        <v>2394934</v>
      </c>
      <c r="K7" s="420">
        <f>SUM(K8:K28)/2</f>
        <v>-8368</v>
      </c>
    </row>
    <row r="8" spans="2:11" ht="24.95" customHeight="1">
      <c r="B8" s="698" t="s">
        <v>163</v>
      </c>
      <c r="C8" s="421" t="s">
        <v>293</v>
      </c>
      <c r="D8" s="422">
        <f>D9</f>
        <v>117600</v>
      </c>
      <c r="E8" s="422">
        <f>E9</f>
        <v>117600</v>
      </c>
      <c r="F8" s="423">
        <f>F9</f>
        <v>0</v>
      </c>
      <c r="G8" s="698" t="s">
        <v>165</v>
      </c>
      <c r="H8" s="421" t="s">
        <v>293</v>
      </c>
      <c r="I8" s="422">
        <f>SUM(I9:I11)</f>
        <v>1876750</v>
      </c>
      <c r="J8" s="422">
        <f>SUM(J9:J11)</f>
        <v>1890260</v>
      </c>
      <c r="K8" s="427">
        <f>SUM(K9:K11)</f>
        <v>13510</v>
      </c>
    </row>
    <row r="9" spans="2:11" ht="24.95" customHeight="1">
      <c r="B9" s="699"/>
      <c r="C9" s="194" t="s">
        <v>164</v>
      </c>
      <c r="D9" s="195">
        <v>117600</v>
      </c>
      <c r="E9" s="195">
        <v>117600</v>
      </c>
      <c r="F9" s="196">
        <f>E9-D9</f>
        <v>0</v>
      </c>
      <c r="G9" s="700"/>
      <c r="H9" s="194" t="s">
        <v>166</v>
      </c>
      <c r="I9" s="195">
        <v>1783850</v>
      </c>
      <c r="J9" s="195">
        <v>1785362</v>
      </c>
      <c r="K9" s="197">
        <f>J9-I9</f>
        <v>1512</v>
      </c>
    </row>
    <row r="10" spans="2:11" ht="24.95" customHeight="1">
      <c r="B10" s="698" t="s">
        <v>167</v>
      </c>
      <c r="C10" s="424" t="s">
        <v>293</v>
      </c>
      <c r="D10" s="425">
        <f>SUM(D11:D14)</f>
        <v>1969266</v>
      </c>
      <c r="E10" s="425">
        <f>SUM(E11:E14)</f>
        <v>1971696</v>
      </c>
      <c r="F10" s="426">
        <f>SUM(F11:F14)</f>
        <v>2430</v>
      </c>
      <c r="G10" s="700"/>
      <c r="H10" s="194" t="s">
        <v>168</v>
      </c>
      <c r="I10" s="195">
        <v>1480</v>
      </c>
      <c r="J10" s="195">
        <v>1468</v>
      </c>
      <c r="K10" s="197">
        <f t="shared" ref="K10:K11" si="0">J10-I10</f>
        <v>-12</v>
      </c>
    </row>
    <row r="11" spans="2:11" ht="24.95" customHeight="1">
      <c r="B11" s="700"/>
      <c r="C11" s="276" t="s">
        <v>192</v>
      </c>
      <c r="D11" s="195">
        <v>1265010</v>
      </c>
      <c r="E11" s="195">
        <v>1265010</v>
      </c>
      <c r="F11" s="196">
        <f t="shared" ref="F11:F23" si="1">E11-D11</f>
        <v>0</v>
      </c>
      <c r="G11" s="699"/>
      <c r="H11" s="194" t="s">
        <v>93</v>
      </c>
      <c r="I11" s="195">
        <v>91420</v>
      </c>
      <c r="J11" s="195">
        <v>103430</v>
      </c>
      <c r="K11" s="197">
        <f t="shared" si="0"/>
        <v>12010</v>
      </c>
    </row>
    <row r="12" spans="2:11" ht="24.95" customHeight="1">
      <c r="B12" s="700"/>
      <c r="C12" s="276" t="s">
        <v>193</v>
      </c>
      <c r="D12" s="195">
        <v>112695</v>
      </c>
      <c r="E12" s="195">
        <v>112695</v>
      </c>
      <c r="F12" s="196">
        <f t="shared" si="1"/>
        <v>0</v>
      </c>
      <c r="G12" s="698" t="s">
        <v>94</v>
      </c>
      <c r="H12" s="424" t="s">
        <v>293</v>
      </c>
      <c r="I12" s="425">
        <f>SUM(I13:I15)</f>
        <v>131898</v>
      </c>
      <c r="J12" s="425">
        <f>SUM(J13:J15)</f>
        <v>109948</v>
      </c>
      <c r="K12" s="428">
        <f>SUM(K13:K15)</f>
        <v>-21950</v>
      </c>
    </row>
    <row r="13" spans="2:11" ht="24.95" customHeight="1">
      <c r="B13" s="700"/>
      <c r="C13" s="276" t="s">
        <v>194</v>
      </c>
      <c r="D13" s="195">
        <v>591561</v>
      </c>
      <c r="E13" s="195">
        <v>593991</v>
      </c>
      <c r="F13" s="196">
        <f t="shared" ref="F13" si="2">E13-D13</f>
        <v>2430</v>
      </c>
      <c r="G13" s="700"/>
      <c r="H13" s="194" t="s">
        <v>95</v>
      </c>
      <c r="I13" s="195">
        <v>0</v>
      </c>
      <c r="J13" s="195">
        <v>0</v>
      </c>
      <c r="K13" s="197">
        <f t="shared" ref="K13" si="3">J13-I13</f>
        <v>0</v>
      </c>
    </row>
    <row r="14" spans="2:11" ht="24.95" customHeight="1">
      <c r="B14" s="699"/>
      <c r="C14" s="518" t="s">
        <v>531</v>
      </c>
      <c r="D14" s="195">
        <v>0</v>
      </c>
      <c r="E14" s="195">
        <v>0</v>
      </c>
      <c r="F14" s="196">
        <f t="shared" si="1"/>
        <v>0</v>
      </c>
      <c r="G14" s="700"/>
      <c r="H14" s="194" t="s">
        <v>98</v>
      </c>
      <c r="I14" s="195">
        <v>35160</v>
      </c>
      <c r="J14" s="195">
        <v>41210</v>
      </c>
      <c r="K14" s="197">
        <f t="shared" ref="K14:K15" si="4">J14-I14</f>
        <v>6050</v>
      </c>
    </row>
    <row r="15" spans="2:11" ht="24.95" customHeight="1">
      <c r="B15" s="698" t="s">
        <v>96</v>
      </c>
      <c r="C15" s="424" t="s">
        <v>293</v>
      </c>
      <c r="D15" s="425">
        <f>SUM(D16:D17)</f>
        <v>168304</v>
      </c>
      <c r="E15" s="425">
        <f>SUM(E16:E17)</f>
        <v>156832</v>
      </c>
      <c r="F15" s="426">
        <f>SUM(F16:F17)</f>
        <v>-11472</v>
      </c>
      <c r="G15" s="699"/>
      <c r="H15" s="194" t="s">
        <v>100</v>
      </c>
      <c r="I15" s="195">
        <v>96738</v>
      </c>
      <c r="J15" s="195">
        <v>68738</v>
      </c>
      <c r="K15" s="197">
        <f t="shared" si="4"/>
        <v>-28000</v>
      </c>
    </row>
    <row r="16" spans="2:11" ht="24.95" customHeight="1">
      <c r="B16" s="700"/>
      <c r="C16" s="194" t="s">
        <v>97</v>
      </c>
      <c r="D16" s="195">
        <v>63904</v>
      </c>
      <c r="E16" s="195">
        <v>52432</v>
      </c>
      <c r="F16" s="196">
        <f t="shared" si="1"/>
        <v>-11472</v>
      </c>
      <c r="G16" s="698" t="s">
        <v>103</v>
      </c>
      <c r="H16" s="424" t="s">
        <v>293</v>
      </c>
      <c r="I16" s="425">
        <f>SUM(I17:I22)</f>
        <v>394414</v>
      </c>
      <c r="J16" s="425">
        <f>SUM(J17:J22)</f>
        <v>394486</v>
      </c>
      <c r="K16" s="428">
        <f>SUM(K17:K22)</f>
        <v>72</v>
      </c>
    </row>
    <row r="17" spans="2:11" ht="24.95" customHeight="1">
      <c r="B17" s="699"/>
      <c r="C17" s="194" t="s">
        <v>99</v>
      </c>
      <c r="D17" s="195">
        <v>104400</v>
      </c>
      <c r="E17" s="195">
        <v>104400</v>
      </c>
      <c r="F17" s="196">
        <f t="shared" si="1"/>
        <v>0</v>
      </c>
      <c r="G17" s="700"/>
      <c r="H17" s="194" t="s">
        <v>104</v>
      </c>
      <c r="I17" s="195">
        <v>222190</v>
      </c>
      <c r="J17" s="195">
        <v>222190</v>
      </c>
      <c r="K17" s="197">
        <f t="shared" ref="K17:K22" si="5">J17-I17</f>
        <v>0</v>
      </c>
    </row>
    <row r="18" spans="2:11" ht="24.95" customHeight="1">
      <c r="B18" s="698" t="s">
        <v>101</v>
      </c>
      <c r="C18" s="424" t="s">
        <v>293</v>
      </c>
      <c r="D18" s="425">
        <f>D19</f>
        <v>43607</v>
      </c>
      <c r="E18" s="425">
        <f>E19</f>
        <v>43607</v>
      </c>
      <c r="F18" s="426">
        <f>F19</f>
        <v>0</v>
      </c>
      <c r="G18" s="700"/>
      <c r="H18" s="194" t="s">
        <v>107</v>
      </c>
      <c r="I18" s="195">
        <v>7433</v>
      </c>
      <c r="J18" s="195">
        <v>8773</v>
      </c>
      <c r="K18" s="197">
        <f t="shared" si="5"/>
        <v>1340</v>
      </c>
    </row>
    <row r="19" spans="2:11" ht="24.95" customHeight="1">
      <c r="B19" s="699"/>
      <c r="C19" s="194" t="s">
        <v>102</v>
      </c>
      <c r="D19" s="195">
        <v>43607</v>
      </c>
      <c r="E19" s="195">
        <v>43607</v>
      </c>
      <c r="F19" s="196">
        <f t="shared" si="1"/>
        <v>0</v>
      </c>
      <c r="G19" s="700"/>
      <c r="H19" s="194" t="s">
        <v>110</v>
      </c>
      <c r="I19" s="195">
        <v>16640</v>
      </c>
      <c r="J19" s="195">
        <v>16640</v>
      </c>
      <c r="K19" s="197">
        <f t="shared" si="5"/>
        <v>0</v>
      </c>
    </row>
    <row r="20" spans="2:11" ht="24.95" customHeight="1">
      <c r="B20" s="698" t="s">
        <v>105</v>
      </c>
      <c r="C20" s="424" t="s">
        <v>293</v>
      </c>
      <c r="D20" s="425">
        <f>D21</f>
        <v>49405</v>
      </c>
      <c r="E20" s="425">
        <f>E21</f>
        <v>49405</v>
      </c>
      <c r="F20" s="426">
        <f>F21</f>
        <v>0</v>
      </c>
      <c r="G20" s="700"/>
      <c r="H20" s="194" t="s">
        <v>111</v>
      </c>
      <c r="I20" s="195">
        <v>16686</v>
      </c>
      <c r="J20" s="195">
        <v>16686</v>
      </c>
      <c r="K20" s="197">
        <f t="shared" si="5"/>
        <v>0</v>
      </c>
    </row>
    <row r="21" spans="2:11" ht="24.95" customHeight="1">
      <c r="B21" s="699"/>
      <c r="C21" s="194" t="s">
        <v>106</v>
      </c>
      <c r="D21" s="195">
        <v>49405</v>
      </c>
      <c r="E21" s="195">
        <v>49405</v>
      </c>
      <c r="F21" s="196">
        <f t="shared" si="1"/>
        <v>0</v>
      </c>
      <c r="G21" s="700"/>
      <c r="H21" s="194" t="s">
        <v>112</v>
      </c>
      <c r="I21" s="195">
        <v>27839</v>
      </c>
      <c r="J21" s="195">
        <v>27839</v>
      </c>
      <c r="K21" s="197">
        <f t="shared" si="5"/>
        <v>0</v>
      </c>
    </row>
    <row r="22" spans="2:11" ht="24.95" customHeight="1">
      <c r="B22" s="698" t="s">
        <v>108</v>
      </c>
      <c r="C22" s="424" t="s">
        <v>293</v>
      </c>
      <c r="D22" s="425">
        <f>D23</f>
        <v>55120</v>
      </c>
      <c r="E22" s="425">
        <f>E23</f>
        <v>55794</v>
      </c>
      <c r="F22" s="426">
        <f>F23</f>
        <v>674</v>
      </c>
      <c r="G22" s="699"/>
      <c r="H22" s="194" t="s">
        <v>113</v>
      </c>
      <c r="I22" s="195">
        <v>103626</v>
      </c>
      <c r="J22" s="195">
        <v>102358</v>
      </c>
      <c r="K22" s="197">
        <f t="shared" si="5"/>
        <v>-1268</v>
      </c>
    </row>
    <row r="23" spans="2:11" ht="24.95" customHeight="1">
      <c r="B23" s="699"/>
      <c r="C23" s="194" t="s">
        <v>109</v>
      </c>
      <c r="D23" s="195">
        <v>55120</v>
      </c>
      <c r="E23" s="195">
        <v>55794</v>
      </c>
      <c r="F23" s="196">
        <f t="shared" si="1"/>
        <v>674</v>
      </c>
      <c r="G23" s="702" t="s">
        <v>156</v>
      </c>
      <c r="H23" s="424" t="s">
        <v>293</v>
      </c>
      <c r="I23" s="425">
        <f>I24</f>
        <v>240</v>
      </c>
      <c r="J23" s="425">
        <f>J24</f>
        <v>240</v>
      </c>
      <c r="K23" s="428">
        <f>K24</f>
        <v>0</v>
      </c>
    </row>
    <row r="24" spans="2:11" ht="24.95" customHeight="1">
      <c r="B24" s="519"/>
      <c r="C24" s="520"/>
      <c r="D24" s="520"/>
      <c r="E24" s="520"/>
      <c r="F24" s="520"/>
      <c r="G24" s="703"/>
      <c r="H24" s="194" t="s">
        <v>114</v>
      </c>
      <c r="I24" s="195">
        <v>240</v>
      </c>
      <c r="J24" s="195">
        <v>240</v>
      </c>
      <c r="K24" s="197">
        <f t="shared" ref="K24" si="6">J24-I24</f>
        <v>0</v>
      </c>
    </row>
    <row r="25" spans="2:11" ht="24.95" customHeight="1">
      <c r="B25" s="521"/>
      <c r="C25" s="522"/>
      <c r="D25" s="522"/>
      <c r="E25" s="522"/>
      <c r="F25" s="522"/>
      <c r="G25" s="698" t="s">
        <v>115</v>
      </c>
      <c r="H25" s="424" t="s">
        <v>293</v>
      </c>
      <c r="I25" s="425">
        <v>0</v>
      </c>
      <c r="J25" s="425">
        <f>J26</f>
        <v>0</v>
      </c>
      <c r="K25" s="428">
        <f>K26</f>
        <v>0</v>
      </c>
    </row>
    <row r="26" spans="2:11" ht="24.95" customHeight="1">
      <c r="B26" s="521"/>
      <c r="C26" s="522"/>
      <c r="D26" s="522"/>
      <c r="E26" s="522"/>
      <c r="F26" s="522"/>
      <c r="G26" s="699"/>
      <c r="H26" s="194" t="s">
        <v>116</v>
      </c>
      <c r="I26" s="195">
        <v>0</v>
      </c>
      <c r="J26" s="195">
        <v>0</v>
      </c>
      <c r="K26" s="197">
        <f t="shared" ref="K26" si="7">J26-I26</f>
        <v>0</v>
      </c>
    </row>
    <row r="27" spans="2:11" ht="24.95" customHeight="1">
      <c r="B27" s="521"/>
      <c r="C27" s="522"/>
      <c r="D27" s="522"/>
      <c r="E27" s="522"/>
      <c r="F27" s="522"/>
      <c r="G27" s="698" t="s">
        <v>117</v>
      </c>
      <c r="H27" s="424" t="s">
        <v>293</v>
      </c>
      <c r="I27" s="425">
        <f>I28</f>
        <v>0</v>
      </c>
      <c r="J27" s="425">
        <f>J28</f>
        <v>0</v>
      </c>
      <c r="K27" s="428">
        <f>K28</f>
        <v>0</v>
      </c>
    </row>
    <row r="28" spans="2:11" ht="24.95" customHeight="1" thickBot="1">
      <c r="B28" s="523"/>
      <c r="C28" s="524"/>
      <c r="D28" s="524"/>
      <c r="E28" s="524"/>
      <c r="F28" s="524"/>
      <c r="G28" s="701"/>
      <c r="H28" s="198" t="s">
        <v>118</v>
      </c>
      <c r="I28" s="199">
        <v>0</v>
      </c>
      <c r="J28" s="199">
        <v>0</v>
      </c>
      <c r="K28" s="200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3"/>
  <sheetViews>
    <sheetView zoomScale="85" zoomScaleNormal="85" workbookViewId="0">
      <pane xSplit="4" ySplit="4" topLeftCell="E134" activePane="bottomRight" state="frozen"/>
      <selection pane="topRight" activeCell="E1" sqref="E1"/>
      <selection pane="bottomLeft" activeCell="A5" sqref="A5"/>
      <selection pane="bottomRight" activeCell="E286" sqref="E28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26" t="s">
        <v>800</v>
      </c>
      <c r="B1" s="726"/>
      <c r="C1" s="726"/>
      <c r="D1" s="726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27" t="s">
        <v>528</v>
      </c>
      <c r="B2" s="728"/>
      <c r="C2" s="728"/>
      <c r="D2" s="728"/>
      <c r="E2" s="724" t="s">
        <v>801</v>
      </c>
      <c r="F2" s="724" t="s">
        <v>802</v>
      </c>
      <c r="G2" s="732" t="s">
        <v>23</v>
      </c>
      <c r="H2" s="732"/>
      <c r="I2" s="732" t="s">
        <v>527</v>
      </c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  <c r="V2" s="732"/>
      <c r="W2" s="732"/>
      <c r="X2" s="732"/>
      <c r="Y2" s="733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526</v>
      </c>
      <c r="D3" s="26" t="s">
        <v>525</v>
      </c>
      <c r="E3" s="725"/>
      <c r="F3" s="725"/>
      <c r="G3" s="143" t="s">
        <v>524</v>
      </c>
      <c r="H3" s="27" t="s">
        <v>4</v>
      </c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5"/>
      <c r="Z3" s="8"/>
    </row>
    <row r="4" spans="1:26" s="3" customFormat="1" ht="19.5" customHeight="1">
      <c r="A4" s="729" t="s">
        <v>24</v>
      </c>
      <c r="B4" s="730"/>
      <c r="C4" s="730"/>
      <c r="D4" s="731"/>
      <c r="E4" s="222">
        <f>SUM(E5,E8,E10,E12,E171,E191,E198,E239,E264)</f>
        <v>2403302</v>
      </c>
      <c r="F4" s="222">
        <f>SUM(F5,F8,F10,F12,F171,F191,F198,F239,F264)</f>
        <v>2394934</v>
      </c>
      <c r="G4" s="290">
        <f>SUM(G5,G8,G10,G12,G171,G191,G198,G239,G264)</f>
        <v>-8368</v>
      </c>
      <c r="H4" s="223">
        <f>IF(E4=0,0,G4/E4)</f>
        <v>-3.4818761853483249E-3</v>
      </c>
      <c r="I4" s="28" t="s">
        <v>523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5">
        <f>SUM(X5,X8,X10,X12,X171,X191,X198,X239,X264)</f>
        <v>2394934000</v>
      </c>
      <c r="Y4" s="30" t="s">
        <v>382</v>
      </c>
      <c r="Z4" s="8"/>
    </row>
    <row r="5" spans="1:26" ht="21" customHeight="1" thickBot="1">
      <c r="A5" s="35" t="s">
        <v>522</v>
      </c>
      <c r="B5" s="36" t="s">
        <v>522</v>
      </c>
      <c r="C5" s="202" t="s">
        <v>521</v>
      </c>
      <c r="D5" s="202" t="s">
        <v>520</v>
      </c>
      <c r="E5" s="216">
        <v>117600</v>
      </c>
      <c r="F5" s="216">
        <f>ROUND(X5/1000,0)</f>
        <v>117600</v>
      </c>
      <c r="G5" s="217">
        <f>F5-E5</f>
        <v>0</v>
      </c>
      <c r="H5" s="218">
        <f>IF(E5=0,0,G5/E5)</f>
        <v>0</v>
      </c>
      <c r="I5" s="40" t="s">
        <v>519</v>
      </c>
      <c r="J5" s="137"/>
      <c r="K5" s="41"/>
      <c r="L5" s="41"/>
      <c r="M5" s="41"/>
      <c r="N5" s="41"/>
      <c r="O5" s="41"/>
      <c r="P5" s="42"/>
      <c r="Q5" s="42" t="s">
        <v>515</v>
      </c>
      <c r="R5" s="42"/>
      <c r="S5" s="42"/>
      <c r="T5" s="42"/>
      <c r="U5" s="42"/>
      <c r="V5" s="42"/>
      <c r="W5" s="43"/>
      <c r="X5" s="43">
        <f>SUM(X6:X7)</f>
        <v>117600000</v>
      </c>
      <c r="Y5" s="44" t="s">
        <v>25</v>
      </c>
    </row>
    <row r="6" spans="1:26" ht="21" customHeight="1">
      <c r="A6" s="45" t="s">
        <v>518</v>
      </c>
      <c r="B6" s="46" t="s">
        <v>120</v>
      </c>
      <c r="C6" s="47" t="s">
        <v>120</v>
      </c>
      <c r="D6" s="47" t="s">
        <v>120</v>
      </c>
      <c r="E6" s="563"/>
      <c r="F6" s="563"/>
      <c r="G6" s="564"/>
      <c r="H6" s="565"/>
      <c r="I6" s="595" t="s">
        <v>658</v>
      </c>
      <c r="J6" s="585"/>
      <c r="K6" s="297"/>
      <c r="L6" s="297"/>
      <c r="M6" s="589">
        <v>350000</v>
      </c>
      <c r="N6" s="589" t="s">
        <v>650</v>
      </c>
      <c r="O6" s="590" t="s">
        <v>651</v>
      </c>
      <c r="P6" s="589">
        <v>28</v>
      </c>
      <c r="Q6" s="589" t="s">
        <v>652</v>
      </c>
      <c r="R6" s="590" t="s">
        <v>651</v>
      </c>
      <c r="S6" s="298">
        <v>12</v>
      </c>
      <c r="T6" s="560" t="s">
        <v>659</v>
      </c>
      <c r="U6" s="560" t="s">
        <v>654</v>
      </c>
      <c r="V6" s="560"/>
      <c r="W6" s="589"/>
      <c r="X6" s="589">
        <f>M6*P6*S6</f>
        <v>117600000</v>
      </c>
      <c r="Y6" s="131" t="s">
        <v>650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595"/>
      <c r="J7" s="585"/>
      <c r="K7" s="297"/>
      <c r="L7" s="297"/>
      <c r="M7" s="589"/>
      <c r="N7" s="589" t="s">
        <v>650</v>
      </c>
      <c r="O7" s="590" t="s">
        <v>651</v>
      </c>
      <c r="P7" s="589"/>
      <c r="Q7" s="589" t="s">
        <v>652</v>
      </c>
      <c r="R7" s="590" t="s">
        <v>651</v>
      </c>
      <c r="S7" s="298"/>
      <c r="T7" s="560" t="s">
        <v>659</v>
      </c>
      <c r="U7" s="560" t="s">
        <v>654</v>
      </c>
      <c r="V7" s="560"/>
      <c r="W7" s="589"/>
      <c r="X7" s="589">
        <f>M7*P7*S7</f>
        <v>0</v>
      </c>
      <c r="Y7" s="131" t="s">
        <v>650</v>
      </c>
    </row>
    <row r="8" spans="1:26" s="11" customFormat="1" ht="19.5" customHeight="1" thickBot="1">
      <c r="A8" s="35" t="s">
        <v>517</v>
      </c>
      <c r="B8" s="36" t="s">
        <v>517</v>
      </c>
      <c r="C8" s="36" t="s">
        <v>517</v>
      </c>
      <c r="D8" s="36" t="s">
        <v>517</v>
      </c>
      <c r="E8" s="216">
        <v>0</v>
      </c>
      <c r="F8" s="216">
        <f>ROUND(X8/1000,0)</f>
        <v>0</v>
      </c>
      <c r="G8" s="217">
        <f>F8-E8</f>
        <v>0</v>
      </c>
      <c r="H8" s="218">
        <f>IF(E8=0,0,G8/E8)</f>
        <v>0</v>
      </c>
      <c r="I8" s="40" t="s">
        <v>516</v>
      </c>
      <c r="J8" s="137"/>
      <c r="K8" s="41"/>
      <c r="L8" s="41"/>
      <c r="M8" s="41"/>
      <c r="N8" s="41"/>
      <c r="O8" s="41"/>
      <c r="P8" s="42"/>
      <c r="Q8" s="42" t="s">
        <v>515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508</v>
      </c>
      <c r="B9" s="59" t="s">
        <v>508</v>
      </c>
      <c r="C9" s="59" t="s">
        <v>508</v>
      </c>
      <c r="D9" s="59" t="s">
        <v>508</v>
      </c>
      <c r="E9" s="48"/>
      <c r="F9" s="48"/>
      <c r="G9" s="49"/>
      <c r="H9" s="31"/>
      <c r="I9" s="53" t="s">
        <v>514</v>
      </c>
      <c r="J9" s="54"/>
      <c r="K9" s="55"/>
      <c r="L9" s="55"/>
      <c r="M9" s="295"/>
      <c r="N9" s="295"/>
      <c r="O9" s="296"/>
      <c r="P9" s="295"/>
      <c r="Q9" s="295"/>
      <c r="R9" s="296"/>
      <c r="S9" s="56"/>
      <c r="T9" s="456"/>
      <c r="U9" s="456"/>
      <c r="V9" s="456"/>
      <c r="W9" s="295"/>
      <c r="X9" s="295">
        <v>0</v>
      </c>
      <c r="Y9" s="57" t="s">
        <v>359</v>
      </c>
    </row>
    <row r="10" spans="1:26" ht="21" customHeight="1" thickBot="1">
      <c r="A10" s="35" t="s">
        <v>513</v>
      </c>
      <c r="B10" s="36" t="s">
        <v>513</v>
      </c>
      <c r="C10" s="36" t="s">
        <v>513</v>
      </c>
      <c r="D10" s="36" t="s">
        <v>513</v>
      </c>
      <c r="E10" s="216">
        <v>0</v>
      </c>
      <c r="F10" s="216">
        <f>ROUND(X10/1000,0)</f>
        <v>0</v>
      </c>
      <c r="G10" s="217">
        <f>F10-E10</f>
        <v>0</v>
      </c>
      <c r="H10" s="218">
        <f>IF(E10=0,0,G10/E10)</f>
        <v>0</v>
      </c>
      <c r="I10" s="40" t="s">
        <v>512</v>
      </c>
      <c r="J10" s="137"/>
      <c r="K10" s="41"/>
      <c r="L10" s="41"/>
      <c r="M10" s="41"/>
      <c r="N10" s="41"/>
      <c r="O10" s="41"/>
      <c r="P10" s="42"/>
      <c r="Q10" s="42" t="s">
        <v>511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508</v>
      </c>
      <c r="B11" s="59" t="s">
        <v>508</v>
      </c>
      <c r="C11" s="59" t="s">
        <v>508</v>
      </c>
      <c r="D11" s="514" t="s">
        <v>508</v>
      </c>
      <c r="E11" s="225"/>
      <c r="F11" s="226">
        <v>0</v>
      </c>
      <c r="G11" s="227"/>
      <c r="H11" s="228"/>
      <c r="I11" s="229"/>
      <c r="J11" s="230"/>
      <c r="K11" s="231"/>
      <c r="L11" s="231"/>
      <c r="M11" s="231"/>
      <c r="N11" s="231"/>
      <c r="O11" s="231"/>
      <c r="P11" s="232"/>
      <c r="Q11" s="232"/>
      <c r="R11" s="232"/>
      <c r="S11" s="232"/>
      <c r="T11" s="232"/>
      <c r="U11" s="232"/>
      <c r="V11" s="232"/>
      <c r="W11" s="233"/>
      <c r="X11" s="233">
        <v>0</v>
      </c>
      <c r="Y11" s="265" t="s">
        <v>359</v>
      </c>
    </row>
    <row r="12" spans="1:26" s="11" customFormat="1" ht="19.5" customHeight="1">
      <c r="A12" s="35" t="s">
        <v>489</v>
      </c>
      <c r="B12" s="36" t="s">
        <v>489</v>
      </c>
      <c r="C12" s="722" t="s">
        <v>371</v>
      </c>
      <c r="D12" s="723"/>
      <c r="E12" s="248">
        <f>SUM(E13,E42,E106,E168)</f>
        <v>1969266</v>
      </c>
      <c r="F12" s="248">
        <f>SUM(F13,F42,F106,F168)</f>
        <v>1971696</v>
      </c>
      <c r="G12" s="249">
        <f>F12-E12</f>
        <v>2430</v>
      </c>
      <c r="H12" s="250">
        <f>IF(E12=0,0,G12/E12)</f>
        <v>1.2339622986432509E-3</v>
      </c>
      <c r="I12" s="251" t="s">
        <v>510</v>
      </c>
      <c r="J12" s="252"/>
      <c r="K12" s="253"/>
      <c r="L12" s="253"/>
      <c r="M12" s="252"/>
      <c r="N12" s="252"/>
      <c r="O12" s="252"/>
      <c r="P12" s="252"/>
      <c r="Q12" s="252"/>
      <c r="R12" s="254"/>
      <c r="S12" s="254"/>
      <c r="T12" s="254"/>
      <c r="U12" s="254"/>
      <c r="V12" s="254"/>
      <c r="W12" s="254"/>
      <c r="X12" s="255">
        <f>SUM(X13,X42,X106,X168)</f>
        <v>1971696000</v>
      </c>
      <c r="Y12" s="266" t="s">
        <v>25</v>
      </c>
      <c r="Z12" s="6"/>
    </row>
    <row r="13" spans="1:26" s="11" customFormat="1" ht="19.5" customHeight="1">
      <c r="A13" s="45" t="s">
        <v>509</v>
      </c>
      <c r="B13" s="46" t="s">
        <v>508</v>
      </c>
      <c r="C13" s="36" t="s">
        <v>507</v>
      </c>
      <c r="D13" s="458" t="s">
        <v>367</v>
      </c>
      <c r="E13" s="219">
        <f>SUM(E14:E34)</f>
        <v>1265010</v>
      </c>
      <c r="F13" s="219">
        <f>SUM(F14:F34)</f>
        <v>1265010</v>
      </c>
      <c r="G13" s="220">
        <f>F13-E13</f>
        <v>0</v>
      </c>
      <c r="H13" s="221">
        <f>IF(E13=0,0,G13/E13)</f>
        <v>0</v>
      </c>
      <c r="I13" s="204" t="s">
        <v>506</v>
      </c>
      <c r="J13" s="205"/>
      <c r="K13" s="206"/>
      <c r="L13" s="206"/>
      <c r="M13" s="206"/>
      <c r="N13" s="206"/>
      <c r="O13" s="206"/>
      <c r="P13" s="207"/>
      <c r="Q13" s="207"/>
      <c r="R13" s="207"/>
      <c r="S13" s="207"/>
      <c r="T13" s="207"/>
      <c r="U13" s="207"/>
      <c r="V13" s="234" t="s">
        <v>360</v>
      </c>
      <c r="W13" s="235"/>
      <c r="X13" s="236">
        <f>SUM(X14,X19,X34)</f>
        <v>1265010000</v>
      </c>
      <c r="Y13" s="267" t="s">
        <v>359</v>
      </c>
      <c r="Z13" s="6"/>
    </row>
    <row r="14" spans="1:26" s="11" customFormat="1" ht="19.5" customHeight="1">
      <c r="A14" s="45"/>
      <c r="B14" s="46"/>
      <c r="C14" s="46" t="s">
        <v>489</v>
      </c>
      <c r="D14" s="46" t="s">
        <v>488</v>
      </c>
      <c r="E14" s="513">
        <v>67863</v>
      </c>
      <c r="F14" s="513">
        <f>ROUND(X14/1000,0)</f>
        <v>67863</v>
      </c>
      <c r="G14" s="271">
        <f>F14-E14</f>
        <v>0</v>
      </c>
      <c r="H14" s="272">
        <f>IF(E14=0,0,G14/E14)</f>
        <v>0</v>
      </c>
      <c r="I14" s="138" t="s">
        <v>487</v>
      </c>
      <c r="J14" s="296"/>
      <c r="K14" s="295"/>
      <c r="L14" s="295"/>
      <c r="M14" s="295"/>
      <c r="N14" s="456"/>
      <c r="O14" s="208"/>
      <c r="P14" s="295"/>
      <c r="Q14" s="54"/>
      <c r="R14" s="209"/>
      <c r="S14" s="211"/>
      <c r="T14" s="211"/>
      <c r="U14" s="456"/>
      <c r="V14" s="491" t="s">
        <v>456</v>
      </c>
      <c r="W14" s="140"/>
      <c r="X14" s="140">
        <f>SUM(X15:X17)</f>
        <v>67863000</v>
      </c>
      <c r="Y14" s="141" t="s">
        <v>359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12"/>
      <c r="G15" s="49"/>
      <c r="H15" s="68"/>
      <c r="I15" s="285" t="s">
        <v>486</v>
      </c>
      <c r="J15" s="296"/>
      <c r="K15" s="295"/>
      <c r="L15" s="295"/>
      <c r="M15" s="295">
        <v>252812</v>
      </c>
      <c r="N15" s="456" t="s">
        <v>25</v>
      </c>
      <c r="O15" s="208" t="s">
        <v>26</v>
      </c>
      <c r="P15" s="457">
        <v>24</v>
      </c>
      <c r="Q15" s="54" t="s">
        <v>139</v>
      </c>
      <c r="R15" s="209" t="s">
        <v>26</v>
      </c>
      <c r="S15" s="211">
        <v>12</v>
      </c>
      <c r="T15" s="211" t="s">
        <v>29</v>
      </c>
      <c r="U15" s="456" t="s">
        <v>26</v>
      </c>
      <c r="V15" s="490">
        <v>0.9</v>
      </c>
      <c r="W15" s="66" t="s">
        <v>27</v>
      </c>
      <c r="X15" s="66">
        <f>ROUND(M15*P15*S15*V15,-3)</f>
        <v>65529000</v>
      </c>
      <c r="Y15" s="57" t="s">
        <v>359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12"/>
      <c r="G16" s="49"/>
      <c r="H16" s="68"/>
      <c r="I16" s="285" t="s">
        <v>485</v>
      </c>
      <c r="J16" s="296"/>
      <c r="K16" s="295"/>
      <c r="L16" s="295"/>
      <c r="M16" s="295">
        <v>35394</v>
      </c>
      <c r="N16" s="456" t="s">
        <v>25</v>
      </c>
      <c r="O16" s="208" t="s">
        <v>26</v>
      </c>
      <c r="P16" s="457">
        <v>24</v>
      </c>
      <c r="Q16" s="54" t="s">
        <v>139</v>
      </c>
      <c r="R16" s="475" t="s">
        <v>26</v>
      </c>
      <c r="S16" s="211">
        <v>1</v>
      </c>
      <c r="T16" s="211" t="s">
        <v>483</v>
      </c>
      <c r="U16" s="456" t="s">
        <v>26</v>
      </c>
      <c r="V16" s="490">
        <v>0.9</v>
      </c>
      <c r="W16" s="66" t="s">
        <v>27</v>
      </c>
      <c r="X16" s="66">
        <f>ROUNDUP(M16*P16*S16*V16,-3)</f>
        <v>765000</v>
      </c>
      <c r="Y16" s="57" t="s">
        <v>359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5" t="s">
        <v>484</v>
      </c>
      <c r="J17" s="66"/>
      <c r="K17" s="210"/>
      <c r="L17" s="210"/>
      <c r="M17" s="295">
        <v>36300</v>
      </c>
      <c r="N17" s="295" t="s">
        <v>25</v>
      </c>
      <c r="O17" s="208" t="s">
        <v>26</v>
      </c>
      <c r="P17" s="457">
        <v>24</v>
      </c>
      <c r="Q17" s="54" t="s">
        <v>139</v>
      </c>
      <c r="R17" s="475" t="s">
        <v>26</v>
      </c>
      <c r="S17" s="56">
        <v>2</v>
      </c>
      <c r="T17" s="456" t="s">
        <v>483</v>
      </c>
      <c r="U17" s="456" t="s">
        <v>26</v>
      </c>
      <c r="V17" s="490">
        <v>0.9</v>
      </c>
      <c r="W17" s="296" t="s">
        <v>27</v>
      </c>
      <c r="X17" s="66">
        <f>ROUNDUP(M17*P17*S17*V17,-3)</f>
        <v>1569000</v>
      </c>
      <c r="Y17" s="57" t="s">
        <v>359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5"/>
      <c r="J18" s="66"/>
      <c r="K18" s="210"/>
      <c r="L18" s="210"/>
      <c r="M18" s="295"/>
      <c r="N18" s="295"/>
      <c r="O18" s="208"/>
      <c r="P18" s="457"/>
      <c r="Q18" s="54"/>
      <c r="R18" s="475"/>
      <c r="S18" s="56"/>
      <c r="T18" s="456"/>
      <c r="U18" s="456"/>
      <c r="V18" s="490"/>
      <c r="W18" s="296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482</v>
      </c>
      <c r="E19" s="37">
        <v>1139824</v>
      </c>
      <c r="F19" s="237">
        <f>ROUND(X19/1000,0)</f>
        <v>1139824</v>
      </c>
      <c r="G19" s="38">
        <f>F19-E19</f>
        <v>0</v>
      </c>
      <c r="H19" s="115">
        <f>IF(E19=0,0,G19/E19)</f>
        <v>0</v>
      </c>
      <c r="I19" s="243" t="s">
        <v>572</v>
      </c>
      <c r="J19" s="242"/>
      <c r="K19" s="247"/>
      <c r="L19" s="247"/>
      <c r="M19" s="86"/>
      <c r="N19" s="86"/>
      <c r="O19" s="238"/>
      <c r="P19" s="86"/>
      <c r="Q19" s="239"/>
      <c r="R19" s="240"/>
      <c r="S19" s="241"/>
      <c r="T19" s="246"/>
      <c r="U19" s="246"/>
      <c r="V19" s="244" t="s">
        <v>456</v>
      </c>
      <c r="W19" s="245"/>
      <c r="X19" s="245">
        <f>SUM(X20,X21,X25,X27)</f>
        <v>1139824000</v>
      </c>
      <c r="Y19" s="268" t="s">
        <v>359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6" t="s">
        <v>481</v>
      </c>
      <c r="J20" s="296"/>
      <c r="K20" s="295"/>
      <c r="L20" s="295"/>
      <c r="M20" s="295">
        <v>1025040000</v>
      </c>
      <c r="N20" s="295" t="s">
        <v>359</v>
      </c>
      <c r="O20" s="72" t="s">
        <v>373</v>
      </c>
      <c r="P20" s="489">
        <v>0.7</v>
      </c>
      <c r="Q20" s="295"/>
      <c r="R20" s="295"/>
      <c r="S20" s="295"/>
      <c r="T20" s="295"/>
      <c r="U20" s="295" t="s">
        <v>372</v>
      </c>
      <c r="V20" s="224" t="s">
        <v>360</v>
      </c>
      <c r="W20" s="70"/>
      <c r="X20" s="224">
        <f>ROUNDUP(M20*P20,-3)</f>
        <v>717528000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87" t="s">
        <v>480</v>
      </c>
      <c r="J21" s="296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139" t="s">
        <v>360</v>
      </c>
      <c r="W21" s="140"/>
      <c r="X21" s="139">
        <f>SUM(X22:X24)</f>
        <v>248988000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5" t="s">
        <v>447</v>
      </c>
      <c r="J22" s="296"/>
      <c r="K22" s="295"/>
      <c r="L22" s="295"/>
      <c r="M22" s="295">
        <v>105713000</v>
      </c>
      <c r="N22" s="295" t="s">
        <v>359</v>
      </c>
      <c r="O22" s="72" t="s">
        <v>373</v>
      </c>
      <c r="P22" s="489">
        <v>0.7</v>
      </c>
      <c r="Q22" s="295"/>
      <c r="R22" s="295"/>
      <c r="S22" s="295"/>
      <c r="T22" s="295"/>
      <c r="U22" s="295" t="s">
        <v>372</v>
      </c>
      <c r="V22" s="721"/>
      <c r="W22" s="721"/>
      <c r="X22" s="242">
        <f>ROUNDDOWN(M22*P22,-3)</f>
        <v>73999000</v>
      </c>
      <c r="Y22" s="484" t="s">
        <v>359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5" t="s">
        <v>446</v>
      </c>
      <c r="J23" s="296"/>
      <c r="K23" s="295"/>
      <c r="L23" s="295"/>
      <c r="M23" s="295">
        <v>14400000</v>
      </c>
      <c r="N23" s="295" t="s">
        <v>359</v>
      </c>
      <c r="O23" s="72" t="s">
        <v>373</v>
      </c>
      <c r="P23" s="489">
        <v>0.7</v>
      </c>
      <c r="Q23" s="295"/>
      <c r="R23" s="295"/>
      <c r="S23" s="295"/>
      <c r="T23" s="295"/>
      <c r="U23" s="295" t="s">
        <v>372</v>
      </c>
      <c r="V23" s="720"/>
      <c r="W23" s="720"/>
      <c r="X23" s="66">
        <f>ROUND(M23*P23,-3)</f>
        <v>10080000</v>
      </c>
      <c r="Y23" s="57" t="s">
        <v>359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5" t="s">
        <v>445</v>
      </c>
      <c r="J24" s="296"/>
      <c r="K24" s="295"/>
      <c r="L24" s="295"/>
      <c r="M24" s="295">
        <v>235584000</v>
      </c>
      <c r="N24" s="295" t="s">
        <v>359</v>
      </c>
      <c r="O24" s="72" t="s">
        <v>373</v>
      </c>
      <c r="P24" s="489">
        <v>0.7</v>
      </c>
      <c r="Q24" s="295"/>
      <c r="R24" s="295"/>
      <c r="S24" s="295"/>
      <c r="T24" s="295"/>
      <c r="U24" s="295" t="s">
        <v>372</v>
      </c>
      <c r="V24" s="720"/>
      <c r="W24" s="720"/>
      <c r="X24" s="66">
        <f>ROUNDUP(M24*P24,-3)</f>
        <v>164909000</v>
      </c>
      <c r="Y24" s="57" t="s">
        <v>359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6" t="s">
        <v>479</v>
      </c>
      <c r="J25" s="296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24" t="s">
        <v>360</v>
      </c>
      <c r="W25" s="70"/>
      <c r="X25" s="224">
        <f>X26</f>
        <v>80543000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5" t="s">
        <v>573</v>
      </c>
      <c r="J26" s="296"/>
      <c r="K26" s="295"/>
      <c r="L26" s="295"/>
      <c r="M26" s="295">
        <f>SUM(M20:M24)</f>
        <v>1380737000</v>
      </c>
      <c r="N26" s="54" t="s">
        <v>359</v>
      </c>
      <c r="O26" s="456" t="s">
        <v>380</v>
      </c>
      <c r="P26" s="483">
        <v>12</v>
      </c>
      <c r="Q26" s="208" t="s">
        <v>379</v>
      </c>
      <c r="R26" s="72" t="s">
        <v>373</v>
      </c>
      <c r="S26" s="489">
        <v>0.7</v>
      </c>
      <c r="T26" s="295"/>
      <c r="U26" s="295" t="s">
        <v>372</v>
      </c>
      <c r="V26" s="86"/>
      <c r="W26" s="86"/>
      <c r="X26" s="242">
        <f>ROUND(M26/P26*S26,-3)</f>
        <v>80543000</v>
      </c>
      <c r="Y26" s="498" t="s">
        <v>359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6" t="s">
        <v>478</v>
      </c>
      <c r="J27" s="296"/>
      <c r="K27" s="295"/>
      <c r="L27" s="295"/>
      <c r="M27" s="295"/>
      <c r="N27" s="54"/>
      <c r="O27" s="295"/>
      <c r="P27" s="295"/>
      <c r="Q27" s="295"/>
      <c r="R27" s="295"/>
      <c r="S27" s="295"/>
      <c r="T27" s="295"/>
      <c r="U27" s="295"/>
      <c r="V27" s="224" t="s">
        <v>360</v>
      </c>
      <c r="W27" s="70"/>
      <c r="X27" s="224">
        <f>SUM(X28:X32)</f>
        <v>92765000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5" t="s">
        <v>477</v>
      </c>
      <c r="J28" s="296"/>
      <c r="K28" s="295"/>
      <c r="L28" s="295"/>
      <c r="M28" s="295">
        <f>M26</f>
        <v>1380737000</v>
      </c>
      <c r="N28" s="54" t="s">
        <v>359</v>
      </c>
      <c r="O28" s="72" t="s">
        <v>373</v>
      </c>
      <c r="P28" s="471">
        <v>0.09</v>
      </c>
      <c r="Q28" s="456">
        <v>2</v>
      </c>
      <c r="R28" s="72" t="s">
        <v>373</v>
      </c>
      <c r="S28" s="489">
        <v>0.7</v>
      </c>
      <c r="T28" s="74"/>
      <c r="U28" s="456" t="s">
        <v>372</v>
      </c>
      <c r="V28" s="295"/>
      <c r="W28" s="66"/>
      <c r="X28" s="66">
        <f>ROUNDUP(M28*P28/Q28*S28,-3)</f>
        <v>43494000</v>
      </c>
      <c r="Y28" s="57" t="s">
        <v>359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5" t="s">
        <v>476</v>
      </c>
      <c r="J29" s="296"/>
      <c r="K29" s="295"/>
      <c r="L29" s="295"/>
      <c r="M29" s="295">
        <f>M26</f>
        <v>1380737000</v>
      </c>
      <c r="N29" s="54" t="s">
        <v>359</v>
      </c>
      <c r="O29" s="72" t="s">
        <v>373</v>
      </c>
      <c r="P29" s="470">
        <v>6.4600000000000005E-2</v>
      </c>
      <c r="Q29" s="456">
        <v>2</v>
      </c>
      <c r="R29" s="72" t="s">
        <v>373</v>
      </c>
      <c r="S29" s="489">
        <v>0.7</v>
      </c>
      <c r="T29" s="74"/>
      <c r="U29" s="456" t="s">
        <v>372</v>
      </c>
      <c r="V29" s="295"/>
      <c r="W29" s="66"/>
      <c r="X29" s="66">
        <f>ROUNDUP(M29*P29/Q29*S29,-3)</f>
        <v>31219000</v>
      </c>
      <c r="Y29" s="57" t="s">
        <v>359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5" t="s">
        <v>475</v>
      </c>
      <c r="J30" s="296"/>
      <c r="K30" s="295"/>
      <c r="L30" s="295"/>
      <c r="M30" s="295">
        <f>X29</f>
        <v>31219000</v>
      </c>
      <c r="N30" s="54" t="s">
        <v>359</v>
      </c>
      <c r="O30" s="72" t="s">
        <v>373</v>
      </c>
      <c r="P30" s="76">
        <v>8.5099999999999995E-2</v>
      </c>
      <c r="Q30" s="469"/>
      <c r="R30" s="72"/>
      <c r="S30" s="75"/>
      <c r="T30" s="468"/>
      <c r="U30" s="456" t="s">
        <v>372</v>
      </c>
      <c r="V30" s="295"/>
      <c r="W30" s="66"/>
      <c r="X30" s="66">
        <f>ROUNDDOWN(M30*P30,-3)</f>
        <v>2656000</v>
      </c>
      <c r="Y30" s="57" t="s">
        <v>359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5" t="s">
        <v>474</v>
      </c>
      <c r="J31" s="296"/>
      <c r="K31" s="295"/>
      <c r="L31" s="295"/>
      <c r="M31" s="295">
        <f>M26</f>
        <v>1380737000</v>
      </c>
      <c r="N31" s="54" t="s">
        <v>359</v>
      </c>
      <c r="O31" s="72" t="s">
        <v>373</v>
      </c>
      <c r="P31" s="76">
        <v>8.9999999999999993E-3</v>
      </c>
      <c r="Q31" s="72"/>
      <c r="R31" s="72" t="s">
        <v>373</v>
      </c>
      <c r="S31" s="489">
        <v>0.7</v>
      </c>
      <c r="T31" s="74"/>
      <c r="U31" s="456" t="s">
        <v>372</v>
      </c>
      <c r="V31" s="295"/>
      <c r="W31" s="66"/>
      <c r="X31" s="66">
        <f>ROUNDUP(ROUNDUP(M31*P31,-3)*S31,-3)</f>
        <v>8699000</v>
      </c>
      <c r="Y31" s="57" t="s">
        <v>359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5" t="s">
        <v>473</v>
      </c>
      <c r="J32" s="296"/>
      <c r="K32" s="295"/>
      <c r="L32" s="295"/>
      <c r="M32" s="295">
        <f>M26</f>
        <v>1380737000</v>
      </c>
      <c r="N32" s="54" t="s">
        <v>359</v>
      </c>
      <c r="O32" s="72" t="s">
        <v>373</v>
      </c>
      <c r="P32" s="467">
        <v>6.9300000000000004E-3</v>
      </c>
      <c r="Q32" s="72"/>
      <c r="R32" s="72" t="s">
        <v>373</v>
      </c>
      <c r="S32" s="489">
        <v>0.7</v>
      </c>
      <c r="T32" s="74"/>
      <c r="U32" s="456" t="s">
        <v>372</v>
      </c>
      <c r="V32" s="295"/>
      <c r="W32" s="66"/>
      <c r="X32" s="66">
        <f>ROUNDDOWN(M32*P32*S32,-3)</f>
        <v>6697000</v>
      </c>
      <c r="Y32" s="57" t="s">
        <v>359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61"/>
      <c r="J33" s="70"/>
      <c r="K33" s="479"/>
      <c r="L33" s="479"/>
      <c r="M33" s="224"/>
      <c r="N33" s="224"/>
      <c r="O33" s="478"/>
      <c r="P33" s="224"/>
      <c r="Q33" s="125"/>
      <c r="R33" s="477"/>
      <c r="S33" s="486"/>
      <c r="T33" s="201"/>
      <c r="U33" s="201"/>
      <c r="V33" s="476"/>
      <c r="W33" s="361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472</v>
      </c>
      <c r="E34" s="237">
        <v>57323</v>
      </c>
      <c r="F34" s="237">
        <f>ROUND(X34/1000,0)</f>
        <v>57323</v>
      </c>
      <c r="G34" s="273">
        <f>F34-E34</f>
        <v>0</v>
      </c>
      <c r="H34" s="115">
        <f>IF(E34=0,0,G34/E34)</f>
        <v>0</v>
      </c>
      <c r="I34" s="511" t="s">
        <v>505</v>
      </c>
      <c r="J34" s="510"/>
      <c r="K34" s="509"/>
      <c r="L34" s="509"/>
      <c r="M34" s="507"/>
      <c r="N34" s="507"/>
      <c r="O34" s="508"/>
      <c r="P34" s="507"/>
      <c r="Q34" s="506"/>
      <c r="R34" s="505"/>
      <c r="S34" s="504"/>
      <c r="T34" s="503"/>
      <c r="U34" s="503"/>
      <c r="V34" s="502" t="s">
        <v>456</v>
      </c>
      <c r="W34" s="501"/>
      <c r="X34" s="501">
        <f>SUM(X35:X36)+X38</f>
        <v>57323000</v>
      </c>
      <c r="Y34" s="500" t="s">
        <v>359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2" t="s">
        <v>504</v>
      </c>
      <c r="J35" s="280"/>
      <c r="K35" s="497"/>
      <c r="L35" s="497"/>
      <c r="M35" s="277">
        <v>2264000</v>
      </c>
      <c r="N35" s="277" t="s">
        <v>25</v>
      </c>
      <c r="O35" s="363" t="s">
        <v>26</v>
      </c>
      <c r="P35" s="364">
        <v>30</v>
      </c>
      <c r="Q35" s="365" t="s">
        <v>374</v>
      </c>
      <c r="R35" s="333" t="s">
        <v>373</v>
      </c>
      <c r="S35" s="366">
        <v>0.7</v>
      </c>
      <c r="T35" s="338"/>
      <c r="U35" s="336" t="s">
        <v>372</v>
      </c>
      <c r="V35" s="494"/>
      <c r="W35" s="279"/>
      <c r="X35" s="280">
        <f>M35*P35*S35</f>
        <v>47544000</v>
      </c>
      <c r="Y35" s="303" t="s">
        <v>359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2" t="s">
        <v>503</v>
      </c>
      <c r="J36" s="280"/>
      <c r="K36" s="497"/>
      <c r="L36" s="497"/>
      <c r="M36" s="277">
        <v>635000</v>
      </c>
      <c r="N36" s="277" t="s">
        <v>25</v>
      </c>
      <c r="O36" s="363" t="s">
        <v>26</v>
      </c>
      <c r="P36" s="364">
        <v>22</v>
      </c>
      <c r="Q36" s="365" t="s">
        <v>374</v>
      </c>
      <c r="R36" s="333" t="s">
        <v>373</v>
      </c>
      <c r="S36" s="366">
        <v>0.7</v>
      </c>
      <c r="T36" s="338"/>
      <c r="U36" s="336" t="s">
        <v>372</v>
      </c>
      <c r="V36" s="494"/>
      <c r="W36" s="279"/>
      <c r="X36" s="280">
        <f>ROUNDUP(M36*P36*S36,-3)</f>
        <v>9779000</v>
      </c>
      <c r="Y36" s="303" t="s">
        <v>359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2"/>
      <c r="J37" s="280"/>
      <c r="K37" s="497"/>
      <c r="L37" s="497"/>
      <c r="M37" s="277"/>
      <c r="N37" s="277"/>
      <c r="O37" s="363"/>
      <c r="P37" s="496"/>
      <c r="Q37" s="365"/>
      <c r="R37" s="495"/>
      <c r="S37" s="367"/>
      <c r="T37" s="336"/>
      <c r="U37" s="336"/>
      <c r="V37" s="494"/>
      <c r="W37" s="279"/>
      <c r="X37" s="280"/>
      <c r="Y37" s="303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57" t="s">
        <v>500</v>
      </c>
      <c r="J38" s="280"/>
      <c r="K38" s="497"/>
      <c r="L38" s="497"/>
      <c r="M38" s="277"/>
      <c r="N38" s="277"/>
      <c r="O38" s="363"/>
      <c r="P38" s="277"/>
      <c r="Q38" s="365"/>
      <c r="R38" s="495"/>
      <c r="S38" s="367"/>
      <c r="T38" s="336"/>
      <c r="U38" s="336"/>
      <c r="V38" s="499" t="s">
        <v>456</v>
      </c>
      <c r="W38" s="359"/>
      <c r="X38" s="359">
        <f>X39</f>
        <v>0</v>
      </c>
      <c r="Y38" s="360" t="s">
        <v>359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2" t="s">
        <v>532</v>
      </c>
      <c r="J39" s="280"/>
      <c r="K39" s="497"/>
      <c r="L39" s="497"/>
      <c r="M39" s="277">
        <v>0</v>
      </c>
      <c r="N39" s="277" t="s">
        <v>25</v>
      </c>
      <c r="O39" s="363" t="s">
        <v>26</v>
      </c>
      <c r="P39" s="496">
        <v>0.5</v>
      </c>
      <c r="Q39" s="365"/>
      <c r="R39" s="495"/>
      <c r="S39" s="367"/>
      <c r="T39" s="336"/>
      <c r="U39" s="336"/>
      <c r="V39" s="494"/>
      <c r="W39" s="279" t="s">
        <v>27</v>
      </c>
      <c r="X39" s="280">
        <f>M39*P39</f>
        <v>0</v>
      </c>
      <c r="Y39" s="303" t="s">
        <v>359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2"/>
      <c r="J40" s="280"/>
      <c r="K40" s="497"/>
      <c r="L40" s="497"/>
      <c r="M40" s="277"/>
      <c r="N40" s="277"/>
      <c r="O40" s="363"/>
      <c r="P40" s="496"/>
      <c r="Q40" s="365"/>
      <c r="R40" s="495"/>
      <c r="S40" s="367"/>
      <c r="T40" s="336"/>
      <c r="U40" s="336"/>
      <c r="V40" s="494"/>
      <c r="W40" s="279"/>
      <c r="X40" s="280"/>
      <c r="Y40" s="303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57"/>
      <c r="J41" s="359"/>
      <c r="K41" s="368"/>
      <c r="L41" s="368"/>
      <c r="M41" s="358"/>
      <c r="N41" s="358"/>
      <c r="O41" s="369"/>
      <c r="P41" s="358"/>
      <c r="Q41" s="370"/>
      <c r="R41" s="371"/>
      <c r="S41" s="372"/>
      <c r="T41" s="373"/>
      <c r="U41" s="373"/>
      <c r="V41" s="374"/>
      <c r="W41" s="375"/>
      <c r="X41" s="359"/>
      <c r="Y41" s="360"/>
      <c r="Z41" s="6"/>
    </row>
    <row r="42" spans="1:26" s="11" customFormat="1" ht="19.5" customHeight="1">
      <c r="A42" s="60"/>
      <c r="B42" s="46"/>
      <c r="C42" s="36" t="s">
        <v>502</v>
      </c>
      <c r="D42" s="458" t="s">
        <v>367</v>
      </c>
      <c r="E42" s="219">
        <f>SUM(E43:E105)</f>
        <v>112695</v>
      </c>
      <c r="F42" s="219">
        <f>SUM(F43:F105)</f>
        <v>112695</v>
      </c>
      <c r="G42" s="220">
        <f>F42-E42</f>
        <v>0</v>
      </c>
      <c r="H42" s="221">
        <f>IF(E42=0,0,G42/E42)</f>
        <v>0</v>
      </c>
      <c r="I42" s="204" t="s">
        <v>501</v>
      </c>
      <c r="J42" s="205"/>
      <c r="K42" s="206"/>
      <c r="L42" s="206"/>
      <c r="M42" s="206"/>
      <c r="N42" s="206"/>
      <c r="O42" s="206"/>
      <c r="P42" s="207"/>
      <c r="Q42" s="207"/>
      <c r="R42" s="207"/>
      <c r="S42" s="207"/>
      <c r="T42" s="207"/>
      <c r="U42" s="207"/>
      <c r="V42" s="234" t="s">
        <v>360</v>
      </c>
      <c r="W42" s="235"/>
      <c r="X42" s="235">
        <f>SUM(X43,X48,X63,X70,X78,X102)</f>
        <v>112695000</v>
      </c>
      <c r="Y42" s="267" t="s">
        <v>359</v>
      </c>
      <c r="Z42" s="6"/>
    </row>
    <row r="43" spans="1:26" s="11" customFormat="1" ht="19.5" customHeight="1">
      <c r="A43" s="60"/>
      <c r="B43" s="46"/>
      <c r="C43" s="46" t="s">
        <v>489</v>
      </c>
      <c r="D43" s="36" t="s">
        <v>488</v>
      </c>
      <c r="E43" s="37">
        <v>5278</v>
      </c>
      <c r="F43" s="237">
        <f>ROUND(X43/1000,0)</f>
        <v>5278</v>
      </c>
      <c r="G43" s="38">
        <f>F43-E43</f>
        <v>0</v>
      </c>
      <c r="H43" s="115">
        <f>IF(E43=0,0,G43/E43)</f>
        <v>0</v>
      </c>
      <c r="I43" s="138" t="s">
        <v>487</v>
      </c>
      <c r="J43" s="157"/>
      <c r="K43" s="86"/>
      <c r="L43" s="86"/>
      <c r="M43" s="86"/>
      <c r="N43" s="246"/>
      <c r="O43" s="238"/>
      <c r="P43" s="86"/>
      <c r="Q43" s="239"/>
      <c r="R43" s="493"/>
      <c r="S43" s="492"/>
      <c r="T43" s="492"/>
      <c r="U43" s="246"/>
      <c r="V43" s="491" t="s">
        <v>456</v>
      </c>
      <c r="W43" s="140"/>
      <c r="X43" s="140">
        <f>SUM(X44:X46)</f>
        <v>5278000</v>
      </c>
      <c r="Y43" s="141" t="s">
        <v>359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5" t="s">
        <v>486</v>
      </c>
      <c r="J44" s="296"/>
      <c r="K44" s="295"/>
      <c r="L44" s="295"/>
      <c r="M44" s="295">
        <f>M15</f>
        <v>252812</v>
      </c>
      <c r="N44" s="456" t="s">
        <v>25</v>
      </c>
      <c r="O44" s="208" t="s">
        <v>26</v>
      </c>
      <c r="P44" s="457">
        <v>24</v>
      </c>
      <c r="Q44" s="54" t="s">
        <v>139</v>
      </c>
      <c r="R44" s="209" t="s">
        <v>26</v>
      </c>
      <c r="S44" s="211">
        <v>12</v>
      </c>
      <c r="T44" s="211" t="s">
        <v>29</v>
      </c>
      <c r="U44" s="456" t="s">
        <v>26</v>
      </c>
      <c r="V44" s="490">
        <v>7.0000000000000007E-2</v>
      </c>
      <c r="W44" s="66" t="s">
        <v>27</v>
      </c>
      <c r="X44" s="66">
        <f>ROUND(M44*P44*S44*V44,-3)</f>
        <v>5097000</v>
      </c>
      <c r="Y44" s="57" t="s">
        <v>359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5" t="s">
        <v>485</v>
      </c>
      <c r="J45" s="296"/>
      <c r="K45" s="295"/>
      <c r="L45" s="295"/>
      <c r="M45" s="295">
        <f t="shared" ref="M45:M46" si="0">M16</f>
        <v>35394</v>
      </c>
      <c r="N45" s="456" t="s">
        <v>25</v>
      </c>
      <c r="O45" s="208" t="s">
        <v>26</v>
      </c>
      <c r="P45" s="457">
        <v>24</v>
      </c>
      <c r="Q45" s="54" t="s">
        <v>139</v>
      </c>
      <c r="R45" s="475" t="s">
        <v>26</v>
      </c>
      <c r="S45" s="211">
        <v>1</v>
      </c>
      <c r="T45" s="211" t="s">
        <v>483</v>
      </c>
      <c r="U45" s="456" t="s">
        <v>26</v>
      </c>
      <c r="V45" s="490">
        <v>7.0000000000000007E-2</v>
      </c>
      <c r="W45" s="66" t="s">
        <v>27</v>
      </c>
      <c r="X45" s="66">
        <f>ROUND(M45*P45*S45*V45,-3)</f>
        <v>59000</v>
      </c>
      <c r="Y45" s="57" t="s">
        <v>359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5" t="s">
        <v>484</v>
      </c>
      <c r="J46" s="66"/>
      <c r="K46" s="210"/>
      <c r="L46" s="210"/>
      <c r="M46" s="295">
        <f t="shared" si="0"/>
        <v>36300</v>
      </c>
      <c r="N46" s="295" t="s">
        <v>25</v>
      </c>
      <c r="O46" s="208" t="s">
        <v>26</v>
      </c>
      <c r="P46" s="457">
        <v>24</v>
      </c>
      <c r="Q46" s="54" t="s">
        <v>139</v>
      </c>
      <c r="R46" s="475" t="s">
        <v>26</v>
      </c>
      <c r="S46" s="56">
        <v>2</v>
      </c>
      <c r="T46" s="456" t="s">
        <v>483</v>
      </c>
      <c r="U46" s="456" t="s">
        <v>26</v>
      </c>
      <c r="V46" s="490">
        <v>7.0000000000000007E-2</v>
      </c>
      <c r="W46" s="296" t="s">
        <v>27</v>
      </c>
      <c r="X46" s="66">
        <f>ROUND(M46*P46*S46*V46,-3)</f>
        <v>122000</v>
      </c>
      <c r="Y46" s="57" t="s">
        <v>359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61"/>
      <c r="J47" s="70"/>
      <c r="K47" s="479"/>
      <c r="L47" s="479"/>
      <c r="M47" s="224"/>
      <c r="N47" s="224"/>
      <c r="O47" s="478"/>
      <c r="P47" s="224"/>
      <c r="Q47" s="125"/>
      <c r="R47" s="477"/>
      <c r="S47" s="486"/>
      <c r="T47" s="201"/>
      <c r="U47" s="201"/>
      <c r="V47" s="476"/>
      <c r="W47" s="361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482</v>
      </c>
      <c r="E48" s="37">
        <v>73275</v>
      </c>
      <c r="F48" s="237">
        <f>ROUND(X48/1000,0)</f>
        <v>73275</v>
      </c>
      <c r="G48" s="38">
        <f>F48-E48</f>
        <v>0</v>
      </c>
      <c r="H48" s="115">
        <f>IF(E48=0,0,G48/E48)</f>
        <v>0</v>
      </c>
      <c r="I48" s="243" t="s">
        <v>572</v>
      </c>
      <c r="J48" s="242"/>
      <c r="K48" s="247"/>
      <c r="L48" s="247"/>
      <c r="M48" s="86"/>
      <c r="N48" s="86"/>
      <c r="O48" s="238"/>
      <c r="P48" s="86"/>
      <c r="Q48" s="239"/>
      <c r="R48" s="240"/>
      <c r="S48" s="241"/>
      <c r="T48" s="246"/>
      <c r="U48" s="246"/>
      <c r="V48" s="244" t="s">
        <v>456</v>
      </c>
      <c r="W48" s="245"/>
      <c r="X48" s="245">
        <f>SUM(X49,X50,X54,X56)</f>
        <v>73275000</v>
      </c>
      <c r="Y48" s="268" t="s">
        <v>359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6" t="s">
        <v>481</v>
      </c>
      <c r="J49" s="296"/>
      <c r="K49" s="295"/>
      <c r="L49" s="295"/>
      <c r="M49" s="295">
        <f>M20</f>
        <v>1025040000</v>
      </c>
      <c r="N49" s="295" t="s">
        <v>359</v>
      </c>
      <c r="O49" s="72" t="s">
        <v>373</v>
      </c>
      <c r="P49" s="489">
        <v>4.4999999999999998E-2</v>
      </c>
      <c r="Q49" s="295"/>
      <c r="R49" s="295"/>
      <c r="S49" s="295"/>
      <c r="T49" s="295"/>
      <c r="U49" s="295" t="s">
        <v>372</v>
      </c>
      <c r="V49" s="224" t="s">
        <v>360</v>
      </c>
      <c r="W49" s="70"/>
      <c r="X49" s="224">
        <f>ROUND(M49*P49,-3)</f>
        <v>46127000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7" t="s">
        <v>480</v>
      </c>
      <c r="J50" s="296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139" t="s">
        <v>360</v>
      </c>
      <c r="W50" s="140"/>
      <c r="X50" s="139">
        <f>SUM(X51:X53)</f>
        <v>16006000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5" t="s">
        <v>447</v>
      </c>
      <c r="J51" s="296"/>
      <c r="K51" s="295"/>
      <c r="L51" s="295"/>
      <c r="M51" s="295">
        <f>M22</f>
        <v>105713000</v>
      </c>
      <c r="N51" s="295" t="s">
        <v>359</v>
      </c>
      <c r="O51" s="72" t="s">
        <v>373</v>
      </c>
      <c r="P51" s="489">
        <v>4.4999999999999998E-2</v>
      </c>
      <c r="Q51" s="295"/>
      <c r="R51" s="295"/>
      <c r="S51" s="295"/>
      <c r="T51" s="295"/>
      <c r="U51" s="295" t="s">
        <v>372</v>
      </c>
      <c r="V51" s="721"/>
      <c r="W51" s="721"/>
      <c r="X51" s="242">
        <f>ROUND(M51*P51,-3)</f>
        <v>4757000</v>
      </c>
      <c r="Y51" s="484" t="s">
        <v>359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5" t="s">
        <v>446</v>
      </c>
      <c r="J52" s="296"/>
      <c r="K52" s="295"/>
      <c r="L52" s="295"/>
      <c r="M52" s="295">
        <f>M23</f>
        <v>14400000</v>
      </c>
      <c r="N52" s="295" t="s">
        <v>359</v>
      </c>
      <c r="O52" s="72" t="s">
        <v>373</v>
      </c>
      <c r="P52" s="489">
        <v>4.4999999999999998E-2</v>
      </c>
      <c r="Q52" s="295"/>
      <c r="R52" s="295"/>
      <c r="S52" s="295"/>
      <c r="T52" s="295"/>
      <c r="U52" s="295" t="s">
        <v>372</v>
      </c>
      <c r="V52" s="720"/>
      <c r="W52" s="720"/>
      <c r="X52" s="66">
        <f>ROUND(M52*P52,-3)</f>
        <v>648000</v>
      </c>
      <c r="Y52" s="57" t="s">
        <v>359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5" t="s">
        <v>445</v>
      </c>
      <c r="J53" s="296"/>
      <c r="K53" s="295"/>
      <c r="L53" s="295"/>
      <c r="M53" s="295">
        <f>M24</f>
        <v>235584000</v>
      </c>
      <c r="N53" s="295" t="s">
        <v>359</v>
      </c>
      <c r="O53" s="72" t="s">
        <v>373</v>
      </c>
      <c r="P53" s="489">
        <v>4.4999999999999998E-2</v>
      </c>
      <c r="Q53" s="295"/>
      <c r="R53" s="295"/>
      <c r="S53" s="295"/>
      <c r="T53" s="295"/>
      <c r="U53" s="295" t="s">
        <v>372</v>
      </c>
      <c r="V53" s="720"/>
      <c r="W53" s="720"/>
      <c r="X53" s="66">
        <f>ROUNDDOWN(M53*P53,-3)</f>
        <v>10601000</v>
      </c>
      <c r="Y53" s="57" t="s">
        <v>359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6" t="s">
        <v>479</v>
      </c>
      <c r="J54" s="296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24" t="s">
        <v>360</v>
      </c>
      <c r="W54" s="70"/>
      <c r="X54" s="224">
        <f>X55</f>
        <v>5178000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5" t="s">
        <v>573</v>
      </c>
      <c r="J55" s="296"/>
      <c r="K55" s="295"/>
      <c r="L55" s="295"/>
      <c r="M55" s="295">
        <f>SUM(M49:M53)</f>
        <v>1380737000</v>
      </c>
      <c r="N55" s="54" t="s">
        <v>359</v>
      </c>
      <c r="O55" s="456" t="s">
        <v>380</v>
      </c>
      <c r="P55" s="483">
        <v>12</v>
      </c>
      <c r="Q55" s="208" t="s">
        <v>379</v>
      </c>
      <c r="R55" s="72" t="s">
        <v>373</v>
      </c>
      <c r="S55" s="489">
        <v>4.4999999999999998E-2</v>
      </c>
      <c r="T55" s="295"/>
      <c r="U55" s="295" t="s">
        <v>372</v>
      </c>
      <c r="V55" s="86"/>
      <c r="W55" s="86"/>
      <c r="X55" s="242">
        <f>ROUND(M55/P55*S55,-3)</f>
        <v>5178000</v>
      </c>
      <c r="Y55" s="498" t="s">
        <v>359</v>
      </c>
      <c r="Z55" s="295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6" t="s">
        <v>478</v>
      </c>
      <c r="J56" s="296"/>
      <c r="K56" s="295"/>
      <c r="L56" s="295"/>
      <c r="M56" s="295"/>
      <c r="N56" s="54"/>
      <c r="O56" s="295"/>
      <c r="P56" s="295"/>
      <c r="Q56" s="295"/>
      <c r="R56" s="295"/>
      <c r="S56" s="295"/>
      <c r="T56" s="295"/>
      <c r="U56" s="295"/>
      <c r="V56" s="224" t="s">
        <v>360</v>
      </c>
      <c r="W56" s="70"/>
      <c r="X56" s="224">
        <f>SUM(X57:X61)</f>
        <v>5964000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5" t="s">
        <v>477</v>
      </c>
      <c r="J57" s="296"/>
      <c r="K57" s="295"/>
      <c r="L57" s="295"/>
      <c r="M57" s="295">
        <f>M55</f>
        <v>1380737000</v>
      </c>
      <c r="N57" s="54" t="s">
        <v>359</v>
      </c>
      <c r="O57" s="72" t="s">
        <v>373</v>
      </c>
      <c r="P57" s="471">
        <v>0.09</v>
      </c>
      <c r="Q57" s="456">
        <v>2</v>
      </c>
      <c r="R57" s="72" t="s">
        <v>373</v>
      </c>
      <c r="S57" s="489">
        <v>4.4999999999999998E-2</v>
      </c>
      <c r="T57" s="74"/>
      <c r="U57" s="456" t="s">
        <v>372</v>
      </c>
      <c r="V57" s="295"/>
      <c r="W57" s="66"/>
      <c r="X57" s="66">
        <f>ROUNDUP(M57*P57/Q57*S57,-3)</f>
        <v>2796000</v>
      </c>
      <c r="Y57" s="57" t="s">
        <v>359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5" t="s">
        <v>476</v>
      </c>
      <c r="J58" s="296"/>
      <c r="K58" s="295"/>
      <c r="L58" s="295"/>
      <c r="M58" s="295">
        <f>M55</f>
        <v>1380737000</v>
      </c>
      <c r="N58" s="54" t="s">
        <v>359</v>
      </c>
      <c r="O58" s="72" t="s">
        <v>373</v>
      </c>
      <c r="P58" s="470">
        <v>6.4600000000000005E-2</v>
      </c>
      <c r="Q58" s="456">
        <v>2</v>
      </c>
      <c r="R58" s="72" t="s">
        <v>373</v>
      </c>
      <c r="S58" s="489">
        <v>4.4999999999999998E-2</v>
      </c>
      <c r="T58" s="74"/>
      <c r="U58" s="456" t="s">
        <v>372</v>
      </c>
      <c r="V58" s="295"/>
      <c r="W58" s="66"/>
      <c r="X58" s="66">
        <f>ROUND(M58*P58/Q58*S58,-3)</f>
        <v>2007000</v>
      </c>
      <c r="Y58" s="57" t="s">
        <v>359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5" t="s">
        <v>475</v>
      </c>
      <c r="J59" s="296"/>
      <c r="K59" s="295"/>
      <c r="L59" s="295"/>
      <c r="M59" s="295">
        <f>X58</f>
        <v>2007000</v>
      </c>
      <c r="N59" s="54" t="s">
        <v>359</v>
      </c>
      <c r="O59" s="72" t="s">
        <v>373</v>
      </c>
      <c r="P59" s="76">
        <v>8.5099999999999995E-2</v>
      </c>
      <c r="Q59" s="469"/>
      <c r="R59" s="72"/>
      <c r="S59" s="75"/>
      <c r="T59" s="468"/>
      <c r="U59" s="456" t="s">
        <v>372</v>
      </c>
      <c r="V59" s="295"/>
      <c r="W59" s="66"/>
      <c r="X59" s="66">
        <f>ROUND(M59*P59,-3)</f>
        <v>171000</v>
      </c>
      <c r="Y59" s="57" t="s">
        <v>359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5" t="s">
        <v>474</v>
      </c>
      <c r="J60" s="296"/>
      <c r="K60" s="295"/>
      <c r="L60" s="295"/>
      <c r="M60" s="295">
        <f>M55</f>
        <v>1380737000</v>
      </c>
      <c r="N60" s="54" t="s">
        <v>359</v>
      </c>
      <c r="O60" s="72" t="s">
        <v>373</v>
      </c>
      <c r="P60" s="76">
        <v>8.9999999999999993E-3</v>
      </c>
      <c r="Q60" s="72"/>
      <c r="R60" s="72" t="s">
        <v>373</v>
      </c>
      <c r="S60" s="489">
        <v>4.4999999999999998E-2</v>
      </c>
      <c r="T60" s="74"/>
      <c r="U60" s="456" t="s">
        <v>372</v>
      </c>
      <c r="V60" s="295"/>
      <c r="W60" s="66"/>
      <c r="X60" s="66">
        <f>ROUND(M60*P60*S60,-3)</f>
        <v>559000</v>
      </c>
      <c r="Y60" s="57" t="s">
        <v>359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5" t="s">
        <v>473</v>
      </c>
      <c r="J61" s="296"/>
      <c r="K61" s="295"/>
      <c r="L61" s="295"/>
      <c r="M61" s="295">
        <f>M55</f>
        <v>1380737000</v>
      </c>
      <c r="N61" s="54" t="s">
        <v>359</v>
      </c>
      <c r="O61" s="72" t="s">
        <v>373</v>
      </c>
      <c r="P61" s="467">
        <v>6.9300000000000004E-3</v>
      </c>
      <c r="Q61" s="72"/>
      <c r="R61" s="72" t="s">
        <v>373</v>
      </c>
      <c r="S61" s="489">
        <v>4.4999999999999998E-2</v>
      </c>
      <c r="T61" s="74"/>
      <c r="U61" s="456" t="s">
        <v>372</v>
      </c>
      <c r="V61" s="295"/>
      <c r="W61" s="66"/>
      <c r="X61" s="66">
        <f>ROUND(M61*P61*S61,-3)</f>
        <v>431000</v>
      </c>
      <c r="Y61" s="57" t="s">
        <v>359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61"/>
      <c r="J62" s="70"/>
      <c r="K62" s="479"/>
      <c r="L62" s="479"/>
      <c r="M62" s="224"/>
      <c r="N62" s="224"/>
      <c r="O62" s="478"/>
      <c r="P62" s="224"/>
      <c r="Q62" s="125"/>
      <c r="R62" s="477"/>
      <c r="S62" s="486"/>
      <c r="T62" s="201"/>
      <c r="U62" s="201"/>
      <c r="V62" s="476"/>
      <c r="W62" s="361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472</v>
      </c>
      <c r="E63" s="37">
        <v>3685</v>
      </c>
      <c r="F63" s="237">
        <f>ROUND(X63/1000,0)</f>
        <v>3685</v>
      </c>
      <c r="G63" s="38">
        <f>F63-E63</f>
        <v>0</v>
      </c>
      <c r="H63" s="115">
        <f>IF(E63=0,0,G63/E63)</f>
        <v>0</v>
      </c>
      <c r="I63" s="243" t="s">
        <v>471</v>
      </c>
      <c r="J63" s="242"/>
      <c r="K63" s="247"/>
      <c r="L63" s="247"/>
      <c r="M63" s="86"/>
      <c r="N63" s="86"/>
      <c r="O63" s="238"/>
      <c r="P63" s="86"/>
      <c r="Q63" s="239"/>
      <c r="R63" s="240"/>
      <c r="S63" s="241"/>
      <c r="T63" s="246"/>
      <c r="U63" s="246"/>
      <c r="V63" s="244" t="s">
        <v>456</v>
      </c>
      <c r="W63" s="245"/>
      <c r="X63" s="245">
        <f>SUM(X64:X68)</f>
        <v>3685000</v>
      </c>
      <c r="Y63" s="268" t="s">
        <v>359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6" t="s">
        <v>470</v>
      </c>
      <c r="J64" s="66"/>
      <c r="K64" s="210"/>
      <c r="L64" s="210"/>
      <c r="M64" s="277">
        <v>2264000</v>
      </c>
      <c r="N64" s="277" t="s">
        <v>25</v>
      </c>
      <c r="O64" s="363" t="s">
        <v>26</v>
      </c>
      <c r="P64" s="364">
        <v>30</v>
      </c>
      <c r="Q64" s="365" t="s">
        <v>374</v>
      </c>
      <c r="R64" s="333" t="s">
        <v>373</v>
      </c>
      <c r="S64" s="366">
        <v>4.4999999999999998E-2</v>
      </c>
      <c r="T64" s="338"/>
      <c r="U64" s="336" t="s">
        <v>372</v>
      </c>
      <c r="V64" s="720"/>
      <c r="W64" s="720"/>
      <c r="X64" s="66">
        <f>ROUND(M64*P64*S64,-3)</f>
        <v>3056000</v>
      </c>
      <c r="Y64" s="57" t="s">
        <v>359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6" t="s">
        <v>469</v>
      </c>
      <c r="J65" s="66"/>
      <c r="K65" s="210"/>
      <c r="L65" s="210"/>
      <c r="M65" s="277">
        <v>635000</v>
      </c>
      <c r="N65" s="277" t="s">
        <v>25</v>
      </c>
      <c r="O65" s="363" t="s">
        <v>26</v>
      </c>
      <c r="P65" s="364">
        <v>22</v>
      </c>
      <c r="Q65" s="365" t="s">
        <v>374</v>
      </c>
      <c r="R65" s="333" t="s">
        <v>373</v>
      </c>
      <c r="S65" s="366">
        <v>4.4999999999999998E-2</v>
      </c>
      <c r="T65" s="338"/>
      <c r="U65" s="336" t="s">
        <v>372</v>
      </c>
      <c r="V65" s="720"/>
      <c r="W65" s="720"/>
      <c r="X65" s="66">
        <f>ROUND(M65*P65*S65,-3)</f>
        <v>629000</v>
      </c>
      <c r="Y65" s="57" t="s">
        <v>359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6"/>
      <c r="J66" s="66"/>
      <c r="K66" s="210"/>
      <c r="L66" s="210"/>
      <c r="M66" s="295"/>
      <c r="N66" s="295"/>
      <c r="O66" s="55"/>
      <c r="P66" s="456"/>
      <c r="Q66" s="295"/>
      <c r="R66" s="72"/>
      <c r="S66" s="489"/>
      <c r="T66" s="295"/>
      <c r="U66" s="295"/>
      <c r="V66" s="456"/>
      <c r="W66" s="456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57" t="s">
        <v>500</v>
      </c>
      <c r="J67" s="280"/>
      <c r="K67" s="497"/>
      <c r="L67" s="497"/>
      <c r="M67" s="277"/>
      <c r="N67" s="277"/>
      <c r="O67" s="363"/>
      <c r="P67" s="277"/>
      <c r="Q67" s="365"/>
      <c r="R67" s="495"/>
      <c r="S67" s="367"/>
      <c r="T67" s="336"/>
      <c r="U67" s="336"/>
      <c r="V67" s="494"/>
      <c r="W67" s="279"/>
      <c r="X67" s="280"/>
      <c r="Y67" s="303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2" t="s">
        <v>776</v>
      </c>
      <c r="J68" s="280"/>
      <c r="K68" s="497"/>
      <c r="L68" s="497"/>
      <c r="M68" s="277">
        <v>0</v>
      </c>
      <c r="N68" s="277" t="s">
        <v>25</v>
      </c>
      <c r="O68" s="363" t="s">
        <v>26</v>
      </c>
      <c r="P68" s="496">
        <v>0.5</v>
      </c>
      <c r="Q68" s="365"/>
      <c r="R68" s="495"/>
      <c r="S68" s="367"/>
      <c r="T68" s="336"/>
      <c r="U68" s="336"/>
      <c r="V68" s="494"/>
      <c r="W68" s="279" t="s">
        <v>27</v>
      </c>
      <c r="X68" s="280">
        <f>M68*P68</f>
        <v>0</v>
      </c>
      <c r="Y68" s="303" t="s">
        <v>359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61"/>
      <c r="J69" s="70"/>
      <c r="K69" s="479"/>
      <c r="L69" s="479"/>
      <c r="M69" s="224"/>
      <c r="N69" s="224"/>
      <c r="O69" s="478"/>
      <c r="P69" s="224"/>
      <c r="Q69" s="125"/>
      <c r="R69" s="477"/>
      <c r="S69" s="486"/>
      <c r="T69" s="201"/>
      <c r="U69" s="201"/>
      <c r="V69" s="476"/>
      <c r="W69" s="361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468</v>
      </c>
      <c r="E70" s="37">
        <v>6404</v>
      </c>
      <c r="F70" s="237">
        <f>ROUND(X70/1000,0)</f>
        <v>6404</v>
      </c>
      <c r="G70" s="38">
        <f>F70-E70</f>
        <v>0</v>
      </c>
      <c r="H70" s="115">
        <f>IF(E70=0,0,G70/E70)</f>
        <v>0</v>
      </c>
      <c r="I70" s="243" t="s">
        <v>467</v>
      </c>
      <c r="J70" s="242"/>
      <c r="K70" s="247"/>
      <c r="L70" s="247"/>
      <c r="M70" s="86"/>
      <c r="N70" s="86"/>
      <c r="O70" s="238"/>
      <c r="P70" s="86"/>
      <c r="Q70" s="239"/>
      <c r="R70" s="240"/>
      <c r="S70" s="241"/>
      <c r="T70" s="246"/>
      <c r="U70" s="246"/>
      <c r="V70" s="244" t="s">
        <v>456</v>
      </c>
      <c r="W70" s="245"/>
      <c r="X70" s="245">
        <f>SUM(X71:X76)</f>
        <v>6404000</v>
      </c>
      <c r="Y70" s="268" t="s">
        <v>359</v>
      </c>
      <c r="Z70" s="6"/>
    </row>
    <row r="71" spans="1:26" s="11" customFormat="1" ht="19.5" customHeight="1">
      <c r="A71" s="60"/>
      <c r="B71" s="46"/>
      <c r="C71" s="46"/>
      <c r="D71" s="46" t="s">
        <v>466</v>
      </c>
      <c r="E71" s="48"/>
      <c r="F71" s="48"/>
      <c r="G71" s="49"/>
      <c r="H71" s="68"/>
      <c r="I71" s="65" t="s">
        <v>465</v>
      </c>
      <c r="J71" s="296"/>
      <c r="K71" s="295"/>
      <c r="L71" s="295"/>
      <c r="M71" s="295">
        <v>500</v>
      </c>
      <c r="N71" s="295" t="s">
        <v>359</v>
      </c>
      <c r="O71" s="296" t="s">
        <v>373</v>
      </c>
      <c r="P71" s="488">
        <v>52</v>
      </c>
      <c r="Q71" s="473">
        <v>365</v>
      </c>
      <c r="R71" s="295" t="s">
        <v>464</v>
      </c>
      <c r="S71" s="487">
        <v>0.3</v>
      </c>
      <c r="T71" s="295"/>
      <c r="U71" s="295" t="s">
        <v>372</v>
      </c>
      <c r="V71" s="295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463</v>
      </c>
      <c r="J72" s="296"/>
      <c r="K72" s="295"/>
      <c r="L72" s="295"/>
      <c r="M72" s="295">
        <v>5000</v>
      </c>
      <c r="N72" s="295" t="s">
        <v>359</v>
      </c>
      <c r="O72" s="296" t="s">
        <v>373</v>
      </c>
      <c r="P72" s="488">
        <v>52</v>
      </c>
      <c r="Q72" s="473">
        <v>12</v>
      </c>
      <c r="R72" s="295" t="s">
        <v>379</v>
      </c>
      <c r="S72" s="487">
        <v>0.3</v>
      </c>
      <c r="T72" s="295"/>
      <c r="U72" s="295" t="s">
        <v>372</v>
      </c>
      <c r="V72" s="295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462</v>
      </c>
      <c r="J73" s="296"/>
      <c r="K73" s="295"/>
      <c r="L73" s="295"/>
      <c r="M73" s="295">
        <v>20000</v>
      </c>
      <c r="N73" s="295" t="s">
        <v>359</v>
      </c>
      <c r="O73" s="296" t="s">
        <v>373</v>
      </c>
      <c r="P73" s="488">
        <v>52</v>
      </c>
      <c r="Q73" s="473">
        <v>4</v>
      </c>
      <c r="R73" s="295" t="s">
        <v>375</v>
      </c>
      <c r="S73" s="487">
        <v>0.3</v>
      </c>
      <c r="T73" s="295"/>
      <c r="U73" s="295" t="s">
        <v>372</v>
      </c>
      <c r="V73" s="295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461</v>
      </c>
      <c r="J74" s="296"/>
      <c r="K74" s="295"/>
      <c r="L74" s="295"/>
      <c r="M74" s="295">
        <v>12000</v>
      </c>
      <c r="N74" s="295" t="s">
        <v>359</v>
      </c>
      <c r="O74" s="296" t="s">
        <v>373</v>
      </c>
      <c r="P74" s="488">
        <v>52</v>
      </c>
      <c r="Q74" s="473">
        <v>4</v>
      </c>
      <c r="R74" s="295" t="s">
        <v>375</v>
      </c>
      <c r="S74" s="487">
        <v>0.3</v>
      </c>
      <c r="T74" s="295"/>
      <c r="U74" s="295" t="s">
        <v>372</v>
      </c>
      <c r="V74" s="295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460</v>
      </c>
      <c r="J75" s="296"/>
      <c r="K75" s="295"/>
      <c r="L75" s="295"/>
      <c r="M75" s="295"/>
      <c r="N75" s="295"/>
      <c r="O75" s="296"/>
      <c r="P75" s="488"/>
      <c r="Q75" s="473"/>
      <c r="R75" s="295"/>
      <c r="S75" s="295"/>
      <c r="T75" s="295"/>
      <c r="U75" s="295"/>
      <c r="V75" s="295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459</v>
      </c>
      <c r="J76" s="296"/>
      <c r="K76" s="295"/>
      <c r="L76" s="295"/>
      <c r="M76" s="295">
        <v>40000</v>
      </c>
      <c r="N76" s="295" t="s">
        <v>359</v>
      </c>
      <c r="O76" s="296" t="s">
        <v>373</v>
      </c>
      <c r="P76" s="488">
        <v>52</v>
      </c>
      <c r="Q76" s="473">
        <v>1</v>
      </c>
      <c r="R76" s="295" t="s">
        <v>375</v>
      </c>
      <c r="S76" s="487">
        <v>0.3</v>
      </c>
      <c r="T76" s="295"/>
      <c r="U76" s="295" t="s">
        <v>372</v>
      </c>
      <c r="V76" s="295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61"/>
      <c r="J77" s="70"/>
      <c r="K77" s="479"/>
      <c r="L77" s="479"/>
      <c r="M77" s="224"/>
      <c r="N77" s="224"/>
      <c r="O77" s="478"/>
      <c r="P77" s="224"/>
      <c r="Q77" s="125"/>
      <c r="R77" s="477"/>
      <c r="S77" s="486"/>
      <c r="T77" s="201"/>
      <c r="U77" s="201"/>
      <c r="V77" s="476"/>
      <c r="W77" s="361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458</v>
      </c>
      <c r="E78" s="37">
        <v>13275</v>
      </c>
      <c r="F78" s="237">
        <f>ROUND(X78/1000,0)</f>
        <v>13275</v>
      </c>
      <c r="G78" s="38">
        <f>F78-E78</f>
        <v>0</v>
      </c>
      <c r="H78" s="115">
        <f>IF(E78=0,0,G78/E78)</f>
        <v>0</v>
      </c>
      <c r="I78" s="243" t="s">
        <v>457</v>
      </c>
      <c r="J78" s="242"/>
      <c r="K78" s="247"/>
      <c r="L78" s="247"/>
      <c r="M78" s="86"/>
      <c r="N78" s="86"/>
      <c r="O78" s="238"/>
      <c r="P78" s="86"/>
      <c r="Q78" s="239"/>
      <c r="R78" s="240"/>
      <c r="S78" s="241"/>
      <c r="T78" s="246"/>
      <c r="U78" s="246"/>
      <c r="V78" s="244" t="s">
        <v>456</v>
      </c>
      <c r="W78" s="245"/>
      <c r="X78" s="245">
        <f>X79+X97</f>
        <v>13275000</v>
      </c>
      <c r="Y78" s="268" t="s">
        <v>359</v>
      </c>
      <c r="Z78" s="6"/>
    </row>
    <row r="79" spans="1:26" s="11" customFormat="1" ht="19.5" customHeight="1">
      <c r="A79" s="60"/>
      <c r="B79" s="46"/>
      <c r="C79" s="46"/>
      <c r="D79" s="46" t="s">
        <v>455</v>
      </c>
      <c r="E79" s="48"/>
      <c r="F79" s="48"/>
      <c r="G79" s="49"/>
      <c r="H79" s="68"/>
      <c r="I79" s="485" t="s">
        <v>454</v>
      </c>
      <c r="J79" s="66"/>
      <c r="K79" s="210"/>
      <c r="L79" s="210"/>
      <c r="M79" s="295"/>
      <c r="N79" s="295"/>
      <c r="O79" s="208"/>
      <c r="P79" s="295"/>
      <c r="Q79" s="54"/>
      <c r="R79" s="475"/>
      <c r="S79" s="56"/>
      <c r="T79" s="456"/>
      <c r="U79" s="456"/>
      <c r="V79" s="224" t="s">
        <v>453</v>
      </c>
      <c r="W79" s="70"/>
      <c r="X79" s="224">
        <f>SUM(X80,X84,X88,X90)</f>
        <v>11155000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452</v>
      </c>
      <c r="J80" s="296"/>
      <c r="K80" s="295"/>
      <c r="L80" s="295"/>
      <c r="M80" s="295"/>
      <c r="N80" s="295"/>
      <c r="O80" s="72"/>
      <c r="P80" s="75"/>
      <c r="Q80" s="295"/>
      <c r="R80" s="295"/>
      <c r="S80" s="295"/>
      <c r="T80" s="295"/>
      <c r="U80" s="295"/>
      <c r="V80" s="224" t="s">
        <v>360</v>
      </c>
      <c r="W80" s="70"/>
      <c r="X80" s="224">
        <f>SUM(X81:X83)</f>
        <v>6857000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8" t="s">
        <v>451</v>
      </c>
      <c r="J81" s="296"/>
      <c r="K81" s="295"/>
      <c r="L81" s="295"/>
      <c r="M81" s="295">
        <v>23612000</v>
      </c>
      <c r="N81" s="295" t="s">
        <v>359</v>
      </c>
      <c r="O81" s="72" t="s">
        <v>373</v>
      </c>
      <c r="P81" s="75">
        <v>0.1</v>
      </c>
      <c r="Q81" s="295"/>
      <c r="R81" s="295"/>
      <c r="S81" s="295"/>
      <c r="T81" s="295"/>
      <c r="U81" s="295" t="s">
        <v>372</v>
      </c>
      <c r="V81" s="86"/>
      <c r="W81" s="242"/>
      <c r="X81" s="86">
        <f>ROUND(M81*P81,-3)</f>
        <v>2361000</v>
      </c>
      <c r="Y81" s="484" t="s">
        <v>359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5" t="s">
        <v>450</v>
      </c>
      <c r="J82" s="296"/>
      <c r="K82" s="295"/>
      <c r="L82" s="295"/>
      <c r="M82" s="295">
        <v>23907000</v>
      </c>
      <c r="N82" s="295" t="s">
        <v>359</v>
      </c>
      <c r="O82" s="72" t="s">
        <v>373</v>
      </c>
      <c r="P82" s="75">
        <v>0.1</v>
      </c>
      <c r="Q82" s="295"/>
      <c r="R82" s="295"/>
      <c r="S82" s="295"/>
      <c r="T82" s="295"/>
      <c r="U82" s="295" t="s">
        <v>372</v>
      </c>
      <c r="V82" s="295"/>
      <c r="W82" s="66"/>
      <c r="X82" s="295">
        <f>ROUND(M82*P82,-3)</f>
        <v>2391000</v>
      </c>
      <c r="Y82" s="57" t="s">
        <v>359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5" t="s">
        <v>449</v>
      </c>
      <c r="J83" s="296"/>
      <c r="K83" s="295"/>
      <c r="L83" s="295"/>
      <c r="M83" s="295">
        <v>21052000</v>
      </c>
      <c r="N83" s="295" t="s">
        <v>359</v>
      </c>
      <c r="O83" s="72" t="s">
        <v>373</v>
      </c>
      <c r="P83" s="75">
        <v>0.1</v>
      </c>
      <c r="Q83" s="295"/>
      <c r="R83" s="295"/>
      <c r="S83" s="295"/>
      <c r="T83" s="295"/>
      <c r="U83" s="295" t="s">
        <v>372</v>
      </c>
      <c r="V83" s="295"/>
      <c r="W83" s="66"/>
      <c r="X83" s="295">
        <f>ROUND(M83*P83,-3)</f>
        <v>2105000</v>
      </c>
      <c r="Y83" s="57" t="s">
        <v>359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448</v>
      </c>
      <c r="J84" s="296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24" t="s">
        <v>360</v>
      </c>
      <c r="W84" s="70"/>
      <c r="X84" s="224">
        <f>SUM(X85:X87)</f>
        <v>2601000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5" t="s">
        <v>447</v>
      </c>
      <c r="J85" s="296"/>
      <c r="K85" s="295"/>
      <c r="L85" s="295"/>
      <c r="M85" s="295">
        <v>6843000</v>
      </c>
      <c r="N85" s="295" t="s">
        <v>359</v>
      </c>
      <c r="O85" s="72" t="s">
        <v>373</v>
      </c>
      <c r="P85" s="75">
        <v>0.1</v>
      </c>
      <c r="Q85" s="295"/>
      <c r="R85" s="295"/>
      <c r="S85" s="295"/>
      <c r="T85" s="295"/>
      <c r="U85" s="295" t="s">
        <v>372</v>
      </c>
      <c r="V85" s="721"/>
      <c r="W85" s="721"/>
      <c r="X85" s="242">
        <f>ROUND(M85*P85,-3)</f>
        <v>684000</v>
      </c>
      <c r="Y85" s="484" t="s">
        <v>359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2" t="s">
        <v>446</v>
      </c>
      <c r="J86" s="296"/>
      <c r="K86" s="295"/>
      <c r="L86" s="295"/>
      <c r="M86" s="295">
        <v>2880000</v>
      </c>
      <c r="N86" s="295" t="s">
        <v>359</v>
      </c>
      <c r="O86" s="72" t="s">
        <v>373</v>
      </c>
      <c r="P86" s="75">
        <v>0.1</v>
      </c>
      <c r="Q86" s="295"/>
      <c r="R86" s="295"/>
      <c r="S86" s="295"/>
      <c r="T86" s="295"/>
      <c r="U86" s="295" t="s">
        <v>372</v>
      </c>
      <c r="V86" s="720"/>
      <c r="W86" s="720"/>
      <c r="X86" s="66">
        <f>ROUND(M86*P86,-3)</f>
        <v>288000</v>
      </c>
      <c r="Y86" s="57" t="s">
        <v>359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5" t="s">
        <v>445</v>
      </c>
      <c r="J87" s="296"/>
      <c r="K87" s="295"/>
      <c r="L87" s="295"/>
      <c r="M87" s="295">
        <v>16291000</v>
      </c>
      <c r="N87" s="295" t="s">
        <v>359</v>
      </c>
      <c r="O87" s="72" t="s">
        <v>373</v>
      </c>
      <c r="P87" s="75">
        <v>0.1</v>
      </c>
      <c r="Q87" s="295"/>
      <c r="R87" s="295"/>
      <c r="S87" s="295"/>
      <c r="T87" s="295"/>
      <c r="U87" s="295" t="s">
        <v>372</v>
      </c>
      <c r="V87" s="720"/>
      <c r="W87" s="720"/>
      <c r="X87" s="66">
        <f>ROUND(M87*P87,-3)</f>
        <v>1629000</v>
      </c>
      <c r="Y87" s="57" t="s">
        <v>359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444</v>
      </c>
      <c r="J88" s="296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24" t="s">
        <v>360</v>
      </c>
      <c r="W88" s="70"/>
      <c r="X88" s="224">
        <f>X89</f>
        <v>788000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5" t="s">
        <v>443</v>
      </c>
      <c r="J89" s="296"/>
      <c r="K89" s="295"/>
      <c r="L89" s="295"/>
      <c r="M89" s="295">
        <f>SUM(M80:M87)</f>
        <v>94585000</v>
      </c>
      <c r="N89" s="54" t="s">
        <v>359</v>
      </c>
      <c r="O89" s="456" t="s">
        <v>380</v>
      </c>
      <c r="P89" s="483">
        <v>12</v>
      </c>
      <c r="Q89" s="208" t="s">
        <v>379</v>
      </c>
      <c r="R89" s="72" t="s">
        <v>373</v>
      </c>
      <c r="S89" s="75">
        <v>0.1</v>
      </c>
      <c r="T89" s="295"/>
      <c r="U89" s="295" t="s">
        <v>372</v>
      </c>
      <c r="V89" s="86"/>
      <c r="W89" s="86"/>
      <c r="X89" s="242">
        <f>ROUNDDOWN(M89/P89*S89,-3)</f>
        <v>788000</v>
      </c>
      <c r="Y89" s="482" t="s">
        <v>359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499</v>
      </c>
      <c r="J90" s="296"/>
      <c r="K90" s="295"/>
      <c r="L90" s="295"/>
      <c r="M90" s="295"/>
      <c r="N90" s="54"/>
      <c r="O90" s="295"/>
      <c r="P90" s="295"/>
      <c r="Q90" s="295"/>
      <c r="R90" s="295"/>
      <c r="S90" s="295"/>
      <c r="T90" s="295"/>
      <c r="U90" s="295"/>
      <c r="V90" s="224" t="s">
        <v>360</v>
      </c>
      <c r="W90" s="70"/>
      <c r="X90" s="224">
        <f>SUM(X91:X95)</f>
        <v>909000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5" t="s">
        <v>477</v>
      </c>
      <c r="J91" s="296"/>
      <c r="K91" s="295"/>
      <c r="L91" s="295"/>
      <c r="M91" s="295">
        <f>M89</f>
        <v>94585000</v>
      </c>
      <c r="N91" s="54" t="s">
        <v>359</v>
      </c>
      <c r="O91" s="72" t="s">
        <v>373</v>
      </c>
      <c r="P91" s="471">
        <v>0.09</v>
      </c>
      <c r="Q91" s="456">
        <v>2</v>
      </c>
      <c r="R91" s="72" t="s">
        <v>373</v>
      </c>
      <c r="S91" s="75">
        <v>0.1</v>
      </c>
      <c r="T91" s="74"/>
      <c r="U91" s="456" t="s">
        <v>372</v>
      </c>
      <c r="V91" s="295"/>
      <c r="W91" s="66"/>
      <c r="X91" s="66">
        <f>ROUNDUP(M91*P91/Q91*S91,-3)</f>
        <v>426000</v>
      </c>
      <c r="Y91" s="57" t="s">
        <v>359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5" t="s">
        <v>476</v>
      </c>
      <c r="J92" s="296"/>
      <c r="K92" s="295"/>
      <c r="L92" s="295"/>
      <c r="M92" s="295">
        <f>M89</f>
        <v>94585000</v>
      </c>
      <c r="N92" s="54" t="s">
        <v>359</v>
      </c>
      <c r="O92" s="72" t="s">
        <v>373</v>
      </c>
      <c r="P92" s="470">
        <v>6.4600000000000005E-2</v>
      </c>
      <c r="Q92" s="456">
        <v>2</v>
      </c>
      <c r="R92" s="72" t="s">
        <v>373</v>
      </c>
      <c r="S92" s="75">
        <v>0.1</v>
      </c>
      <c r="T92" s="74"/>
      <c r="U92" s="456" t="s">
        <v>372</v>
      </c>
      <c r="V92" s="295"/>
      <c r="W92" s="66"/>
      <c r="X92" s="66">
        <f>ROUND(M92*P92/Q92*S92,-3)</f>
        <v>306000</v>
      </c>
      <c r="Y92" s="57" t="s">
        <v>359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5" t="s">
        <v>475</v>
      </c>
      <c r="J93" s="296"/>
      <c r="K93" s="295"/>
      <c r="L93" s="295"/>
      <c r="M93" s="295">
        <f>X92</f>
        <v>306000</v>
      </c>
      <c r="N93" s="54" t="s">
        <v>359</v>
      </c>
      <c r="O93" s="72" t="s">
        <v>373</v>
      </c>
      <c r="P93" s="76">
        <v>8.5099999999999995E-2</v>
      </c>
      <c r="Q93" s="469"/>
      <c r="R93" s="72"/>
      <c r="S93" s="75"/>
      <c r="T93" s="468"/>
      <c r="U93" s="456" t="s">
        <v>372</v>
      </c>
      <c r="V93" s="295"/>
      <c r="W93" s="66"/>
      <c r="X93" s="66">
        <f>ROUNDDOWN(M93*P93,-3)</f>
        <v>26000</v>
      </c>
      <c r="Y93" s="57" t="s">
        <v>359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5" t="s">
        <v>474</v>
      </c>
      <c r="J94" s="296"/>
      <c r="K94" s="295"/>
      <c r="L94" s="295"/>
      <c r="M94" s="295">
        <f>M89</f>
        <v>94585000</v>
      </c>
      <c r="N94" s="54" t="s">
        <v>359</v>
      </c>
      <c r="O94" s="72" t="s">
        <v>373</v>
      </c>
      <c r="P94" s="76">
        <v>8.9999999999999993E-3</v>
      </c>
      <c r="Q94" s="72"/>
      <c r="R94" s="72" t="s">
        <v>373</v>
      </c>
      <c r="S94" s="75">
        <v>0.1</v>
      </c>
      <c r="T94" s="74"/>
      <c r="U94" s="456" t="s">
        <v>372</v>
      </c>
      <c r="V94" s="295"/>
      <c r="W94" s="66"/>
      <c r="X94" s="66">
        <f>ROUND(M94*P94*S94,-3)</f>
        <v>85000</v>
      </c>
      <c r="Y94" s="57" t="s">
        <v>359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5" t="s">
        <v>473</v>
      </c>
      <c r="J95" s="296"/>
      <c r="K95" s="295"/>
      <c r="L95" s="295"/>
      <c r="M95" s="295">
        <f>M89</f>
        <v>94585000</v>
      </c>
      <c r="N95" s="54" t="s">
        <v>359</v>
      </c>
      <c r="O95" s="72" t="s">
        <v>373</v>
      </c>
      <c r="P95" s="467">
        <v>6.9300000000000004E-3</v>
      </c>
      <c r="Q95" s="72"/>
      <c r="R95" s="72" t="s">
        <v>373</v>
      </c>
      <c r="S95" s="75">
        <v>0.1</v>
      </c>
      <c r="T95" s="74"/>
      <c r="U95" s="456" t="s">
        <v>372</v>
      </c>
      <c r="V95" s="295"/>
      <c r="W95" s="66"/>
      <c r="X95" s="66">
        <f>ROUND(M95*P95*S95,-3)</f>
        <v>66000</v>
      </c>
      <c r="Y95" s="57" t="s">
        <v>359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10"/>
      <c r="L96" s="210"/>
      <c r="M96" s="295"/>
      <c r="N96" s="295"/>
      <c r="O96" s="208"/>
      <c r="P96" s="295"/>
      <c r="Q96" s="54"/>
      <c r="R96" s="475"/>
      <c r="S96" s="56"/>
      <c r="T96" s="456"/>
      <c r="U96" s="456"/>
      <c r="V96" s="75"/>
      <c r="W96" s="296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498</v>
      </c>
      <c r="J97" s="66"/>
      <c r="K97" s="210"/>
      <c r="L97" s="210"/>
      <c r="M97" s="295"/>
      <c r="N97" s="295"/>
      <c r="O97" s="208"/>
      <c r="P97" s="295"/>
      <c r="Q97" s="54"/>
      <c r="R97" s="475"/>
      <c r="S97" s="56"/>
      <c r="T97" s="456"/>
      <c r="U97" s="456"/>
      <c r="V97" s="224" t="s">
        <v>453</v>
      </c>
      <c r="W97" s="70"/>
      <c r="X97" s="224">
        <f>SUM(X98:X100)</f>
        <v>2120000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5" t="s">
        <v>598</v>
      </c>
      <c r="J98" s="550"/>
      <c r="K98" s="549"/>
      <c r="L98" s="549"/>
      <c r="M98" s="515">
        <v>300000</v>
      </c>
      <c r="N98" s="392" t="s">
        <v>578</v>
      </c>
      <c r="O98" s="392" t="s">
        <v>582</v>
      </c>
      <c r="P98" s="551">
        <v>1</v>
      </c>
      <c r="Q98" s="480">
        <v>12</v>
      </c>
      <c r="R98" s="392" t="s">
        <v>580</v>
      </c>
      <c r="S98" s="517">
        <v>0.1</v>
      </c>
      <c r="T98" s="392"/>
      <c r="U98" s="392" t="s">
        <v>581</v>
      </c>
      <c r="V98" s="549"/>
      <c r="W98" s="130"/>
      <c r="X98" s="549">
        <f>M98*P98*Q98*S98</f>
        <v>360000</v>
      </c>
      <c r="Y98" s="131" t="s">
        <v>578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5" t="s">
        <v>497</v>
      </c>
      <c r="J99" s="296"/>
      <c r="K99" s="295"/>
      <c r="L99" s="295"/>
      <c r="M99" s="474">
        <v>5000000</v>
      </c>
      <c r="N99" s="67" t="s">
        <v>359</v>
      </c>
      <c r="O99" s="67" t="s">
        <v>373</v>
      </c>
      <c r="P99" s="75">
        <v>0.1</v>
      </c>
      <c r="Q99" s="473"/>
      <c r="R99" s="67"/>
      <c r="S99" s="472"/>
      <c r="T99" s="67"/>
      <c r="U99" s="67" t="s">
        <v>372</v>
      </c>
      <c r="V99" s="295"/>
      <c r="W99" s="66"/>
      <c r="X99" s="295">
        <f>M99*P99</f>
        <v>500000</v>
      </c>
      <c r="Y99" s="57" t="s">
        <v>359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285" t="s">
        <v>496</v>
      </c>
      <c r="J100" s="296"/>
      <c r="K100" s="295"/>
      <c r="L100" s="295"/>
      <c r="M100" s="474">
        <v>70000</v>
      </c>
      <c r="N100" s="67" t="s">
        <v>359</v>
      </c>
      <c r="O100" s="67" t="s">
        <v>373</v>
      </c>
      <c r="P100" s="481">
        <v>1</v>
      </c>
      <c r="Q100" s="480">
        <v>180</v>
      </c>
      <c r="R100" s="67" t="s">
        <v>464</v>
      </c>
      <c r="S100" s="472">
        <v>0.1</v>
      </c>
      <c r="T100" s="67"/>
      <c r="U100" s="67" t="s">
        <v>372</v>
      </c>
      <c r="V100" s="295"/>
      <c r="W100" s="66"/>
      <c r="X100" s="277">
        <f>M100*P100*Q100*S100</f>
        <v>1260000</v>
      </c>
      <c r="Y100" s="303" t="s">
        <v>359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61"/>
      <c r="J101" s="70"/>
      <c r="K101" s="479"/>
      <c r="L101" s="479"/>
      <c r="M101" s="224"/>
      <c r="N101" s="224"/>
      <c r="O101" s="478"/>
      <c r="P101" s="224"/>
      <c r="Q101" s="125"/>
      <c r="R101" s="477"/>
      <c r="S101" s="224"/>
      <c r="T101" s="201"/>
      <c r="U101" s="201"/>
      <c r="V101" s="476"/>
      <c r="W101" s="361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495</v>
      </c>
      <c r="E102" s="48">
        <v>10778</v>
      </c>
      <c r="F102" s="237">
        <f>ROUND(X102/1000,0)</f>
        <v>10778</v>
      </c>
      <c r="G102" s="49">
        <f>F102-E102</f>
        <v>0</v>
      </c>
      <c r="H102" s="68">
        <f>IF(E102=0,0,G102/E102)</f>
        <v>0</v>
      </c>
      <c r="I102" s="69" t="s">
        <v>494</v>
      </c>
      <c r="J102" s="66"/>
      <c r="K102" s="210"/>
      <c r="L102" s="210"/>
      <c r="M102" s="295"/>
      <c r="N102" s="295"/>
      <c r="O102" s="208"/>
      <c r="P102" s="295"/>
      <c r="Q102" s="54"/>
      <c r="R102" s="475"/>
      <c r="S102" s="56"/>
      <c r="T102" s="456"/>
      <c r="U102" s="456"/>
      <c r="V102" s="224" t="s">
        <v>493</v>
      </c>
      <c r="W102" s="70"/>
      <c r="X102" s="224">
        <f>SUM(X103:X104)</f>
        <v>10778000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9" t="s">
        <v>536</v>
      </c>
      <c r="J103" s="66"/>
      <c r="K103" s="210"/>
      <c r="L103" s="210"/>
      <c r="M103" s="474">
        <v>5000000</v>
      </c>
      <c r="N103" s="67" t="s">
        <v>359</v>
      </c>
      <c r="O103" s="67" t="s">
        <v>373</v>
      </c>
      <c r="P103" s="75">
        <v>0.3</v>
      </c>
      <c r="Q103" s="473"/>
      <c r="R103" s="67"/>
      <c r="S103" s="472"/>
      <c r="T103" s="67"/>
      <c r="U103" s="67" t="s">
        <v>372</v>
      </c>
      <c r="V103" s="295"/>
      <c r="W103" s="66"/>
      <c r="X103" s="295">
        <f>ROUND(M103*P103,-3)</f>
        <v>1500000</v>
      </c>
      <c r="Y103" s="57" t="s">
        <v>359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9" t="s">
        <v>492</v>
      </c>
      <c r="J104" s="66"/>
      <c r="K104" s="210"/>
      <c r="L104" s="210"/>
      <c r="M104" s="474">
        <v>18556000</v>
      </c>
      <c r="N104" s="67" t="s">
        <v>359</v>
      </c>
      <c r="O104" s="67" t="s">
        <v>373</v>
      </c>
      <c r="P104" s="75">
        <v>0.5</v>
      </c>
      <c r="Q104" s="473"/>
      <c r="R104" s="67"/>
      <c r="S104" s="472"/>
      <c r="T104" s="67"/>
      <c r="U104" s="67" t="s">
        <v>372</v>
      </c>
      <c r="V104" s="295"/>
      <c r="W104" s="66"/>
      <c r="X104" s="295">
        <f>ROUND(M104*P104,-3)</f>
        <v>9278000</v>
      </c>
      <c r="Y104" s="57" t="s">
        <v>359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61"/>
      <c r="J105" s="224"/>
      <c r="K105" s="83"/>
      <c r="L105" s="83"/>
      <c r="M105" s="224"/>
      <c r="N105" s="224"/>
      <c r="O105" s="361"/>
      <c r="P105" s="224"/>
      <c r="Q105" s="224"/>
      <c r="R105" s="361"/>
      <c r="S105" s="361"/>
      <c r="T105" s="361"/>
      <c r="U105" s="361"/>
      <c r="V105" s="361"/>
      <c r="W105" s="361"/>
      <c r="X105" s="224"/>
      <c r="Y105" s="71"/>
      <c r="Z105" s="6"/>
    </row>
    <row r="106" spans="1:26" ht="21" customHeight="1">
      <c r="A106" s="45"/>
      <c r="B106" s="46"/>
      <c r="C106" s="46" t="s">
        <v>491</v>
      </c>
      <c r="D106" s="458" t="s">
        <v>367</v>
      </c>
      <c r="E106" s="219">
        <f>SUM(E107:E167)</f>
        <v>591561</v>
      </c>
      <c r="F106" s="219">
        <f>SUM(F107:F167)</f>
        <v>593991</v>
      </c>
      <c r="G106" s="220">
        <f>F106-E106</f>
        <v>2430</v>
      </c>
      <c r="H106" s="221">
        <f>IF(E106=0,0,G106/E106)</f>
        <v>4.107775867577477E-3</v>
      </c>
      <c r="I106" s="204" t="s">
        <v>490</v>
      </c>
      <c r="J106" s="205"/>
      <c r="K106" s="206"/>
      <c r="L106" s="206"/>
      <c r="M106" s="206"/>
      <c r="N106" s="206"/>
      <c r="O106" s="206"/>
      <c r="P106" s="207"/>
      <c r="Q106" s="207"/>
      <c r="R106" s="207"/>
      <c r="S106" s="207"/>
      <c r="T106" s="207"/>
      <c r="U106" s="207"/>
      <c r="V106" s="234" t="s">
        <v>360</v>
      </c>
      <c r="W106" s="235"/>
      <c r="X106" s="236">
        <f>SUM(X107,X112,X127,X131,X139,X163)</f>
        <v>593991000</v>
      </c>
      <c r="Y106" s="267" t="s">
        <v>359</v>
      </c>
    </row>
    <row r="107" spans="1:26" ht="21" customHeight="1">
      <c r="A107" s="45"/>
      <c r="B107" s="46"/>
      <c r="C107" s="46" t="s">
        <v>489</v>
      </c>
      <c r="D107" s="36" t="s">
        <v>488</v>
      </c>
      <c r="E107" s="237">
        <v>2262</v>
      </c>
      <c r="F107" s="237">
        <f>ROUND(X107/1000,0)</f>
        <v>2262</v>
      </c>
      <c r="G107" s="273">
        <f>F107-E107</f>
        <v>0</v>
      </c>
      <c r="H107" s="183">
        <f>IF(E107=0,0,G107/E107)</f>
        <v>0</v>
      </c>
      <c r="I107" s="138" t="s">
        <v>487</v>
      </c>
      <c r="J107" s="157"/>
      <c r="K107" s="86"/>
      <c r="L107" s="86"/>
      <c r="M107" s="86"/>
      <c r="N107" s="246"/>
      <c r="O107" s="238"/>
      <c r="P107" s="86"/>
      <c r="Q107" s="239"/>
      <c r="R107" s="493"/>
      <c r="S107" s="492"/>
      <c r="T107" s="492"/>
      <c r="U107" s="246"/>
      <c r="V107" s="491" t="s">
        <v>456</v>
      </c>
      <c r="W107" s="140"/>
      <c r="X107" s="140">
        <f>SUM(X108:X110)</f>
        <v>2262000</v>
      </c>
      <c r="Y107" s="141" t="s">
        <v>359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5" t="s">
        <v>486</v>
      </c>
      <c r="J108" s="296"/>
      <c r="K108" s="295"/>
      <c r="L108" s="295"/>
      <c r="M108" s="295">
        <f>M15</f>
        <v>252812</v>
      </c>
      <c r="N108" s="456" t="s">
        <v>25</v>
      </c>
      <c r="O108" s="208" t="s">
        <v>26</v>
      </c>
      <c r="P108" s="457">
        <v>24</v>
      </c>
      <c r="Q108" s="54" t="s">
        <v>139</v>
      </c>
      <c r="R108" s="209" t="s">
        <v>26</v>
      </c>
      <c r="S108" s="211">
        <v>12</v>
      </c>
      <c r="T108" s="211" t="s">
        <v>29</v>
      </c>
      <c r="U108" s="456" t="s">
        <v>26</v>
      </c>
      <c r="V108" s="490">
        <v>0.03</v>
      </c>
      <c r="W108" s="66" t="s">
        <v>27</v>
      </c>
      <c r="X108" s="66">
        <f>ROUND(M108*P108*S108*V108,-3)</f>
        <v>2184000</v>
      </c>
      <c r="Y108" s="57" t="s">
        <v>359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5" t="s">
        <v>485</v>
      </c>
      <c r="J109" s="296"/>
      <c r="K109" s="295"/>
      <c r="L109" s="295"/>
      <c r="M109" s="295">
        <f t="shared" ref="M109:M110" si="1">M16</f>
        <v>35394</v>
      </c>
      <c r="N109" s="456" t="s">
        <v>25</v>
      </c>
      <c r="O109" s="208" t="s">
        <v>26</v>
      </c>
      <c r="P109" s="457">
        <v>24</v>
      </c>
      <c r="Q109" s="54" t="s">
        <v>139</v>
      </c>
      <c r="R109" s="475" t="s">
        <v>26</v>
      </c>
      <c r="S109" s="211">
        <v>1</v>
      </c>
      <c r="T109" s="211" t="s">
        <v>483</v>
      </c>
      <c r="U109" s="456" t="s">
        <v>26</v>
      </c>
      <c r="V109" s="490">
        <v>0.03</v>
      </c>
      <c r="W109" s="66" t="s">
        <v>27</v>
      </c>
      <c r="X109" s="66">
        <f>ROUNDUP(M109*P109*S109*V109,-3)</f>
        <v>26000</v>
      </c>
      <c r="Y109" s="57" t="s">
        <v>359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5" t="s">
        <v>484</v>
      </c>
      <c r="J110" s="66"/>
      <c r="K110" s="210"/>
      <c r="L110" s="210"/>
      <c r="M110" s="295">
        <f t="shared" si="1"/>
        <v>36300</v>
      </c>
      <c r="N110" s="295" t="s">
        <v>25</v>
      </c>
      <c r="O110" s="208" t="s">
        <v>26</v>
      </c>
      <c r="P110" s="457">
        <v>24</v>
      </c>
      <c r="Q110" s="54" t="s">
        <v>139</v>
      </c>
      <c r="R110" s="475" t="s">
        <v>26</v>
      </c>
      <c r="S110" s="56">
        <v>2</v>
      </c>
      <c r="T110" s="456" t="s">
        <v>483</v>
      </c>
      <c r="U110" s="456" t="s">
        <v>26</v>
      </c>
      <c r="V110" s="490">
        <v>0.03</v>
      </c>
      <c r="W110" s="296" t="s">
        <v>27</v>
      </c>
      <c r="X110" s="66">
        <f>ROUND(M110*P110*S110*V110,-3)</f>
        <v>52000</v>
      </c>
      <c r="Y110" s="57" t="s">
        <v>359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79"/>
      <c r="L111" s="479"/>
      <c r="M111" s="224"/>
      <c r="N111" s="224"/>
      <c r="O111" s="478"/>
      <c r="P111" s="224"/>
      <c r="Q111" s="125"/>
      <c r="R111" s="477"/>
      <c r="S111" s="486"/>
      <c r="T111" s="201"/>
      <c r="U111" s="201"/>
      <c r="V111" s="476"/>
      <c r="W111" s="361"/>
      <c r="X111" s="70"/>
      <c r="Y111" s="71"/>
    </row>
    <row r="112" spans="1:26" ht="21" customHeight="1" thickBot="1">
      <c r="A112" s="45"/>
      <c r="B112" s="46"/>
      <c r="C112" s="46"/>
      <c r="D112" s="36" t="s">
        <v>482</v>
      </c>
      <c r="E112" s="37">
        <v>415222</v>
      </c>
      <c r="F112" s="237">
        <f>ROUND(X112/1000,0)</f>
        <v>415222</v>
      </c>
      <c r="G112" s="38">
        <f>F112-E112</f>
        <v>0</v>
      </c>
      <c r="H112" s="115">
        <f>IF(E112=0,0,G112/E112)</f>
        <v>0</v>
      </c>
      <c r="I112" s="243" t="s">
        <v>572</v>
      </c>
      <c r="J112" s="242"/>
      <c r="K112" s="247"/>
      <c r="L112" s="247"/>
      <c r="M112" s="86"/>
      <c r="N112" s="86"/>
      <c r="O112" s="238"/>
      <c r="P112" s="86"/>
      <c r="Q112" s="239"/>
      <c r="R112" s="240"/>
      <c r="S112" s="241"/>
      <c r="T112" s="246"/>
      <c r="U112" s="246"/>
      <c r="V112" s="244" t="s">
        <v>456</v>
      </c>
      <c r="W112" s="245"/>
      <c r="X112" s="245">
        <f>SUM(X113,X114,X118,X120)</f>
        <v>415222000</v>
      </c>
      <c r="Y112" s="268" t="s">
        <v>359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6" t="s">
        <v>481</v>
      </c>
      <c r="J113" s="296"/>
      <c r="K113" s="295"/>
      <c r="L113" s="295"/>
      <c r="M113" s="295">
        <f>M20</f>
        <v>1025040000</v>
      </c>
      <c r="N113" s="295" t="s">
        <v>359</v>
      </c>
      <c r="O113" s="72" t="s">
        <v>373</v>
      </c>
      <c r="P113" s="489">
        <v>0.255</v>
      </c>
      <c r="Q113" s="295"/>
      <c r="R113" s="295"/>
      <c r="S113" s="295"/>
      <c r="T113" s="295"/>
      <c r="U113" s="295" t="s">
        <v>372</v>
      </c>
      <c r="V113" s="224" t="s">
        <v>360</v>
      </c>
      <c r="W113" s="70"/>
      <c r="X113" s="224">
        <f>ROUND(M113*P113,-3)</f>
        <v>261385000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7" t="s">
        <v>480</v>
      </c>
      <c r="J114" s="296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139" t="s">
        <v>360</v>
      </c>
      <c r="W114" s="140"/>
      <c r="X114" s="139">
        <f>SUM(X115:X117)</f>
        <v>90703000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5" t="s">
        <v>447</v>
      </c>
      <c r="J115" s="296"/>
      <c r="K115" s="295"/>
      <c r="L115" s="295"/>
      <c r="M115" s="295">
        <f>M22</f>
        <v>105713000</v>
      </c>
      <c r="N115" s="295" t="s">
        <v>359</v>
      </c>
      <c r="O115" s="72" t="s">
        <v>373</v>
      </c>
      <c r="P115" s="489">
        <v>0.255</v>
      </c>
      <c r="Q115" s="295"/>
      <c r="R115" s="295"/>
      <c r="S115" s="295"/>
      <c r="T115" s="295"/>
      <c r="U115" s="295" t="s">
        <v>372</v>
      </c>
      <c r="V115" s="721"/>
      <c r="W115" s="721"/>
      <c r="X115" s="242">
        <f>ROUND(M115*P115,-3)</f>
        <v>26957000</v>
      </c>
      <c r="Y115" s="484" t="s">
        <v>359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5" t="s">
        <v>446</v>
      </c>
      <c r="J116" s="296"/>
      <c r="K116" s="295"/>
      <c r="L116" s="295"/>
      <c r="M116" s="295">
        <f>M23</f>
        <v>14400000</v>
      </c>
      <c r="N116" s="295" t="s">
        <v>359</v>
      </c>
      <c r="O116" s="72" t="s">
        <v>373</v>
      </c>
      <c r="P116" s="489">
        <v>0.255</v>
      </c>
      <c r="Q116" s="295"/>
      <c r="R116" s="295"/>
      <c r="S116" s="295"/>
      <c r="T116" s="295"/>
      <c r="U116" s="295" t="s">
        <v>372</v>
      </c>
      <c r="V116" s="720"/>
      <c r="W116" s="720"/>
      <c r="X116" s="66">
        <f>ROUND(M116*P116,-3)</f>
        <v>3672000</v>
      </c>
      <c r="Y116" s="57" t="s">
        <v>359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5" t="s">
        <v>445</v>
      </c>
      <c r="J117" s="296"/>
      <c r="K117" s="295"/>
      <c r="L117" s="295"/>
      <c r="M117" s="295">
        <f>M24</f>
        <v>235584000</v>
      </c>
      <c r="N117" s="295" t="s">
        <v>359</v>
      </c>
      <c r="O117" s="72" t="s">
        <v>373</v>
      </c>
      <c r="P117" s="489">
        <v>0.255</v>
      </c>
      <c r="Q117" s="295"/>
      <c r="R117" s="295"/>
      <c r="S117" s="295"/>
      <c r="T117" s="295"/>
      <c r="U117" s="295" t="s">
        <v>372</v>
      </c>
      <c r="V117" s="720"/>
      <c r="W117" s="720"/>
      <c r="X117" s="66">
        <f>ROUND(M117*P117,-3)</f>
        <v>60074000</v>
      </c>
      <c r="Y117" s="57" t="s">
        <v>359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6" t="s">
        <v>479</v>
      </c>
      <c r="J118" s="296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24" t="s">
        <v>360</v>
      </c>
      <c r="W118" s="70"/>
      <c r="X118" s="224">
        <f>X119</f>
        <v>29341000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5" t="s">
        <v>573</v>
      </c>
      <c r="J119" s="296"/>
      <c r="K119" s="295"/>
      <c r="L119" s="295"/>
      <c r="M119" s="295">
        <f>SUM(M113:M117)</f>
        <v>1380737000</v>
      </c>
      <c r="N119" s="54" t="s">
        <v>359</v>
      </c>
      <c r="O119" s="456" t="s">
        <v>380</v>
      </c>
      <c r="P119" s="483">
        <v>12</v>
      </c>
      <c r="Q119" s="208" t="s">
        <v>379</v>
      </c>
      <c r="R119" s="72" t="s">
        <v>373</v>
      </c>
      <c r="S119" s="489">
        <v>0.255</v>
      </c>
      <c r="T119" s="295"/>
      <c r="U119" s="295" t="s">
        <v>372</v>
      </c>
      <c r="V119" s="86"/>
      <c r="W119" s="86"/>
      <c r="X119" s="242">
        <f>ROUND(M119/P119*S119,-3)</f>
        <v>29341000</v>
      </c>
      <c r="Y119" s="482" t="s">
        <v>359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6" t="s">
        <v>478</v>
      </c>
      <c r="J120" s="296"/>
      <c r="K120" s="295"/>
      <c r="L120" s="295"/>
      <c r="M120" s="295"/>
      <c r="N120" s="54"/>
      <c r="O120" s="295"/>
      <c r="P120" s="295"/>
      <c r="Q120" s="295"/>
      <c r="R120" s="295"/>
      <c r="S120" s="295"/>
      <c r="T120" s="295"/>
      <c r="U120" s="295"/>
      <c r="V120" s="224" t="s">
        <v>360</v>
      </c>
      <c r="W120" s="70"/>
      <c r="X120" s="224">
        <f>SUM(X121:X125)</f>
        <v>33793000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5" t="s">
        <v>477</v>
      </c>
      <c r="J121" s="296"/>
      <c r="K121" s="295"/>
      <c r="L121" s="295"/>
      <c r="M121" s="295">
        <f>M119</f>
        <v>1380737000</v>
      </c>
      <c r="N121" s="54" t="s">
        <v>359</v>
      </c>
      <c r="O121" s="72" t="s">
        <v>373</v>
      </c>
      <c r="P121" s="471">
        <v>0.09</v>
      </c>
      <c r="Q121" s="456">
        <v>2</v>
      </c>
      <c r="R121" s="72" t="s">
        <v>373</v>
      </c>
      <c r="S121" s="489">
        <v>0.255</v>
      </c>
      <c r="T121" s="74"/>
      <c r="U121" s="456" t="s">
        <v>372</v>
      </c>
      <c r="V121" s="295"/>
      <c r="W121" s="66"/>
      <c r="X121" s="66">
        <f>ROUND(M121*P121/Q121*S121,-3)</f>
        <v>15844000</v>
      </c>
      <c r="Y121" s="57" t="s">
        <v>359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5" t="s">
        <v>476</v>
      </c>
      <c r="J122" s="296"/>
      <c r="K122" s="295"/>
      <c r="L122" s="295"/>
      <c r="M122" s="295">
        <f>M119</f>
        <v>1380737000</v>
      </c>
      <c r="N122" s="54" t="s">
        <v>359</v>
      </c>
      <c r="O122" s="72" t="s">
        <v>373</v>
      </c>
      <c r="P122" s="470">
        <v>6.4600000000000005E-2</v>
      </c>
      <c r="Q122" s="456">
        <v>2</v>
      </c>
      <c r="R122" s="72" t="s">
        <v>373</v>
      </c>
      <c r="S122" s="489">
        <v>0.255</v>
      </c>
      <c r="T122" s="74"/>
      <c r="U122" s="456" t="s">
        <v>372</v>
      </c>
      <c r="V122" s="295"/>
      <c r="W122" s="66"/>
      <c r="X122" s="66">
        <f>ROUNDDOWN(M122*P122/Q122*S122,-3)</f>
        <v>11372000</v>
      </c>
      <c r="Y122" s="57" t="s">
        <v>359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5" t="s">
        <v>475</v>
      </c>
      <c r="J123" s="296"/>
      <c r="K123" s="295"/>
      <c r="L123" s="295"/>
      <c r="M123" s="295">
        <f>X122</f>
        <v>11372000</v>
      </c>
      <c r="N123" s="54" t="s">
        <v>359</v>
      </c>
      <c r="O123" s="72" t="s">
        <v>373</v>
      </c>
      <c r="P123" s="76">
        <v>8.5099999999999995E-2</v>
      </c>
      <c r="Q123" s="469"/>
      <c r="R123" s="72"/>
      <c r="S123" s="75"/>
      <c r="T123" s="468"/>
      <c r="U123" s="456" t="s">
        <v>372</v>
      </c>
      <c r="V123" s="295"/>
      <c r="W123" s="66"/>
      <c r="X123" s="66">
        <f>ROUND(M123*P123,-3)</f>
        <v>968000</v>
      </c>
      <c r="Y123" s="57" t="s">
        <v>359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5" t="s">
        <v>474</v>
      </c>
      <c r="J124" s="296"/>
      <c r="K124" s="295"/>
      <c r="L124" s="295"/>
      <c r="M124" s="295">
        <f>M119</f>
        <v>1380737000</v>
      </c>
      <c r="N124" s="54" t="s">
        <v>359</v>
      </c>
      <c r="O124" s="72" t="s">
        <v>373</v>
      </c>
      <c r="P124" s="76">
        <v>8.9999999999999993E-3</v>
      </c>
      <c r="Q124" s="72"/>
      <c r="R124" s="72" t="s">
        <v>373</v>
      </c>
      <c r="S124" s="489">
        <v>0.255</v>
      </c>
      <c r="T124" s="74"/>
      <c r="U124" s="456" t="s">
        <v>372</v>
      </c>
      <c r="V124" s="295"/>
      <c r="W124" s="66"/>
      <c r="X124" s="66">
        <f>ROUNDUP(M124*P124*S124,-3)</f>
        <v>3169000</v>
      </c>
      <c r="Y124" s="57" t="s">
        <v>359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5" t="s">
        <v>473</v>
      </c>
      <c r="J125" s="296"/>
      <c r="K125" s="295"/>
      <c r="L125" s="295"/>
      <c r="M125" s="295">
        <f>M119</f>
        <v>1380737000</v>
      </c>
      <c r="N125" s="54" t="s">
        <v>359</v>
      </c>
      <c r="O125" s="72" t="s">
        <v>373</v>
      </c>
      <c r="P125" s="467">
        <v>6.9300000000000004E-3</v>
      </c>
      <c r="Q125" s="72"/>
      <c r="R125" s="72" t="s">
        <v>373</v>
      </c>
      <c r="S125" s="489">
        <v>0.255</v>
      </c>
      <c r="T125" s="74"/>
      <c r="U125" s="456" t="s">
        <v>372</v>
      </c>
      <c r="V125" s="295"/>
      <c r="W125" s="66"/>
      <c r="X125" s="66">
        <f>ROUNDUP(M125*P125*S125,-3)</f>
        <v>2440000</v>
      </c>
      <c r="Y125" s="57" t="s">
        <v>359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79"/>
      <c r="L126" s="479"/>
      <c r="M126" s="224"/>
      <c r="N126" s="224"/>
      <c r="O126" s="478"/>
      <c r="P126" s="224"/>
      <c r="Q126" s="125"/>
      <c r="R126" s="477"/>
      <c r="S126" s="486"/>
      <c r="T126" s="201"/>
      <c r="U126" s="201"/>
      <c r="V126" s="476"/>
      <c r="W126" s="361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472</v>
      </c>
      <c r="E127" s="37">
        <v>20882</v>
      </c>
      <c r="F127" s="237">
        <f>ROUND(X127/1000,0)</f>
        <v>20882</v>
      </c>
      <c r="G127" s="38">
        <f>F127-E127</f>
        <v>0</v>
      </c>
      <c r="H127" s="115">
        <f>IF(E127=0,0,G127/E127)</f>
        <v>0</v>
      </c>
      <c r="I127" s="243" t="s">
        <v>471</v>
      </c>
      <c r="J127" s="242"/>
      <c r="K127" s="247"/>
      <c r="L127" s="247"/>
      <c r="M127" s="86"/>
      <c r="N127" s="86"/>
      <c r="O127" s="238"/>
      <c r="P127" s="86"/>
      <c r="Q127" s="239"/>
      <c r="R127" s="240"/>
      <c r="S127" s="241"/>
      <c r="T127" s="246"/>
      <c r="U127" s="246"/>
      <c r="V127" s="244" t="s">
        <v>456</v>
      </c>
      <c r="W127" s="245"/>
      <c r="X127" s="245">
        <f>SUM(X128:X129)</f>
        <v>20882000</v>
      </c>
      <c r="Y127" s="268" t="s">
        <v>359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6" t="s">
        <v>470</v>
      </c>
      <c r="J128" s="66"/>
      <c r="K128" s="210"/>
      <c r="L128" s="210"/>
      <c r="M128" s="277">
        <v>2264000</v>
      </c>
      <c r="N128" s="277" t="s">
        <v>25</v>
      </c>
      <c r="O128" s="363" t="s">
        <v>26</v>
      </c>
      <c r="P128" s="364">
        <v>30</v>
      </c>
      <c r="Q128" s="365" t="s">
        <v>374</v>
      </c>
      <c r="R128" s="333" t="s">
        <v>373</v>
      </c>
      <c r="S128" s="366">
        <v>0.255</v>
      </c>
      <c r="T128" s="338"/>
      <c r="U128" s="336" t="s">
        <v>372</v>
      </c>
      <c r="V128" s="720"/>
      <c r="W128" s="720"/>
      <c r="X128" s="66">
        <f>ROUND(M128*P128*S128,-3)</f>
        <v>17320000</v>
      </c>
      <c r="Y128" s="57" t="s">
        <v>359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6" t="s">
        <v>469</v>
      </c>
      <c r="J129" s="66"/>
      <c r="K129" s="210"/>
      <c r="L129" s="210"/>
      <c r="M129" s="277">
        <v>635000</v>
      </c>
      <c r="N129" s="277" t="s">
        <v>25</v>
      </c>
      <c r="O129" s="363" t="s">
        <v>26</v>
      </c>
      <c r="P129" s="364">
        <v>22</v>
      </c>
      <c r="Q129" s="365" t="s">
        <v>374</v>
      </c>
      <c r="R129" s="333" t="s">
        <v>373</v>
      </c>
      <c r="S129" s="366">
        <v>0.255</v>
      </c>
      <c r="T129" s="338"/>
      <c r="U129" s="336" t="s">
        <v>372</v>
      </c>
      <c r="V129" s="720"/>
      <c r="W129" s="720"/>
      <c r="X129" s="66">
        <f>ROUND(M129*P129*S129,-3)</f>
        <v>3562000</v>
      </c>
      <c r="Y129" s="57" t="s">
        <v>359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79"/>
      <c r="L130" s="479"/>
      <c r="M130" s="224"/>
      <c r="N130" s="224"/>
      <c r="O130" s="478"/>
      <c r="P130" s="224"/>
      <c r="Q130" s="125"/>
      <c r="R130" s="477"/>
      <c r="S130" s="486"/>
      <c r="T130" s="201"/>
      <c r="U130" s="201"/>
      <c r="V130" s="476"/>
      <c r="W130" s="361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468</v>
      </c>
      <c r="E131" s="37">
        <v>14942</v>
      </c>
      <c r="F131" s="237">
        <f>ROUND(X131/1000,0)</f>
        <v>14942</v>
      </c>
      <c r="G131" s="38">
        <f>F131-E131</f>
        <v>0</v>
      </c>
      <c r="H131" s="115">
        <f>IF(E131=0,0,G131/E131)</f>
        <v>0</v>
      </c>
      <c r="I131" s="243" t="s">
        <v>467</v>
      </c>
      <c r="J131" s="242"/>
      <c r="K131" s="247"/>
      <c r="L131" s="247"/>
      <c r="M131" s="86"/>
      <c r="N131" s="86"/>
      <c r="O131" s="238"/>
      <c r="P131" s="86"/>
      <c r="Q131" s="239"/>
      <c r="R131" s="240"/>
      <c r="S131" s="241"/>
      <c r="T131" s="246"/>
      <c r="U131" s="246"/>
      <c r="V131" s="244" t="s">
        <v>456</v>
      </c>
      <c r="W131" s="245"/>
      <c r="X131" s="245">
        <f>SUM(X132:X137)</f>
        <v>14942000</v>
      </c>
      <c r="Y131" s="268" t="s">
        <v>359</v>
      </c>
      <c r="Z131" s="1"/>
    </row>
    <row r="132" spans="1:26" ht="21" customHeight="1">
      <c r="A132" s="45"/>
      <c r="B132" s="46"/>
      <c r="C132" s="46"/>
      <c r="D132" s="46" t="s">
        <v>466</v>
      </c>
      <c r="E132" s="48"/>
      <c r="F132" s="48"/>
      <c r="G132" s="49"/>
      <c r="H132" s="68"/>
      <c r="I132" s="65" t="s">
        <v>465</v>
      </c>
      <c r="J132" s="296"/>
      <c r="K132" s="295"/>
      <c r="L132" s="295"/>
      <c r="M132" s="295">
        <v>500</v>
      </c>
      <c r="N132" s="295" t="s">
        <v>359</v>
      </c>
      <c r="O132" s="296" t="s">
        <v>373</v>
      </c>
      <c r="P132" s="488">
        <v>52</v>
      </c>
      <c r="Q132" s="473">
        <v>365</v>
      </c>
      <c r="R132" s="295" t="s">
        <v>464</v>
      </c>
      <c r="S132" s="487">
        <v>0.7</v>
      </c>
      <c r="T132" s="295"/>
      <c r="U132" s="295" t="s">
        <v>372</v>
      </c>
      <c r="V132" s="295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463</v>
      </c>
      <c r="J133" s="296"/>
      <c r="K133" s="295"/>
      <c r="L133" s="295"/>
      <c r="M133" s="295">
        <v>5000</v>
      </c>
      <c r="N133" s="295" t="s">
        <v>359</v>
      </c>
      <c r="O133" s="296" t="s">
        <v>373</v>
      </c>
      <c r="P133" s="488">
        <v>52</v>
      </c>
      <c r="Q133" s="473">
        <v>12</v>
      </c>
      <c r="R133" s="295" t="s">
        <v>379</v>
      </c>
      <c r="S133" s="487">
        <v>0.7</v>
      </c>
      <c r="T133" s="295"/>
      <c r="U133" s="295" t="s">
        <v>372</v>
      </c>
      <c r="V133" s="295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462</v>
      </c>
      <c r="J134" s="296"/>
      <c r="K134" s="295"/>
      <c r="L134" s="295"/>
      <c r="M134" s="295">
        <v>20000</v>
      </c>
      <c r="N134" s="295" t="s">
        <v>359</v>
      </c>
      <c r="O134" s="296" t="s">
        <v>373</v>
      </c>
      <c r="P134" s="488">
        <v>52</v>
      </c>
      <c r="Q134" s="473">
        <v>4</v>
      </c>
      <c r="R134" s="295" t="s">
        <v>375</v>
      </c>
      <c r="S134" s="487">
        <v>0.7</v>
      </c>
      <c r="T134" s="295"/>
      <c r="U134" s="295" t="s">
        <v>372</v>
      </c>
      <c r="V134" s="295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461</v>
      </c>
      <c r="J135" s="296"/>
      <c r="K135" s="295"/>
      <c r="L135" s="295"/>
      <c r="M135" s="295">
        <v>12000</v>
      </c>
      <c r="N135" s="295" t="s">
        <v>359</v>
      </c>
      <c r="O135" s="296" t="s">
        <v>373</v>
      </c>
      <c r="P135" s="488">
        <v>52</v>
      </c>
      <c r="Q135" s="473">
        <v>4</v>
      </c>
      <c r="R135" s="295" t="s">
        <v>375</v>
      </c>
      <c r="S135" s="487">
        <v>0.7</v>
      </c>
      <c r="T135" s="295"/>
      <c r="U135" s="295" t="s">
        <v>372</v>
      </c>
      <c r="V135" s="295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460</v>
      </c>
      <c r="J136" s="296"/>
      <c r="K136" s="295"/>
      <c r="L136" s="295"/>
      <c r="M136" s="295"/>
      <c r="N136" s="295"/>
      <c r="O136" s="296"/>
      <c r="P136" s="488"/>
      <c r="Q136" s="473"/>
      <c r="R136" s="295"/>
      <c r="S136" s="295"/>
      <c r="T136" s="295"/>
      <c r="U136" s="295"/>
      <c r="V136" s="295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459</v>
      </c>
      <c r="J137" s="296"/>
      <c r="K137" s="295"/>
      <c r="L137" s="295"/>
      <c r="M137" s="295">
        <v>40000</v>
      </c>
      <c r="N137" s="295" t="s">
        <v>359</v>
      </c>
      <c r="O137" s="296" t="s">
        <v>373</v>
      </c>
      <c r="P137" s="488">
        <v>52</v>
      </c>
      <c r="Q137" s="473">
        <v>1</v>
      </c>
      <c r="R137" s="295" t="s">
        <v>375</v>
      </c>
      <c r="S137" s="487">
        <v>0.7</v>
      </c>
      <c r="T137" s="295"/>
      <c r="U137" s="295" t="s">
        <v>372</v>
      </c>
      <c r="V137" s="295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79"/>
      <c r="L138" s="479"/>
      <c r="M138" s="224"/>
      <c r="N138" s="224"/>
      <c r="O138" s="478"/>
      <c r="P138" s="224"/>
      <c r="Q138" s="125"/>
      <c r="R138" s="477"/>
      <c r="S138" s="486"/>
      <c r="T138" s="201"/>
      <c r="U138" s="201"/>
      <c r="V138" s="476"/>
      <c r="W138" s="361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458</v>
      </c>
      <c r="E139" s="37">
        <v>119475</v>
      </c>
      <c r="F139" s="237">
        <f>ROUND(X139/1000,0)</f>
        <v>119475</v>
      </c>
      <c r="G139" s="38">
        <f>F139-E139</f>
        <v>0</v>
      </c>
      <c r="H139" s="115">
        <f>IF(E139=0,0,G139/E139)</f>
        <v>0</v>
      </c>
      <c r="I139" s="243" t="s">
        <v>457</v>
      </c>
      <c r="J139" s="242"/>
      <c r="K139" s="247"/>
      <c r="L139" s="247"/>
      <c r="M139" s="86"/>
      <c r="N139" s="86"/>
      <c r="O139" s="238"/>
      <c r="P139" s="86"/>
      <c r="Q139" s="239"/>
      <c r="R139" s="240"/>
      <c r="S139" s="241"/>
      <c r="T139" s="246"/>
      <c r="U139" s="246"/>
      <c r="V139" s="244" t="s">
        <v>456</v>
      </c>
      <c r="W139" s="245"/>
      <c r="X139" s="245">
        <f>X140+X158</f>
        <v>119475000</v>
      </c>
      <c r="Y139" s="268" t="s">
        <v>359</v>
      </c>
      <c r="Z139" s="1"/>
    </row>
    <row r="140" spans="1:26" ht="21" customHeight="1">
      <c r="A140" s="45"/>
      <c r="B140" s="46"/>
      <c r="C140" s="46"/>
      <c r="D140" s="46" t="s">
        <v>455</v>
      </c>
      <c r="E140" s="48"/>
      <c r="F140" s="48"/>
      <c r="G140" s="49"/>
      <c r="H140" s="68"/>
      <c r="I140" s="485" t="s">
        <v>454</v>
      </c>
      <c r="J140" s="66"/>
      <c r="K140" s="210"/>
      <c r="L140" s="210"/>
      <c r="M140" s="295"/>
      <c r="N140" s="295"/>
      <c r="O140" s="208"/>
      <c r="P140" s="295"/>
      <c r="Q140" s="54"/>
      <c r="R140" s="475"/>
      <c r="S140" s="56"/>
      <c r="T140" s="456"/>
      <c r="U140" s="456"/>
      <c r="V140" s="224" t="s">
        <v>453</v>
      </c>
      <c r="W140" s="70"/>
      <c r="X140" s="224">
        <f>SUM(X141,X145,X149,X151)</f>
        <v>100395000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452</v>
      </c>
      <c r="J141" s="296"/>
      <c r="K141" s="295"/>
      <c r="L141" s="295"/>
      <c r="M141" s="295"/>
      <c r="N141" s="295"/>
      <c r="O141" s="72"/>
      <c r="P141" s="75"/>
      <c r="Q141" s="295"/>
      <c r="R141" s="295"/>
      <c r="S141" s="295"/>
      <c r="T141" s="295"/>
      <c r="U141" s="295"/>
      <c r="V141" s="224" t="s">
        <v>360</v>
      </c>
      <c r="W141" s="70"/>
      <c r="X141" s="224">
        <f>SUM(X142:X144)</f>
        <v>61714000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8" t="s">
        <v>451</v>
      </c>
      <c r="J142" s="296"/>
      <c r="K142" s="295"/>
      <c r="L142" s="295"/>
      <c r="M142" s="295">
        <f>M81</f>
        <v>23612000</v>
      </c>
      <c r="N142" s="295" t="s">
        <v>359</v>
      </c>
      <c r="O142" s="72" t="s">
        <v>373</v>
      </c>
      <c r="P142" s="75">
        <v>0.9</v>
      </c>
      <c r="Q142" s="295"/>
      <c r="R142" s="295"/>
      <c r="S142" s="295"/>
      <c r="T142" s="295"/>
      <c r="U142" s="295" t="s">
        <v>372</v>
      </c>
      <c r="V142" s="86"/>
      <c r="W142" s="242"/>
      <c r="X142" s="86">
        <f>ROUNDUP(M142*P142,-3)</f>
        <v>21251000</v>
      </c>
      <c r="Y142" s="484" t="s">
        <v>359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5" t="s">
        <v>450</v>
      </c>
      <c r="J143" s="296"/>
      <c r="K143" s="295"/>
      <c r="L143" s="295"/>
      <c r="M143" s="295">
        <f>M82</f>
        <v>23907000</v>
      </c>
      <c r="N143" s="295" t="s">
        <v>359</v>
      </c>
      <c r="O143" s="72" t="s">
        <v>373</v>
      </c>
      <c r="P143" s="75">
        <v>0.9</v>
      </c>
      <c r="Q143" s="295"/>
      <c r="R143" s="295"/>
      <c r="S143" s="295"/>
      <c r="T143" s="295"/>
      <c r="U143" s="295" t="s">
        <v>372</v>
      </c>
      <c r="V143" s="295"/>
      <c r="W143" s="66"/>
      <c r="X143" s="295">
        <f>ROUND(M143*P143,-3)</f>
        <v>21516000</v>
      </c>
      <c r="Y143" s="57" t="s">
        <v>359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5" t="s">
        <v>449</v>
      </c>
      <c r="J144" s="296"/>
      <c r="K144" s="295"/>
      <c r="L144" s="295"/>
      <c r="M144" s="295">
        <f>M83</f>
        <v>21052000</v>
      </c>
      <c r="N144" s="295" t="s">
        <v>359</v>
      </c>
      <c r="O144" s="72" t="s">
        <v>373</v>
      </c>
      <c r="P144" s="75">
        <v>0.9</v>
      </c>
      <c r="Q144" s="295"/>
      <c r="R144" s="295"/>
      <c r="S144" s="295"/>
      <c r="T144" s="295"/>
      <c r="U144" s="295" t="s">
        <v>372</v>
      </c>
      <c r="V144" s="295"/>
      <c r="W144" s="66"/>
      <c r="X144" s="295">
        <f>ROUNDUP(M144*P144,-3)</f>
        <v>18947000</v>
      </c>
      <c r="Y144" s="57" t="s">
        <v>359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448</v>
      </c>
      <c r="J145" s="296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24" t="s">
        <v>360</v>
      </c>
      <c r="W145" s="70"/>
      <c r="X145" s="224">
        <f>SUM(X146:X148)</f>
        <v>23413000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5" t="s">
        <v>447</v>
      </c>
      <c r="J146" s="296"/>
      <c r="K146" s="295"/>
      <c r="L146" s="295"/>
      <c r="M146" s="295">
        <f>M85</f>
        <v>6843000</v>
      </c>
      <c r="N146" s="295" t="s">
        <v>359</v>
      </c>
      <c r="O146" s="72" t="s">
        <v>373</v>
      </c>
      <c r="P146" s="75">
        <v>0.9</v>
      </c>
      <c r="Q146" s="295"/>
      <c r="R146" s="295"/>
      <c r="S146" s="295"/>
      <c r="T146" s="295"/>
      <c r="U146" s="295" t="s">
        <v>372</v>
      </c>
      <c r="V146" s="721"/>
      <c r="W146" s="721"/>
      <c r="X146" s="242">
        <f>ROUND(M146*P146,-3)</f>
        <v>6159000</v>
      </c>
      <c r="Y146" s="484" t="s">
        <v>359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2" t="s">
        <v>446</v>
      </c>
      <c r="J147" s="296"/>
      <c r="K147" s="295"/>
      <c r="L147" s="295"/>
      <c r="M147" s="295">
        <f t="shared" ref="M147:M148" si="2">M86</f>
        <v>2880000</v>
      </c>
      <c r="N147" s="295" t="s">
        <v>359</v>
      </c>
      <c r="O147" s="72" t="s">
        <v>373</v>
      </c>
      <c r="P147" s="75">
        <v>0.9</v>
      </c>
      <c r="Q147" s="295"/>
      <c r="R147" s="295"/>
      <c r="S147" s="295"/>
      <c r="T147" s="295"/>
      <c r="U147" s="295" t="s">
        <v>372</v>
      </c>
      <c r="V147" s="720"/>
      <c r="W147" s="720"/>
      <c r="X147" s="66">
        <f>ROUND(M147*P147,-3)</f>
        <v>2592000</v>
      </c>
      <c r="Y147" s="57" t="s">
        <v>359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5" t="s">
        <v>445</v>
      </c>
      <c r="J148" s="296"/>
      <c r="K148" s="295"/>
      <c r="L148" s="295"/>
      <c r="M148" s="295">
        <f t="shared" si="2"/>
        <v>16291000</v>
      </c>
      <c r="N148" s="295" t="s">
        <v>359</v>
      </c>
      <c r="O148" s="72" t="s">
        <v>373</v>
      </c>
      <c r="P148" s="75">
        <v>0.9</v>
      </c>
      <c r="Q148" s="295"/>
      <c r="R148" s="295"/>
      <c r="S148" s="295"/>
      <c r="T148" s="295"/>
      <c r="U148" s="295" t="s">
        <v>372</v>
      </c>
      <c r="V148" s="720"/>
      <c r="W148" s="720"/>
      <c r="X148" s="66">
        <f>ROUND(M148*P148,-3)</f>
        <v>14662000</v>
      </c>
      <c r="Y148" s="57" t="s">
        <v>359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444</v>
      </c>
      <c r="J149" s="296"/>
      <c r="K149" s="295"/>
      <c r="L149" s="295"/>
      <c r="M149" s="295"/>
      <c r="N149" s="295"/>
      <c r="O149" s="295"/>
      <c r="P149" s="295"/>
      <c r="Q149" s="295"/>
      <c r="R149" s="295"/>
      <c r="S149" s="295"/>
      <c r="T149" s="295"/>
      <c r="U149" s="295"/>
      <c r="V149" s="224" t="s">
        <v>360</v>
      </c>
      <c r="W149" s="70"/>
      <c r="X149" s="224">
        <f>X150</f>
        <v>7095000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5" t="s">
        <v>443</v>
      </c>
      <c r="J150" s="296"/>
      <c r="K150" s="295"/>
      <c r="L150" s="295"/>
      <c r="M150" s="295">
        <f>SUM(M141:M148)</f>
        <v>94585000</v>
      </c>
      <c r="N150" s="54" t="s">
        <v>382</v>
      </c>
      <c r="O150" s="456" t="s">
        <v>385</v>
      </c>
      <c r="P150" s="483">
        <v>12</v>
      </c>
      <c r="Q150" s="208" t="s">
        <v>384</v>
      </c>
      <c r="R150" s="72" t="s">
        <v>386</v>
      </c>
      <c r="S150" s="75">
        <v>0.9</v>
      </c>
      <c r="T150" s="295"/>
      <c r="U150" s="295" t="s">
        <v>383</v>
      </c>
      <c r="V150" s="86"/>
      <c r="W150" s="86"/>
      <c r="X150" s="242">
        <f>ROUNDUP(M150/P150*S150,-3)+1000</f>
        <v>7095000</v>
      </c>
      <c r="Y150" s="482" t="s">
        <v>382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442</v>
      </c>
      <c r="J151" s="296"/>
      <c r="K151" s="295"/>
      <c r="L151" s="295"/>
      <c r="M151" s="295"/>
      <c r="N151" s="54"/>
      <c r="O151" s="295"/>
      <c r="P151" s="295"/>
      <c r="Q151" s="295"/>
      <c r="R151" s="295"/>
      <c r="S151" s="295"/>
      <c r="T151" s="295"/>
      <c r="U151" s="295"/>
      <c r="V151" s="224" t="s">
        <v>387</v>
      </c>
      <c r="W151" s="70"/>
      <c r="X151" s="224">
        <f>SUM(X152:X156)</f>
        <v>8173000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5" t="s">
        <v>441</v>
      </c>
      <c r="J152" s="296"/>
      <c r="K152" s="295"/>
      <c r="L152" s="295"/>
      <c r="M152" s="295">
        <f>M150</f>
        <v>94585000</v>
      </c>
      <c r="N152" s="54" t="s">
        <v>382</v>
      </c>
      <c r="O152" s="72" t="s">
        <v>386</v>
      </c>
      <c r="P152" s="471">
        <v>0.09</v>
      </c>
      <c r="Q152" s="456">
        <v>2</v>
      </c>
      <c r="R152" s="72" t="s">
        <v>386</v>
      </c>
      <c r="S152" s="75">
        <v>0.9</v>
      </c>
      <c r="T152" s="74"/>
      <c r="U152" s="456" t="s">
        <v>383</v>
      </c>
      <c r="V152" s="295"/>
      <c r="W152" s="66"/>
      <c r="X152" s="66">
        <f>ROUNDUP(M152*P152/Q152*S152,-3)</f>
        <v>3831000</v>
      </c>
      <c r="Y152" s="57" t="s">
        <v>382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5" t="s">
        <v>440</v>
      </c>
      <c r="J153" s="296"/>
      <c r="K153" s="295"/>
      <c r="L153" s="295"/>
      <c r="M153" s="295">
        <f>M150</f>
        <v>94585000</v>
      </c>
      <c r="N153" s="54" t="s">
        <v>382</v>
      </c>
      <c r="O153" s="72" t="s">
        <v>386</v>
      </c>
      <c r="P153" s="470">
        <v>6.4600000000000005E-2</v>
      </c>
      <c r="Q153" s="456">
        <v>2</v>
      </c>
      <c r="R153" s="72" t="s">
        <v>386</v>
      </c>
      <c r="S153" s="75">
        <v>0.9</v>
      </c>
      <c r="T153" s="74"/>
      <c r="U153" s="456" t="s">
        <v>383</v>
      </c>
      <c r="V153" s="295"/>
      <c r="W153" s="66"/>
      <c r="X153" s="66">
        <f>ROUNDDOWN(ROUNDUP(M153*P153/Q153,-3)*S153,-3)</f>
        <v>2750000</v>
      </c>
      <c r="Y153" s="57" t="s">
        <v>382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5" t="s">
        <v>439</v>
      </c>
      <c r="J154" s="296"/>
      <c r="K154" s="295"/>
      <c r="L154" s="295"/>
      <c r="M154" s="295">
        <f>X153</f>
        <v>2750000</v>
      </c>
      <c r="N154" s="54" t="s">
        <v>382</v>
      </c>
      <c r="O154" s="72" t="s">
        <v>386</v>
      </c>
      <c r="P154" s="76">
        <v>8.5099999999999995E-2</v>
      </c>
      <c r="Q154" s="469"/>
      <c r="R154" s="72"/>
      <c r="S154" s="75"/>
      <c r="T154" s="468"/>
      <c r="U154" s="456" t="s">
        <v>383</v>
      </c>
      <c r="V154" s="295"/>
      <c r="W154" s="66"/>
      <c r="X154" s="66">
        <f>ROUNDUP(M154*P154,-3)</f>
        <v>235000</v>
      </c>
      <c r="Y154" s="57" t="s">
        <v>382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5" t="s">
        <v>438</v>
      </c>
      <c r="J155" s="296"/>
      <c r="K155" s="295"/>
      <c r="L155" s="295"/>
      <c r="M155" s="295">
        <f>M150</f>
        <v>94585000</v>
      </c>
      <c r="N155" s="54" t="s">
        <v>382</v>
      </c>
      <c r="O155" s="72" t="s">
        <v>386</v>
      </c>
      <c r="P155" s="76">
        <v>8.9999999999999993E-3</v>
      </c>
      <c r="Q155" s="72"/>
      <c r="R155" s="72" t="s">
        <v>386</v>
      </c>
      <c r="S155" s="75">
        <v>0.9</v>
      </c>
      <c r="T155" s="74"/>
      <c r="U155" s="456" t="s">
        <v>383</v>
      </c>
      <c r="V155" s="295"/>
      <c r="W155" s="66"/>
      <c r="X155" s="66">
        <f>ROUNDUP(M155*P155*S155,-3)</f>
        <v>767000</v>
      </c>
      <c r="Y155" s="57" t="s">
        <v>382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5" t="s">
        <v>437</v>
      </c>
      <c r="J156" s="296"/>
      <c r="K156" s="295"/>
      <c r="L156" s="295"/>
      <c r="M156" s="295">
        <f>M150</f>
        <v>94585000</v>
      </c>
      <c r="N156" s="54" t="s">
        <v>382</v>
      </c>
      <c r="O156" s="72" t="s">
        <v>386</v>
      </c>
      <c r="P156" s="467">
        <v>6.9300000000000004E-3</v>
      </c>
      <c r="Q156" s="72"/>
      <c r="R156" s="72" t="s">
        <v>386</v>
      </c>
      <c r="S156" s="75">
        <v>0.9</v>
      </c>
      <c r="T156" s="74"/>
      <c r="U156" s="456" t="s">
        <v>383</v>
      </c>
      <c r="V156" s="295"/>
      <c r="W156" s="66"/>
      <c r="X156" s="66">
        <f>ROUNDUP(M156*P156*S156,-3)</f>
        <v>590000</v>
      </c>
      <c r="Y156" s="57" t="s">
        <v>382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10"/>
      <c r="L157" s="210"/>
      <c r="M157" s="295"/>
      <c r="N157" s="295"/>
      <c r="O157" s="208"/>
      <c r="P157" s="295"/>
      <c r="Q157" s="54"/>
      <c r="R157" s="475"/>
      <c r="S157" s="56"/>
      <c r="T157" s="456"/>
      <c r="U157" s="456"/>
      <c r="V157" s="75"/>
      <c r="W157" s="296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436</v>
      </c>
      <c r="J158" s="66"/>
      <c r="K158" s="210"/>
      <c r="L158" s="210"/>
      <c r="M158" s="295"/>
      <c r="N158" s="295"/>
      <c r="O158" s="208"/>
      <c r="P158" s="295"/>
      <c r="Q158" s="54"/>
      <c r="R158" s="475"/>
      <c r="S158" s="56"/>
      <c r="T158" s="456"/>
      <c r="U158" s="456"/>
      <c r="V158" s="224" t="s">
        <v>435</v>
      </c>
      <c r="W158" s="70"/>
      <c r="X158" s="224">
        <f>SUM(X159:X161)</f>
        <v>19080000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5" t="s">
        <v>598</v>
      </c>
      <c r="J159" s="550"/>
      <c r="K159" s="549"/>
      <c r="L159" s="549"/>
      <c r="M159" s="515">
        <v>300000</v>
      </c>
      <c r="N159" s="392" t="s">
        <v>578</v>
      </c>
      <c r="O159" s="392" t="s">
        <v>582</v>
      </c>
      <c r="P159" s="551">
        <v>1</v>
      </c>
      <c r="Q159" s="480">
        <v>12</v>
      </c>
      <c r="R159" s="392" t="s">
        <v>580</v>
      </c>
      <c r="S159" s="517">
        <v>0.9</v>
      </c>
      <c r="T159" s="392"/>
      <c r="U159" s="392" t="s">
        <v>581</v>
      </c>
      <c r="V159" s="549"/>
      <c r="W159" s="130"/>
      <c r="X159" s="549">
        <f>M159*P159*Q159*S159</f>
        <v>3240000</v>
      </c>
      <c r="Y159" s="131" t="s">
        <v>578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5" t="s">
        <v>434</v>
      </c>
      <c r="J160" s="296"/>
      <c r="K160" s="295"/>
      <c r="L160" s="295"/>
      <c r="M160" s="474">
        <v>5000000</v>
      </c>
      <c r="N160" s="67" t="s">
        <v>382</v>
      </c>
      <c r="O160" s="67" t="s">
        <v>386</v>
      </c>
      <c r="P160" s="75">
        <v>0.9</v>
      </c>
      <c r="Q160" s="473"/>
      <c r="R160" s="67"/>
      <c r="S160" s="472"/>
      <c r="T160" s="67"/>
      <c r="U160" s="67" t="s">
        <v>383</v>
      </c>
      <c r="V160" s="295"/>
      <c r="W160" s="66"/>
      <c r="X160" s="295">
        <f>M160*P160</f>
        <v>4500000</v>
      </c>
      <c r="Y160" s="57" t="s">
        <v>382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285" t="s">
        <v>433</v>
      </c>
      <c r="J161" s="296"/>
      <c r="K161" s="295"/>
      <c r="L161" s="295"/>
      <c r="M161" s="474">
        <v>70000</v>
      </c>
      <c r="N161" s="67" t="s">
        <v>382</v>
      </c>
      <c r="O161" s="67" t="s">
        <v>386</v>
      </c>
      <c r="P161" s="481">
        <v>1</v>
      </c>
      <c r="Q161" s="480">
        <v>180</v>
      </c>
      <c r="R161" s="67" t="s">
        <v>432</v>
      </c>
      <c r="S161" s="472">
        <v>0.9</v>
      </c>
      <c r="T161" s="67"/>
      <c r="U161" s="67" t="s">
        <v>383</v>
      </c>
      <c r="V161" s="295"/>
      <c r="W161" s="66"/>
      <c r="X161" s="277">
        <f>M161*P161*Q161*S161</f>
        <v>11340000</v>
      </c>
      <c r="Y161" s="303" t="s">
        <v>382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61"/>
      <c r="J162" s="70"/>
      <c r="K162" s="479"/>
      <c r="L162" s="479"/>
      <c r="M162" s="570"/>
      <c r="N162" s="224"/>
      <c r="O162" s="478"/>
      <c r="P162" s="224"/>
      <c r="Q162" s="125"/>
      <c r="R162" s="477"/>
      <c r="S162" s="224"/>
      <c r="T162" s="201"/>
      <c r="U162" s="201"/>
      <c r="V162" s="476"/>
      <c r="W162" s="361"/>
      <c r="X162" s="70"/>
      <c r="Y162" s="71"/>
    </row>
    <row r="163" spans="1:26" ht="21" customHeight="1">
      <c r="A163" s="45"/>
      <c r="B163" s="46"/>
      <c r="C163" s="46"/>
      <c r="D163" s="46" t="s">
        <v>431</v>
      </c>
      <c r="E163" s="48">
        <v>18778</v>
      </c>
      <c r="F163" s="237">
        <f>ROUND(X163/1000,0)</f>
        <v>21208</v>
      </c>
      <c r="G163" s="49">
        <f>F163-E163</f>
        <v>2430</v>
      </c>
      <c r="H163" s="68">
        <f>IF(E163=0,0,G163/E163)</f>
        <v>0.12940675258280968</v>
      </c>
      <c r="I163" s="443"/>
      <c r="J163" s="66"/>
      <c r="K163" s="210"/>
      <c r="L163" s="210"/>
      <c r="M163" s="295"/>
      <c r="N163" s="295"/>
      <c r="O163" s="208"/>
      <c r="P163" s="295"/>
      <c r="Q163" s="54"/>
      <c r="R163" s="475"/>
      <c r="S163" s="56"/>
      <c r="T163" s="456"/>
      <c r="U163" s="456"/>
      <c r="V163" s="224" t="s">
        <v>430</v>
      </c>
      <c r="W163" s="70"/>
      <c r="X163" s="224">
        <f>SUM(X164:X167)</f>
        <v>21208000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9" t="s">
        <v>536</v>
      </c>
      <c r="J164" s="66"/>
      <c r="K164" s="210"/>
      <c r="L164" s="210"/>
      <c r="M164" s="474">
        <v>5000000</v>
      </c>
      <c r="N164" s="67" t="s">
        <v>382</v>
      </c>
      <c r="O164" s="67" t="s">
        <v>386</v>
      </c>
      <c r="P164" s="75">
        <v>0.7</v>
      </c>
      <c r="Q164" s="473"/>
      <c r="R164" s="67"/>
      <c r="S164" s="472"/>
      <c r="T164" s="67"/>
      <c r="U164" s="67" t="s">
        <v>383</v>
      </c>
      <c r="V164" s="295"/>
      <c r="W164" s="66"/>
      <c r="X164" s="295">
        <f>ROUND(M164*P164,-3)</f>
        <v>3500000</v>
      </c>
      <c r="Y164" s="57" t="s">
        <v>382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9" t="s">
        <v>429</v>
      </c>
      <c r="J165" s="66"/>
      <c r="K165" s="210"/>
      <c r="L165" s="210"/>
      <c r="M165" s="474">
        <v>18556000</v>
      </c>
      <c r="N165" s="67" t="s">
        <v>382</v>
      </c>
      <c r="O165" s="67" t="s">
        <v>386</v>
      </c>
      <c r="P165" s="75">
        <v>0.5</v>
      </c>
      <c r="Q165" s="473"/>
      <c r="R165" s="67"/>
      <c r="S165" s="472"/>
      <c r="T165" s="67"/>
      <c r="U165" s="67" t="s">
        <v>383</v>
      </c>
      <c r="V165" s="295"/>
      <c r="W165" s="66"/>
      <c r="X165" s="295">
        <f>ROUNDDOWN(M165*P165,-3)</f>
        <v>9278000</v>
      </c>
      <c r="Y165" s="57" t="s">
        <v>382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5" t="s">
        <v>529</v>
      </c>
      <c r="J166" s="559"/>
      <c r="K166" s="558"/>
      <c r="L166" s="558"/>
      <c r="M166" s="515">
        <v>300000</v>
      </c>
      <c r="N166" s="392" t="s">
        <v>56</v>
      </c>
      <c r="O166" s="392" t="s">
        <v>57</v>
      </c>
      <c r="P166" s="516">
        <v>20</v>
      </c>
      <c r="Q166" s="480"/>
      <c r="R166" s="392"/>
      <c r="S166" s="517"/>
      <c r="T166" s="392"/>
      <c r="U166" s="392" t="s">
        <v>53</v>
      </c>
      <c r="V166" s="558"/>
      <c r="W166" s="130"/>
      <c r="X166" s="558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618" t="s">
        <v>812</v>
      </c>
      <c r="J167" s="296"/>
      <c r="K167" s="295"/>
      <c r="L167" s="295"/>
      <c r="M167" s="295"/>
      <c r="N167" s="54"/>
      <c r="O167" s="72"/>
      <c r="P167" s="76"/>
      <c r="Q167" s="72"/>
      <c r="R167" s="72"/>
      <c r="S167" s="75"/>
      <c r="T167" s="74"/>
      <c r="U167" s="456"/>
      <c r="V167" s="295"/>
      <c r="W167" s="66"/>
      <c r="X167" s="533">
        <v>2430000</v>
      </c>
      <c r="Y167" s="619" t="s">
        <v>813</v>
      </c>
    </row>
    <row r="168" spans="1:26" ht="21" customHeight="1">
      <c r="A168" s="45"/>
      <c r="B168" s="46"/>
      <c r="C168" s="36" t="s">
        <v>428</v>
      </c>
      <c r="D168" s="458" t="s">
        <v>391</v>
      </c>
      <c r="E168" s="219">
        <f>E169</f>
        <v>0</v>
      </c>
      <c r="F168" s="219">
        <f>F169</f>
        <v>0</v>
      </c>
      <c r="G168" s="220">
        <f>F168-E168</f>
        <v>0</v>
      </c>
      <c r="H168" s="221">
        <f>IF(E168=0,0,G168/E168)</f>
        <v>0</v>
      </c>
      <c r="I168" s="204" t="s">
        <v>427</v>
      </c>
      <c r="J168" s="205"/>
      <c r="K168" s="206"/>
      <c r="L168" s="206"/>
      <c r="M168" s="206"/>
      <c r="N168" s="206"/>
      <c r="O168" s="206"/>
      <c r="P168" s="207"/>
      <c r="Q168" s="207"/>
      <c r="R168" s="207"/>
      <c r="S168" s="207"/>
      <c r="T168" s="207"/>
      <c r="U168" s="207"/>
      <c r="V168" s="234" t="s">
        <v>387</v>
      </c>
      <c r="W168" s="235"/>
      <c r="X168" s="235">
        <f>SUM(X169:X169)</f>
        <v>0</v>
      </c>
      <c r="Y168" s="267" t="s">
        <v>382</v>
      </c>
    </row>
    <row r="169" spans="1:26" ht="21" customHeight="1">
      <c r="A169" s="45"/>
      <c r="B169" s="46"/>
      <c r="C169" s="46" t="s">
        <v>426</v>
      </c>
      <c r="D169" s="46" t="s">
        <v>425</v>
      </c>
      <c r="E169" s="48">
        <v>0</v>
      </c>
      <c r="F169" s="48">
        <f>ROUND(X169/1000,0)</f>
        <v>0</v>
      </c>
      <c r="G169" s="273">
        <f>F169-E169</f>
        <v>0</v>
      </c>
      <c r="H169" s="183">
        <f>IF(E169=0,0,G169/E169)</f>
        <v>0</v>
      </c>
      <c r="I169" s="285" t="s">
        <v>655</v>
      </c>
      <c r="J169" s="590"/>
      <c r="K169" s="589"/>
      <c r="L169" s="589"/>
      <c r="M169" s="589">
        <v>80000</v>
      </c>
      <c r="N169" s="560" t="s">
        <v>650</v>
      </c>
      <c r="O169" s="389" t="s">
        <v>651</v>
      </c>
      <c r="P169" s="392">
        <v>0</v>
      </c>
      <c r="Q169" s="389" t="s">
        <v>656</v>
      </c>
      <c r="R169" s="393"/>
      <c r="S169" s="74"/>
      <c r="T169" s="74"/>
      <c r="U169" s="560" t="s">
        <v>654</v>
      </c>
      <c r="V169" s="589"/>
      <c r="W169" s="130"/>
      <c r="X169" s="130">
        <f>M169*P169</f>
        <v>0</v>
      </c>
      <c r="Y169" s="131" t="s">
        <v>650</v>
      </c>
    </row>
    <row r="170" spans="1:26" s="11" customFormat="1" ht="19.5" customHeight="1">
      <c r="A170" s="269"/>
      <c r="B170" s="81"/>
      <c r="C170" s="81"/>
      <c r="D170" s="59"/>
      <c r="E170" s="61"/>
      <c r="F170" s="61"/>
      <c r="G170" s="62"/>
      <c r="H170" s="82"/>
      <c r="I170" s="69"/>
      <c r="J170" s="224"/>
      <c r="K170" s="83"/>
      <c r="L170" s="83"/>
      <c r="M170" s="84"/>
      <c r="N170" s="224"/>
      <c r="O170" s="83"/>
      <c r="P170" s="224"/>
      <c r="Q170" s="224"/>
      <c r="R170" s="224"/>
      <c r="S170" s="224"/>
      <c r="T170" s="224"/>
      <c r="U170" s="224"/>
      <c r="V170" s="224"/>
      <c r="W170" s="224"/>
      <c r="X170" s="224"/>
      <c r="Y170" s="71"/>
      <c r="Z170" s="6"/>
    </row>
    <row r="171" spans="1:26" ht="21" customHeight="1">
      <c r="A171" s="35" t="s">
        <v>413</v>
      </c>
      <c r="B171" s="36" t="s">
        <v>30</v>
      </c>
      <c r="C171" s="722" t="s">
        <v>424</v>
      </c>
      <c r="D171" s="723"/>
      <c r="E171" s="248">
        <f>SUM(E172,E186)</f>
        <v>168304</v>
      </c>
      <c r="F171" s="248">
        <f>SUM(F172,F186)</f>
        <v>156832</v>
      </c>
      <c r="G171" s="249">
        <f>F171-E171</f>
        <v>-11472</v>
      </c>
      <c r="H171" s="250">
        <f>IF(E171=0,0,G171/E171)</f>
        <v>-6.816237284913014E-2</v>
      </c>
      <c r="I171" s="251" t="s">
        <v>423</v>
      </c>
      <c r="J171" s="252"/>
      <c r="K171" s="253"/>
      <c r="L171" s="253"/>
      <c r="M171" s="252"/>
      <c r="N171" s="252"/>
      <c r="O171" s="252"/>
      <c r="P171" s="252"/>
      <c r="Q171" s="252" t="s">
        <v>422</v>
      </c>
      <c r="R171" s="254"/>
      <c r="S171" s="254"/>
      <c r="T171" s="254"/>
      <c r="U171" s="254"/>
      <c r="V171" s="254"/>
      <c r="W171" s="254"/>
      <c r="X171" s="255">
        <f>X172+X186</f>
        <v>156832000</v>
      </c>
      <c r="Y171" s="266" t="s">
        <v>25</v>
      </c>
    </row>
    <row r="172" spans="1:26" ht="21" customHeight="1">
      <c r="A172" s="45" t="s">
        <v>421</v>
      </c>
      <c r="B172" s="46" t="s">
        <v>421</v>
      </c>
      <c r="C172" s="36" t="s">
        <v>420</v>
      </c>
      <c r="D172" s="458" t="s">
        <v>391</v>
      </c>
      <c r="E172" s="219">
        <f>E173+E182</f>
        <v>63904</v>
      </c>
      <c r="F172" s="219">
        <f>F173+F182</f>
        <v>52432</v>
      </c>
      <c r="G172" s="220">
        <f>F172-E172</f>
        <v>-11472</v>
      </c>
      <c r="H172" s="221">
        <f>IF(E172=0,0,G172/E172)</f>
        <v>-0.17951927891837757</v>
      </c>
      <c r="I172" s="204" t="s">
        <v>419</v>
      </c>
      <c r="J172" s="205"/>
      <c r="K172" s="206"/>
      <c r="L172" s="206"/>
      <c r="M172" s="206"/>
      <c r="N172" s="206"/>
      <c r="O172" s="206"/>
      <c r="P172" s="207"/>
      <c r="Q172" s="207"/>
      <c r="R172" s="207"/>
      <c r="S172" s="207"/>
      <c r="T172" s="207"/>
      <c r="U172" s="207"/>
      <c r="V172" s="234" t="s">
        <v>387</v>
      </c>
      <c r="W172" s="235"/>
      <c r="X172" s="236">
        <f>SUM(X173,X182)</f>
        <v>52432000</v>
      </c>
      <c r="Y172" s="267" t="s">
        <v>382</v>
      </c>
    </row>
    <row r="173" spans="1:26" ht="21.75" customHeight="1">
      <c r="A173" s="45"/>
      <c r="B173" s="46"/>
      <c r="C173" s="46" t="s">
        <v>413</v>
      </c>
      <c r="D173" s="36" t="s">
        <v>418</v>
      </c>
      <c r="E173" s="37">
        <v>60960</v>
      </c>
      <c r="F173" s="48">
        <f>ROUND(X173/1000,0)</f>
        <v>49510</v>
      </c>
      <c r="G173" s="273">
        <f>F173-E173</f>
        <v>-11450</v>
      </c>
      <c r="H173" s="183">
        <f>IF(E173=0,0,G173/E173)</f>
        <v>-0.18782808398950132</v>
      </c>
      <c r="I173" s="138" t="s">
        <v>416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719" t="s">
        <v>387</v>
      </c>
      <c r="W173" s="719"/>
      <c r="X173" s="140">
        <f>SUM(X174:X181)</f>
        <v>49510000</v>
      </c>
      <c r="Y173" s="141" t="s">
        <v>382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841</v>
      </c>
      <c r="J174" s="296"/>
      <c r="K174" s="295"/>
      <c r="L174" s="295"/>
      <c r="M174" s="295">
        <v>205000</v>
      </c>
      <c r="N174" s="456" t="s">
        <v>382</v>
      </c>
      <c r="O174" s="72" t="s">
        <v>386</v>
      </c>
      <c r="P174" s="67">
        <v>12</v>
      </c>
      <c r="Q174" s="72" t="s">
        <v>384</v>
      </c>
      <c r="R174" s="77"/>
      <c r="S174" s="74"/>
      <c r="T174" s="74"/>
      <c r="U174" s="456" t="s">
        <v>383</v>
      </c>
      <c r="V174" s="295"/>
      <c r="W174" s="66"/>
      <c r="X174" s="130">
        <f>M174*P174</f>
        <v>2460000</v>
      </c>
      <c r="Y174" s="57" t="s">
        <v>382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5" t="s">
        <v>840</v>
      </c>
      <c r="J175" s="436"/>
      <c r="K175" s="378"/>
      <c r="L175" s="378"/>
      <c r="M175" s="378"/>
      <c r="N175" s="532"/>
      <c r="O175" s="534"/>
      <c r="P175" s="553"/>
      <c r="Q175" s="534"/>
      <c r="R175" s="554"/>
      <c r="S175" s="555"/>
      <c r="T175" s="555"/>
      <c r="U175" s="532"/>
      <c r="V175" s="378"/>
      <c r="W175" s="533"/>
      <c r="X175" s="660">
        <v>3500000</v>
      </c>
      <c r="Y175" s="131" t="s">
        <v>805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285" t="s">
        <v>684</v>
      </c>
      <c r="J176" s="436"/>
      <c r="K176" s="378"/>
      <c r="L176" s="378"/>
      <c r="M176" s="378"/>
      <c r="N176" s="532"/>
      <c r="O176" s="534"/>
      <c r="P176" s="553"/>
      <c r="Q176" s="534"/>
      <c r="R176" s="554"/>
      <c r="S176" s="555"/>
      <c r="T176" s="555"/>
      <c r="U176" s="532"/>
      <c r="V176" s="378"/>
      <c r="W176" s="533"/>
      <c r="X176" s="611">
        <v>25000000</v>
      </c>
      <c r="Y176" s="131" t="s">
        <v>56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618" t="s">
        <v>898</v>
      </c>
      <c r="J177" s="436"/>
      <c r="K177" s="378"/>
      <c r="L177" s="378"/>
      <c r="M177" s="378"/>
      <c r="N177" s="532"/>
      <c r="O177" s="534"/>
      <c r="P177" s="553"/>
      <c r="Q177" s="534"/>
      <c r="R177" s="554"/>
      <c r="S177" s="555"/>
      <c r="T177" s="555"/>
      <c r="U177" s="532"/>
      <c r="V177" s="378"/>
      <c r="W177" s="533"/>
      <c r="X177" s="533">
        <v>0</v>
      </c>
      <c r="Y177" s="619" t="s">
        <v>889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5" t="s">
        <v>809</v>
      </c>
      <c r="J178" s="658"/>
      <c r="K178" s="657"/>
      <c r="L178" s="657"/>
      <c r="M178" s="657"/>
      <c r="N178" s="659"/>
      <c r="O178" s="389"/>
      <c r="P178" s="392"/>
      <c r="Q178" s="389"/>
      <c r="R178" s="393"/>
      <c r="S178" s="74"/>
      <c r="T178" s="74"/>
      <c r="U178" s="659"/>
      <c r="V178" s="657"/>
      <c r="W178" s="660"/>
      <c r="X178" s="660">
        <v>2000000</v>
      </c>
      <c r="Y178" s="131" t="s">
        <v>805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285" t="s">
        <v>839</v>
      </c>
      <c r="J179" s="658"/>
      <c r="K179" s="657"/>
      <c r="L179" s="657"/>
      <c r="M179" s="657"/>
      <c r="N179" s="659"/>
      <c r="O179" s="389"/>
      <c r="P179" s="392"/>
      <c r="Q179" s="389"/>
      <c r="R179" s="393"/>
      <c r="S179" s="74"/>
      <c r="T179" s="74"/>
      <c r="U179" s="659"/>
      <c r="V179" s="657"/>
      <c r="W179" s="660"/>
      <c r="X179" s="660">
        <v>5000000</v>
      </c>
      <c r="Y179" s="131" t="s">
        <v>805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618" t="s">
        <v>846</v>
      </c>
      <c r="J180" s="436"/>
      <c r="K180" s="378"/>
      <c r="L180" s="378"/>
      <c r="M180" s="378"/>
      <c r="N180" s="532"/>
      <c r="O180" s="534"/>
      <c r="P180" s="553"/>
      <c r="Q180" s="534"/>
      <c r="R180" s="554"/>
      <c r="S180" s="555"/>
      <c r="T180" s="555"/>
      <c r="U180" s="532"/>
      <c r="V180" s="378"/>
      <c r="W180" s="533"/>
      <c r="X180" s="533">
        <v>1550000</v>
      </c>
      <c r="Y180" s="619" t="s">
        <v>845</v>
      </c>
    </row>
    <row r="181" spans="1:26" ht="18" customHeight="1">
      <c r="A181" s="45"/>
      <c r="B181" s="46"/>
      <c r="C181" s="46"/>
      <c r="D181" s="59"/>
      <c r="E181" s="61"/>
      <c r="F181" s="61"/>
      <c r="G181" s="62"/>
      <c r="H181" s="203"/>
      <c r="I181" s="680" t="s">
        <v>855</v>
      </c>
      <c r="J181" s="281"/>
      <c r="K181" s="299"/>
      <c r="L181" s="299"/>
      <c r="M181" s="299"/>
      <c r="N181" s="681"/>
      <c r="O181" s="682"/>
      <c r="P181" s="683"/>
      <c r="Q181" s="682"/>
      <c r="R181" s="684"/>
      <c r="S181" s="685"/>
      <c r="T181" s="685"/>
      <c r="U181" s="681"/>
      <c r="V181" s="299"/>
      <c r="W181" s="301"/>
      <c r="X181" s="301">
        <v>10000000</v>
      </c>
      <c r="Y181" s="302" t="s">
        <v>856</v>
      </c>
      <c r="Z181" s="1"/>
    </row>
    <row r="182" spans="1:26" ht="18" customHeight="1">
      <c r="A182" s="45"/>
      <c r="B182" s="46"/>
      <c r="C182" s="46"/>
      <c r="D182" s="36" t="s">
        <v>417</v>
      </c>
      <c r="E182" s="37">
        <v>2944</v>
      </c>
      <c r="F182" s="48">
        <f>ROUND(X182/1000,0)</f>
        <v>2922</v>
      </c>
      <c r="G182" s="38">
        <f>F182-E182</f>
        <v>-22</v>
      </c>
      <c r="H182" s="39">
        <f>IF(E182=0,0,G182/E182)</f>
        <v>-7.472826086956522E-3</v>
      </c>
      <c r="I182" s="138" t="s">
        <v>416</v>
      </c>
      <c r="J182" s="157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719" t="s">
        <v>387</v>
      </c>
      <c r="W182" s="719"/>
      <c r="X182" s="140">
        <f>SUM(X183:X185)</f>
        <v>2922000</v>
      </c>
      <c r="Y182" s="141" t="s">
        <v>382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537</v>
      </c>
      <c r="J183" s="296"/>
      <c r="K183" s="295"/>
      <c r="L183" s="295"/>
      <c r="M183" s="528">
        <v>130000</v>
      </c>
      <c r="N183" s="526" t="s">
        <v>56</v>
      </c>
      <c r="O183" s="389" t="s">
        <v>57</v>
      </c>
      <c r="P183" s="392">
        <v>12</v>
      </c>
      <c r="Q183" s="389" t="s">
        <v>0</v>
      </c>
      <c r="R183" s="393"/>
      <c r="S183" s="74"/>
      <c r="T183" s="74"/>
      <c r="U183" s="526" t="s">
        <v>53</v>
      </c>
      <c r="V183" s="528"/>
      <c r="W183" s="130"/>
      <c r="X183" s="130">
        <f>M183*P183</f>
        <v>1560000</v>
      </c>
      <c r="Y183" s="131" t="s">
        <v>56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5" t="s">
        <v>857</v>
      </c>
      <c r="J184" s="296"/>
      <c r="K184" s="295"/>
      <c r="L184" s="295"/>
      <c r="M184" s="548">
        <v>20000</v>
      </c>
      <c r="N184" s="547" t="s">
        <v>56</v>
      </c>
      <c r="O184" s="389" t="s">
        <v>57</v>
      </c>
      <c r="P184" s="392">
        <v>12</v>
      </c>
      <c r="Q184" s="389" t="s">
        <v>0</v>
      </c>
      <c r="R184" s="393"/>
      <c r="S184" s="74"/>
      <c r="T184" s="74"/>
      <c r="U184" s="547" t="s">
        <v>53</v>
      </c>
      <c r="V184" s="548"/>
      <c r="W184" s="130"/>
      <c r="X184" s="130">
        <f>M184*P184</f>
        <v>240000</v>
      </c>
      <c r="Y184" s="131" t="s">
        <v>56</v>
      </c>
      <c r="Z184" s="1"/>
    </row>
    <row r="185" spans="1:26" ht="18" customHeight="1">
      <c r="A185" s="45"/>
      <c r="B185" s="46"/>
      <c r="C185" s="59"/>
      <c r="D185" s="59"/>
      <c r="E185" s="61"/>
      <c r="F185" s="61"/>
      <c r="G185" s="62"/>
      <c r="H185" s="203"/>
      <c r="I185" s="618" t="s">
        <v>781</v>
      </c>
      <c r="J185" s="436"/>
      <c r="K185" s="378"/>
      <c r="L185" s="378"/>
      <c r="M185" s="378"/>
      <c r="N185" s="532"/>
      <c r="O185" s="534"/>
      <c r="P185" s="553"/>
      <c r="Q185" s="534"/>
      <c r="R185" s="554"/>
      <c r="S185" s="555"/>
      <c r="T185" s="555"/>
      <c r="U185" s="532"/>
      <c r="V185" s="378"/>
      <c r="W185" s="533"/>
      <c r="X185" s="533">
        <v>1122000</v>
      </c>
      <c r="Y185" s="619" t="s">
        <v>780</v>
      </c>
      <c r="Z185" s="1"/>
    </row>
    <row r="186" spans="1:26" ht="25.5" customHeight="1">
      <c r="A186" s="45"/>
      <c r="B186" s="46"/>
      <c r="C186" s="46" t="s">
        <v>415</v>
      </c>
      <c r="D186" s="458" t="s">
        <v>391</v>
      </c>
      <c r="E186" s="219">
        <f>E187</f>
        <v>104400</v>
      </c>
      <c r="F186" s="219">
        <f>F187</f>
        <v>104400</v>
      </c>
      <c r="G186" s="220">
        <f>F186-E186</f>
        <v>0</v>
      </c>
      <c r="H186" s="221">
        <f>IF(E186=0,0,G186/E186)</f>
        <v>0</v>
      </c>
      <c r="I186" s="204" t="s">
        <v>414</v>
      </c>
      <c r="J186" s="205"/>
      <c r="K186" s="206"/>
      <c r="L186" s="206"/>
      <c r="M186" s="206"/>
      <c r="N186" s="206"/>
      <c r="O186" s="206"/>
      <c r="P186" s="207"/>
      <c r="Q186" s="207"/>
      <c r="R186" s="207"/>
      <c r="S186" s="207"/>
      <c r="T186" s="207"/>
      <c r="U186" s="207"/>
      <c r="V186" s="234" t="s">
        <v>387</v>
      </c>
      <c r="W186" s="235"/>
      <c r="X186" s="235">
        <f>X187</f>
        <v>104400000</v>
      </c>
      <c r="Y186" s="267" t="s">
        <v>382</v>
      </c>
      <c r="Z186" s="1"/>
    </row>
    <row r="187" spans="1:26" ht="21" customHeight="1">
      <c r="A187" s="45"/>
      <c r="B187" s="46"/>
      <c r="C187" s="46" t="s">
        <v>413</v>
      </c>
      <c r="D187" s="46" t="s">
        <v>412</v>
      </c>
      <c r="E187" s="48">
        <v>104400</v>
      </c>
      <c r="F187" s="48">
        <f>ROUND(X187/1000,0)</f>
        <v>104400</v>
      </c>
      <c r="G187" s="273">
        <f>F187-E187</f>
        <v>0</v>
      </c>
      <c r="H187" s="183">
        <f>IF(E187=0,0,G187/E187)</f>
        <v>0</v>
      </c>
      <c r="I187" s="138" t="s">
        <v>411</v>
      </c>
      <c r="J187" s="157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719" t="s">
        <v>360</v>
      </c>
      <c r="W187" s="719"/>
      <c r="X187" s="140">
        <f>SUM(X188:X189)</f>
        <v>104400000</v>
      </c>
      <c r="Y187" s="141" t="s">
        <v>359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71"/>
      <c r="H188" s="272"/>
      <c r="I188" s="65" t="s">
        <v>410</v>
      </c>
      <c r="J188" s="296" t="s">
        <v>409</v>
      </c>
      <c r="K188" s="295"/>
      <c r="L188" s="295"/>
      <c r="M188" s="295">
        <v>8700000</v>
      </c>
      <c r="N188" s="456" t="s">
        <v>359</v>
      </c>
      <c r="O188" s="72" t="s">
        <v>373</v>
      </c>
      <c r="P188" s="67">
        <v>12</v>
      </c>
      <c r="Q188" s="72" t="s">
        <v>379</v>
      </c>
      <c r="R188" s="77"/>
      <c r="S188" s="74"/>
      <c r="T188" s="74"/>
      <c r="U188" s="456" t="s">
        <v>372</v>
      </c>
      <c r="V188" s="295"/>
      <c r="W188" s="66"/>
      <c r="X188" s="66">
        <f>M188*P188</f>
        <v>104400000</v>
      </c>
      <c r="Y188" s="57" t="s">
        <v>359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71"/>
      <c r="H189" s="272"/>
      <c r="I189" s="65" t="s">
        <v>530</v>
      </c>
      <c r="J189" s="296"/>
      <c r="K189" s="295"/>
      <c r="L189" s="295"/>
      <c r="M189" s="295"/>
      <c r="N189" s="456"/>
      <c r="O189" s="72"/>
      <c r="P189" s="67"/>
      <c r="Q189" s="72"/>
      <c r="R189" s="77"/>
      <c r="S189" s="74"/>
      <c r="T189" s="74"/>
      <c r="U189" s="456"/>
      <c r="V189" s="295"/>
      <c r="W189" s="66"/>
      <c r="X189" s="66">
        <v>0</v>
      </c>
      <c r="Y189" s="57" t="s">
        <v>359</v>
      </c>
      <c r="Z189" s="1"/>
    </row>
    <row r="190" spans="1:26" ht="21" customHeight="1">
      <c r="A190" s="58"/>
      <c r="B190" s="59"/>
      <c r="C190" s="59"/>
      <c r="D190" s="59"/>
      <c r="E190" s="61"/>
      <c r="F190" s="61"/>
      <c r="G190" s="62"/>
      <c r="H190" s="203"/>
      <c r="I190" s="69"/>
      <c r="J190" s="361"/>
      <c r="K190" s="224"/>
      <c r="L190" s="224"/>
      <c r="M190" s="224"/>
      <c r="N190" s="201"/>
      <c r="O190" s="212"/>
      <c r="P190" s="213"/>
      <c r="Q190" s="212"/>
      <c r="R190" s="214"/>
      <c r="S190" s="215"/>
      <c r="T190" s="215"/>
      <c r="U190" s="201"/>
      <c r="V190" s="224"/>
      <c r="W190" s="70"/>
      <c r="X190" s="70"/>
      <c r="Y190" s="71"/>
      <c r="Z190" s="1"/>
    </row>
    <row r="191" spans="1:26" ht="21" customHeight="1">
      <c r="A191" s="35" t="s">
        <v>400</v>
      </c>
      <c r="B191" s="36" t="s">
        <v>400</v>
      </c>
      <c r="C191" s="722" t="s">
        <v>371</v>
      </c>
      <c r="D191" s="723"/>
      <c r="E191" s="248">
        <f>E192+E195</f>
        <v>0</v>
      </c>
      <c r="F191" s="248">
        <f>F192+F195</f>
        <v>0</v>
      </c>
      <c r="G191" s="249">
        <f>F191-E191</f>
        <v>0</v>
      </c>
      <c r="H191" s="250">
        <f>IF(E191=0,0,G191/E191)</f>
        <v>0</v>
      </c>
      <c r="I191" s="251" t="s">
        <v>408</v>
      </c>
      <c r="J191" s="252"/>
      <c r="K191" s="253"/>
      <c r="L191" s="253"/>
      <c r="M191" s="252"/>
      <c r="N191" s="252"/>
      <c r="O191" s="252"/>
      <c r="P191" s="252"/>
      <c r="Q191" s="252" t="s">
        <v>369</v>
      </c>
      <c r="R191" s="254"/>
      <c r="S191" s="254"/>
      <c r="T191" s="254"/>
      <c r="U191" s="254"/>
      <c r="V191" s="254"/>
      <c r="W191" s="254"/>
      <c r="X191" s="255">
        <f>X192+X195</f>
        <v>0</v>
      </c>
      <c r="Y191" s="266" t="s">
        <v>25</v>
      </c>
      <c r="Z191" s="1"/>
    </row>
    <row r="192" spans="1:26" ht="21" customHeight="1">
      <c r="A192" s="45"/>
      <c r="B192" s="46"/>
      <c r="C192" s="36" t="s">
        <v>407</v>
      </c>
      <c r="D192" s="458" t="s">
        <v>367</v>
      </c>
      <c r="E192" s="219">
        <f>E193</f>
        <v>0</v>
      </c>
      <c r="F192" s="219">
        <f>F193</f>
        <v>0</v>
      </c>
      <c r="G192" s="220">
        <f>F192-E192</f>
        <v>0</v>
      </c>
      <c r="H192" s="221">
        <f>IF(E192=0,0,G192/E192)</f>
        <v>0</v>
      </c>
      <c r="I192" s="204" t="s">
        <v>404</v>
      </c>
      <c r="J192" s="205"/>
      <c r="K192" s="206"/>
      <c r="L192" s="206"/>
      <c r="M192" s="206"/>
      <c r="N192" s="206"/>
      <c r="O192" s="206"/>
      <c r="P192" s="207"/>
      <c r="Q192" s="207"/>
      <c r="R192" s="207"/>
      <c r="S192" s="207"/>
      <c r="T192" s="207"/>
      <c r="U192" s="207"/>
      <c r="V192" s="234" t="s">
        <v>360</v>
      </c>
      <c r="W192" s="235"/>
      <c r="X192" s="236">
        <f>X193</f>
        <v>0</v>
      </c>
      <c r="Y192" s="267" t="s">
        <v>359</v>
      </c>
      <c r="Z192" s="1"/>
    </row>
    <row r="193" spans="1:27" ht="21" customHeight="1">
      <c r="A193" s="45"/>
      <c r="B193" s="46"/>
      <c r="C193" s="46" t="s">
        <v>406</v>
      </c>
      <c r="D193" s="36" t="s">
        <v>405</v>
      </c>
      <c r="E193" s="37">
        <v>0</v>
      </c>
      <c r="F193" s="48">
        <f>ROUND(X193/1000,0)</f>
        <v>0</v>
      </c>
      <c r="G193" s="38">
        <f>F193-E193</f>
        <v>0</v>
      </c>
      <c r="H193" s="39">
        <f>IF(E193=0,0,G193/E193)</f>
        <v>0</v>
      </c>
      <c r="I193" s="138" t="s">
        <v>404</v>
      </c>
      <c r="J193" s="157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719" t="s">
        <v>360</v>
      </c>
      <c r="W193" s="719"/>
      <c r="X193" s="140">
        <f>X194</f>
        <v>0</v>
      </c>
      <c r="Y193" s="141" t="s">
        <v>359</v>
      </c>
      <c r="Z193" s="1"/>
    </row>
    <row r="194" spans="1:27" ht="21" customHeight="1">
      <c r="A194" s="45"/>
      <c r="B194" s="46"/>
      <c r="C194" s="46" t="s">
        <v>400</v>
      </c>
      <c r="D194" s="46" t="s">
        <v>400</v>
      </c>
      <c r="E194" s="48"/>
      <c r="F194" s="48"/>
      <c r="G194" s="49"/>
      <c r="H194" s="31"/>
      <c r="I194" s="65" t="s">
        <v>403</v>
      </c>
      <c r="J194" s="296"/>
      <c r="K194" s="295"/>
      <c r="L194" s="295"/>
      <c r="M194" s="295"/>
      <c r="N194" s="456"/>
      <c r="O194" s="72"/>
      <c r="P194" s="67"/>
      <c r="Q194" s="72"/>
      <c r="R194" s="77"/>
      <c r="S194" s="74"/>
      <c r="T194" s="74"/>
      <c r="U194" s="456"/>
      <c r="V194" s="295"/>
      <c r="W194" s="66"/>
      <c r="X194" s="66">
        <v>0</v>
      </c>
      <c r="Y194" s="57" t="s">
        <v>359</v>
      </c>
      <c r="Z194" s="1"/>
    </row>
    <row r="195" spans="1:27" ht="21" customHeight="1">
      <c r="A195" s="45"/>
      <c r="B195" s="46"/>
      <c r="C195" s="36" t="s">
        <v>402</v>
      </c>
      <c r="D195" s="458" t="s">
        <v>367</v>
      </c>
      <c r="E195" s="219">
        <f>E196</f>
        <v>0</v>
      </c>
      <c r="F195" s="219">
        <f>F196</f>
        <v>0</v>
      </c>
      <c r="G195" s="220">
        <f>F195-E195</f>
        <v>0</v>
      </c>
      <c r="H195" s="221">
        <f>IF(E195=0,0,G195/E195)</f>
        <v>0</v>
      </c>
      <c r="I195" s="204" t="s">
        <v>401</v>
      </c>
      <c r="J195" s="205"/>
      <c r="K195" s="206"/>
      <c r="L195" s="206"/>
      <c r="M195" s="206"/>
      <c r="N195" s="206"/>
      <c r="O195" s="206"/>
      <c r="P195" s="207"/>
      <c r="Q195" s="207"/>
      <c r="R195" s="207"/>
      <c r="S195" s="207"/>
      <c r="T195" s="207"/>
      <c r="U195" s="207"/>
      <c r="V195" s="234" t="s">
        <v>360</v>
      </c>
      <c r="W195" s="235"/>
      <c r="X195" s="235">
        <f>X196</f>
        <v>0</v>
      </c>
      <c r="Y195" s="267" t="s">
        <v>359</v>
      </c>
      <c r="Z195" s="1"/>
    </row>
    <row r="196" spans="1:27" ht="21" customHeight="1">
      <c r="A196" s="45"/>
      <c r="B196" s="46"/>
      <c r="C196" s="46" t="s">
        <v>400</v>
      </c>
      <c r="D196" s="46" t="s">
        <v>399</v>
      </c>
      <c r="E196" s="48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65" t="s">
        <v>398</v>
      </c>
      <c r="J196" s="296"/>
      <c r="K196" s="295"/>
      <c r="L196" s="295"/>
      <c r="M196" s="295"/>
      <c r="N196" s="456"/>
      <c r="O196" s="72"/>
      <c r="P196" s="67"/>
      <c r="Q196" s="72"/>
      <c r="R196" s="77"/>
      <c r="S196" s="74"/>
      <c r="T196" s="74"/>
      <c r="U196" s="456"/>
      <c r="V196" s="295"/>
      <c r="W196" s="66"/>
      <c r="X196" s="66">
        <v>0</v>
      </c>
      <c r="Y196" s="57" t="s">
        <v>359</v>
      </c>
      <c r="Z196" s="1"/>
    </row>
    <row r="197" spans="1:27" ht="21" customHeight="1">
      <c r="A197" s="58"/>
      <c r="B197" s="59"/>
      <c r="C197" s="59"/>
      <c r="D197" s="59"/>
      <c r="E197" s="61"/>
      <c r="F197" s="61"/>
      <c r="G197" s="62"/>
      <c r="H197" s="203"/>
      <c r="I197" s="69"/>
      <c r="J197" s="361"/>
      <c r="K197" s="224"/>
      <c r="L197" s="224"/>
      <c r="M197" s="224"/>
      <c r="N197" s="201"/>
      <c r="O197" s="212"/>
      <c r="P197" s="213"/>
      <c r="Q197" s="212"/>
      <c r="R197" s="214"/>
      <c r="S197" s="215"/>
      <c r="T197" s="215"/>
      <c r="U197" s="201"/>
      <c r="V197" s="224"/>
      <c r="W197" s="70"/>
      <c r="X197" s="70"/>
      <c r="Y197" s="71"/>
      <c r="Z197" s="1"/>
    </row>
    <row r="198" spans="1:27" ht="21" customHeight="1">
      <c r="A198" s="35" t="s">
        <v>395</v>
      </c>
      <c r="B198" s="36" t="s">
        <v>13</v>
      </c>
      <c r="C198" s="722" t="s">
        <v>371</v>
      </c>
      <c r="D198" s="723"/>
      <c r="E198" s="248">
        <f>SUM(E199,E232)</f>
        <v>43607</v>
      </c>
      <c r="F198" s="248">
        <f>SUM(F199,F232)</f>
        <v>43607</v>
      </c>
      <c r="G198" s="249">
        <f>F198-E198</f>
        <v>0</v>
      </c>
      <c r="H198" s="250">
        <f>IF(E198=0,0,G198/E198)</f>
        <v>0</v>
      </c>
      <c r="I198" s="251" t="s">
        <v>397</v>
      </c>
      <c r="J198" s="252"/>
      <c r="K198" s="253"/>
      <c r="L198" s="253"/>
      <c r="M198" s="252"/>
      <c r="N198" s="252"/>
      <c r="O198" s="252"/>
      <c r="P198" s="252"/>
      <c r="Q198" s="252" t="s">
        <v>369</v>
      </c>
      <c r="R198" s="254"/>
      <c r="S198" s="254"/>
      <c r="T198" s="254"/>
      <c r="U198" s="254"/>
      <c r="V198" s="254"/>
      <c r="W198" s="254"/>
      <c r="X198" s="255">
        <f>X200+X232</f>
        <v>43607000</v>
      </c>
      <c r="Y198" s="266" t="s">
        <v>25</v>
      </c>
      <c r="Z198" s="23"/>
      <c r="AA198" s="24"/>
    </row>
    <row r="199" spans="1:27" ht="21" customHeight="1">
      <c r="A199" s="45"/>
      <c r="B199" s="46"/>
      <c r="C199" s="36" t="s">
        <v>396</v>
      </c>
      <c r="D199" s="458" t="s">
        <v>367</v>
      </c>
      <c r="E199" s="219">
        <f>E200</f>
        <v>32060</v>
      </c>
      <c r="F199" s="219">
        <f>F200</f>
        <v>32060</v>
      </c>
      <c r="G199" s="220">
        <f>F199-E199</f>
        <v>0</v>
      </c>
      <c r="H199" s="221">
        <f>IF(E199=0,0,G199/E199)</f>
        <v>0</v>
      </c>
      <c r="I199" s="204" t="s">
        <v>393</v>
      </c>
      <c r="J199" s="205"/>
      <c r="K199" s="206"/>
      <c r="L199" s="206"/>
      <c r="M199" s="206"/>
      <c r="N199" s="206"/>
      <c r="O199" s="206"/>
      <c r="P199" s="207"/>
      <c r="Q199" s="207"/>
      <c r="R199" s="207"/>
      <c r="S199" s="207"/>
      <c r="T199" s="207"/>
      <c r="U199" s="207"/>
      <c r="V199" s="234" t="s">
        <v>360</v>
      </c>
      <c r="W199" s="235"/>
      <c r="X199" s="236">
        <f>SUM(X200:X200)</f>
        <v>32060000</v>
      </c>
      <c r="Y199" s="267" t="s">
        <v>359</v>
      </c>
      <c r="Z199" s="23"/>
      <c r="AA199" s="24"/>
    </row>
    <row r="200" spans="1:27" ht="21" customHeight="1">
      <c r="A200" s="45"/>
      <c r="B200" s="46"/>
      <c r="C200" s="46" t="s">
        <v>395</v>
      </c>
      <c r="D200" s="36" t="s">
        <v>394</v>
      </c>
      <c r="E200" s="37">
        <v>32060</v>
      </c>
      <c r="F200" s="48">
        <f>ROUND(X200/1000,0)</f>
        <v>32060</v>
      </c>
      <c r="G200" s="38">
        <f>F200-E200</f>
        <v>0</v>
      </c>
      <c r="H200" s="39">
        <f>IF(E200=0,0,G200/E200)</f>
        <v>0</v>
      </c>
      <c r="I200" s="138" t="s">
        <v>393</v>
      </c>
      <c r="J200" s="157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719" t="s">
        <v>360</v>
      </c>
      <c r="W200" s="719"/>
      <c r="X200" s="140">
        <f>SUM(X201,X203,X211,X218,X221,X224,X230)</f>
        <v>32060000</v>
      </c>
      <c r="Y200" s="141" t="s">
        <v>359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402" t="s">
        <v>779</v>
      </c>
      <c r="J201" s="607"/>
      <c r="K201" s="607"/>
      <c r="L201" s="607"/>
      <c r="M201" s="607"/>
      <c r="N201" s="607"/>
      <c r="O201" s="607"/>
      <c r="P201" s="607"/>
      <c r="Q201" s="607"/>
      <c r="R201" s="607"/>
      <c r="S201" s="607"/>
      <c r="T201" s="607"/>
      <c r="U201" s="607"/>
      <c r="V201" s="607"/>
      <c r="W201" s="607"/>
      <c r="X201" s="606">
        <v>0</v>
      </c>
      <c r="Y201" s="131" t="s">
        <v>56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09"/>
      <c r="J202" s="609"/>
      <c r="K202" s="609"/>
      <c r="L202" s="609"/>
      <c r="M202" s="609"/>
      <c r="N202" s="609"/>
      <c r="O202" s="609"/>
      <c r="P202" s="609"/>
      <c r="Q202" s="609"/>
      <c r="R202" s="609"/>
      <c r="S202" s="609"/>
      <c r="T202" s="609"/>
      <c r="U202" s="609"/>
      <c r="V202" s="609"/>
      <c r="W202" s="609"/>
      <c r="X202" s="608"/>
      <c r="Y202" s="131"/>
      <c r="Z202" s="23"/>
      <c r="AA202" s="24"/>
    </row>
    <row r="203" spans="1:27" ht="21" customHeight="1" thickBot="1">
      <c r="A203" s="45"/>
      <c r="B203" s="46"/>
      <c r="C203" s="46"/>
      <c r="D203" s="46"/>
      <c r="E203" s="48"/>
      <c r="F203" s="48"/>
      <c r="G203" s="49"/>
      <c r="H203" s="31"/>
      <c r="I203" s="462" t="s">
        <v>745</v>
      </c>
      <c r="J203" s="63"/>
      <c r="K203" s="295"/>
      <c r="L203" s="295"/>
      <c r="M203" s="295"/>
      <c r="N203" s="295"/>
      <c r="O203" s="295"/>
      <c r="P203" s="295"/>
      <c r="Q203" s="527" t="s">
        <v>378</v>
      </c>
      <c r="R203" s="527"/>
      <c r="S203" s="527"/>
      <c r="T203" s="527"/>
      <c r="U203" s="527"/>
      <c r="V203" s="527"/>
      <c r="W203" s="527"/>
      <c r="X203" s="527">
        <f>SUM(X204:X210)</f>
        <v>5992000</v>
      </c>
      <c r="Y203" s="459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609" t="s">
        <v>660</v>
      </c>
      <c r="J204" s="609"/>
      <c r="K204" s="608"/>
      <c r="L204" s="608"/>
      <c r="M204" s="608">
        <v>0</v>
      </c>
      <c r="N204" s="608" t="s">
        <v>56</v>
      </c>
      <c r="O204" s="389" t="s">
        <v>57</v>
      </c>
      <c r="P204" s="608">
        <v>39</v>
      </c>
      <c r="Q204" s="608" t="s">
        <v>55</v>
      </c>
      <c r="R204" s="389"/>
      <c r="S204" s="608"/>
      <c r="T204" s="608"/>
      <c r="U204" s="608" t="s">
        <v>53</v>
      </c>
      <c r="V204" s="608"/>
      <c r="W204" s="611"/>
      <c r="X204" s="611">
        <f>M204*P204</f>
        <v>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09" t="s">
        <v>607</v>
      </c>
      <c r="J205" s="609"/>
      <c r="K205" s="608"/>
      <c r="L205" s="608"/>
      <c r="M205" s="608">
        <v>20000</v>
      </c>
      <c r="N205" s="608" t="s">
        <v>56</v>
      </c>
      <c r="O205" s="389" t="s">
        <v>57</v>
      </c>
      <c r="P205" s="608">
        <v>39</v>
      </c>
      <c r="Q205" s="608" t="s">
        <v>55</v>
      </c>
      <c r="R205" s="389"/>
      <c r="S205" s="608"/>
      <c r="T205" s="608"/>
      <c r="U205" s="608" t="s">
        <v>53</v>
      </c>
      <c r="V205" s="608"/>
      <c r="W205" s="611"/>
      <c r="X205" s="611">
        <f>M205*P205</f>
        <v>780000</v>
      </c>
      <c r="Y205" s="131" t="s">
        <v>56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79" t="s">
        <v>696</v>
      </c>
      <c r="J206" s="296"/>
      <c r="K206" s="295"/>
      <c r="L206" s="295"/>
      <c r="M206" s="295">
        <v>400000</v>
      </c>
      <c r="N206" s="73" t="s">
        <v>56</v>
      </c>
      <c r="O206" s="72" t="s">
        <v>57</v>
      </c>
      <c r="P206" s="73">
        <v>2</v>
      </c>
      <c r="Q206" s="295" t="s">
        <v>55</v>
      </c>
      <c r="R206" s="72"/>
      <c r="S206" s="73"/>
      <c r="T206" s="73"/>
      <c r="U206" s="466" t="s">
        <v>53</v>
      </c>
      <c r="V206" s="73"/>
      <c r="W206" s="73"/>
      <c r="X206" s="295">
        <f>M206*P206</f>
        <v>800000</v>
      </c>
      <c r="Y206" s="465" t="s">
        <v>56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436" t="s">
        <v>861</v>
      </c>
      <c r="J207" s="436"/>
      <c r="K207" s="378"/>
      <c r="L207" s="378"/>
      <c r="M207" s="378">
        <v>16000</v>
      </c>
      <c r="N207" s="624" t="s">
        <v>805</v>
      </c>
      <c r="O207" s="534" t="s">
        <v>806</v>
      </c>
      <c r="P207" s="624">
        <v>37</v>
      </c>
      <c r="Q207" s="378" t="s">
        <v>807</v>
      </c>
      <c r="R207" s="534"/>
      <c r="S207" s="624"/>
      <c r="T207" s="624"/>
      <c r="U207" s="663" t="s">
        <v>808</v>
      </c>
      <c r="V207" s="624"/>
      <c r="W207" s="624"/>
      <c r="X207" s="378">
        <f>M207*P207</f>
        <v>592000</v>
      </c>
      <c r="Y207" s="625" t="s">
        <v>805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09" t="s">
        <v>661</v>
      </c>
      <c r="J208" s="609"/>
      <c r="K208" s="609"/>
      <c r="L208" s="609"/>
      <c r="M208" s="608">
        <v>30000</v>
      </c>
      <c r="N208" s="390" t="s">
        <v>56</v>
      </c>
      <c r="O208" s="389" t="s">
        <v>57</v>
      </c>
      <c r="P208" s="399">
        <v>39</v>
      </c>
      <c r="Q208" s="608" t="s">
        <v>55</v>
      </c>
      <c r="R208" s="389" t="s">
        <v>57</v>
      </c>
      <c r="S208" s="390">
        <v>2</v>
      </c>
      <c r="T208" s="390" t="s">
        <v>66</v>
      </c>
      <c r="U208" s="395" t="s">
        <v>53</v>
      </c>
      <c r="V208" s="390"/>
      <c r="W208" s="390"/>
      <c r="X208" s="277">
        <f>M208*P208*S208</f>
        <v>2340000</v>
      </c>
      <c r="Y208" s="391" t="s">
        <v>56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65" t="s">
        <v>254</v>
      </c>
      <c r="J209" s="296"/>
      <c r="K209" s="296"/>
      <c r="L209" s="296"/>
      <c r="M209" s="295"/>
      <c r="N209" s="73"/>
      <c r="O209" s="73"/>
      <c r="P209" s="73"/>
      <c r="Q209" s="295"/>
      <c r="R209" s="295"/>
      <c r="S209" s="73"/>
      <c r="T209" s="73"/>
      <c r="U209" s="73"/>
      <c r="V209" s="73"/>
      <c r="W209" s="73"/>
      <c r="X209" s="295">
        <v>860000</v>
      </c>
      <c r="Y209" s="465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618" t="s">
        <v>862</v>
      </c>
      <c r="J210" s="436"/>
      <c r="K210" s="378"/>
      <c r="L210" s="378"/>
      <c r="M210" s="378"/>
      <c r="N210" s="378"/>
      <c r="O210" s="436"/>
      <c r="P210" s="378"/>
      <c r="Q210" s="378"/>
      <c r="R210" s="378"/>
      <c r="S210" s="378"/>
      <c r="T210" s="378"/>
      <c r="U210" s="378"/>
      <c r="V210" s="378"/>
      <c r="W210" s="533"/>
      <c r="X210" s="533">
        <v>620000</v>
      </c>
      <c r="Y210" s="619" t="s">
        <v>863</v>
      </c>
      <c r="Z210" s="1"/>
    </row>
    <row r="211" spans="1:26" ht="21" customHeight="1" thickBot="1">
      <c r="A211" s="45"/>
      <c r="B211" s="46"/>
      <c r="C211" s="46"/>
      <c r="D211" s="46"/>
      <c r="E211" s="48"/>
      <c r="F211" s="48"/>
      <c r="G211" s="49"/>
      <c r="H211" s="31"/>
      <c r="I211" s="462" t="s">
        <v>746</v>
      </c>
      <c r="J211" s="63"/>
      <c r="K211" s="295"/>
      <c r="L211" s="295"/>
      <c r="M211" s="296"/>
      <c r="N211" s="296"/>
      <c r="O211" s="296"/>
      <c r="P211" s="296"/>
      <c r="Q211" s="527" t="s">
        <v>377</v>
      </c>
      <c r="R211" s="527"/>
      <c r="S211" s="527"/>
      <c r="T211" s="527"/>
      <c r="U211" s="527"/>
      <c r="V211" s="527"/>
      <c r="W211" s="527"/>
      <c r="X211" s="527">
        <f>SUM(X212:X216)</f>
        <v>7980000</v>
      </c>
      <c r="Y211" s="459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285" t="s">
        <v>663</v>
      </c>
      <c r="J212" s="609"/>
      <c r="K212" s="609"/>
      <c r="L212" s="609"/>
      <c r="M212" s="608">
        <v>35000</v>
      </c>
      <c r="N212" s="390" t="s">
        <v>56</v>
      </c>
      <c r="O212" s="389" t="s">
        <v>57</v>
      </c>
      <c r="P212" s="390">
        <v>14</v>
      </c>
      <c r="Q212" s="608" t="s">
        <v>55</v>
      </c>
      <c r="R212" s="608"/>
      <c r="S212" s="390"/>
      <c r="T212" s="390"/>
      <c r="U212" s="390" t="s">
        <v>53</v>
      </c>
      <c r="V212" s="390"/>
      <c r="W212" s="390"/>
      <c r="X212" s="277">
        <f>M212*P212</f>
        <v>490000</v>
      </c>
      <c r="Y212" s="391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609" t="s">
        <v>662</v>
      </c>
      <c r="J213" s="609"/>
      <c r="K213" s="609"/>
      <c r="L213" s="609"/>
      <c r="M213" s="295">
        <v>20000</v>
      </c>
      <c r="N213" s="295" t="s">
        <v>56</v>
      </c>
      <c r="O213" s="72" t="s">
        <v>57</v>
      </c>
      <c r="P213" s="608">
        <v>14</v>
      </c>
      <c r="Q213" s="295" t="s">
        <v>55</v>
      </c>
      <c r="R213" s="72" t="s">
        <v>57</v>
      </c>
      <c r="S213" s="295">
        <v>2</v>
      </c>
      <c r="T213" s="295" t="s">
        <v>66</v>
      </c>
      <c r="U213" s="295" t="s">
        <v>53</v>
      </c>
      <c r="V213" s="390"/>
      <c r="W213" s="390"/>
      <c r="X213" s="277">
        <f>M213*P213*S213</f>
        <v>560000</v>
      </c>
      <c r="Y213" s="391" t="s">
        <v>25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296" t="s">
        <v>664</v>
      </c>
      <c r="J214" s="296"/>
      <c r="K214" s="296"/>
      <c r="L214" s="296"/>
      <c r="M214" s="295">
        <v>50000</v>
      </c>
      <c r="N214" s="295" t="s">
        <v>56</v>
      </c>
      <c r="O214" s="72" t="s">
        <v>57</v>
      </c>
      <c r="P214" s="608">
        <v>39</v>
      </c>
      <c r="Q214" s="295" t="s">
        <v>55</v>
      </c>
      <c r="R214" s="72" t="s">
        <v>57</v>
      </c>
      <c r="S214" s="295">
        <v>1</v>
      </c>
      <c r="T214" s="295" t="s">
        <v>66</v>
      </c>
      <c r="U214" s="295" t="s">
        <v>53</v>
      </c>
      <c r="V214" s="295"/>
      <c r="W214" s="66"/>
      <c r="X214" s="277">
        <f>M214*P214*S214</f>
        <v>1950000</v>
      </c>
      <c r="Y214" s="57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436" t="s">
        <v>810</v>
      </c>
      <c r="J215" s="436"/>
      <c r="K215" s="436"/>
      <c r="L215" s="436"/>
      <c r="M215" s="378">
        <v>100000</v>
      </c>
      <c r="N215" s="624" t="s">
        <v>805</v>
      </c>
      <c r="O215" s="534" t="s">
        <v>806</v>
      </c>
      <c r="P215" s="624">
        <v>3</v>
      </c>
      <c r="Q215" s="378" t="s">
        <v>811</v>
      </c>
      <c r="R215" s="624"/>
      <c r="S215" s="624"/>
      <c r="T215" s="624"/>
      <c r="U215" s="663" t="s">
        <v>808</v>
      </c>
      <c r="V215" s="624"/>
      <c r="W215" s="624"/>
      <c r="X215" s="378">
        <f>M215*P215</f>
        <v>300000</v>
      </c>
      <c r="Y215" s="625" t="s">
        <v>805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436" t="s">
        <v>860</v>
      </c>
      <c r="J216" s="436"/>
      <c r="K216" s="436"/>
      <c r="L216" s="436"/>
      <c r="M216" s="378">
        <v>120000</v>
      </c>
      <c r="N216" s="624" t="s">
        <v>843</v>
      </c>
      <c r="O216" s="534" t="s">
        <v>850</v>
      </c>
      <c r="P216" s="624">
        <v>39</v>
      </c>
      <c r="Q216" s="378" t="s">
        <v>851</v>
      </c>
      <c r="R216" s="624"/>
      <c r="S216" s="624"/>
      <c r="T216" s="624"/>
      <c r="U216" s="663" t="s">
        <v>853</v>
      </c>
      <c r="V216" s="624"/>
      <c r="W216" s="624"/>
      <c r="X216" s="378">
        <f>M216*P216</f>
        <v>4680000</v>
      </c>
      <c r="Y216" s="625" t="s">
        <v>843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96"/>
      <c r="J217" s="296"/>
      <c r="K217" s="296"/>
      <c r="L217" s="296"/>
      <c r="M217" s="296"/>
      <c r="N217" s="296"/>
      <c r="O217" s="296"/>
      <c r="P217" s="296"/>
      <c r="Q217" s="296"/>
      <c r="R217" s="296"/>
      <c r="S217" s="296"/>
      <c r="T217" s="296"/>
      <c r="U217" s="296"/>
      <c r="V217" s="296"/>
      <c r="W217" s="296"/>
      <c r="X217" s="296"/>
      <c r="Y217" s="464"/>
      <c r="Z217" s="1"/>
    </row>
    <row r="218" spans="1:26" ht="21" customHeight="1" thickBot="1">
      <c r="A218" s="45"/>
      <c r="B218" s="46"/>
      <c r="C218" s="46"/>
      <c r="D218" s="46"/>
      <c r="E218" s="48"/>
      <c r="F218" s="48"/>
      <c r="G218" s="49"/>
      <c r="H218" s="31"/>
      <c r="I218" s="462" t="s">
        <v>747</v>
      </c>
      <c r="J218" s="63"/>
      <c r="K218" s="295"/>
      <c r="L218" s="295"/>
      <c r="M218" s="295"/>
      <c r="N218" s="295"/>
      <c r="O218" s="295"/>
      <c r="P218" s="296"/>
      <c r="Q218" s="296"/>
      <c r="R218" s="296"/>
      <c r="S218" s="463" t="s">
        <v>376</v>
      </c>
      <c r="T218" s="63"/>
      <c r="U218" s="63"/>
      <c r="V218" s="463"/>
      <c r="W218" s="463"/>
      <c r="X218" s="527">
        <f>SUM(X219:X220)</f>
        <v>1088000</v>
      </c>
      <c r="Y218" s="459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285" t="s">
        <v>657</v>
      </c>
      <c r="J219" s="609"/>
      <c r="K219" s="608"/>
      <c r="L219" s="608"/>
      <c r="M219" s="608">
        <v>50000</v>
      </c>
      <c r="N219" s="608" t="s">
        <v>56</v>
      </c>
      <c r="O219" s="389" t="s">
        <v>57</v>
      </c>
      <c r="P219" s="608">
        <v>4</v>
      </c>
      <c r="Q219" s="608" t="s">
        <v>55</v>
      </c>
      <c r="R219" s="389" t="s">
        <v>57</v>
      </c>
      <c r="S219" s="608">
        <v>4</v>
      </c>
      <c r="T219" s="608" t="s">
        <v>66</v>
      </c>
      <c r="U219" s="608" t="s">
        <v>53</v>
      </c>
      <c r="V219" s="608"/>
      <c r="W219" s="611"/>
      <c r="X219" s="277">
        <f>M219*P219*S219</f>
        <v>800000</v>
      </c>
      <c r="Y219" s="131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65" t="s">
        <v>765</v>
      </c>
      <c r="J220" s="296"/>
      <c r="K220" s="295"/>
      <c r="L220" s="295"/>
      <c r="M220" s="295"/>
      <c r="N220" s="295"/>
      <c r="O220" s="296"/>
      <c r="P220" s="295"/>
      <c r="Q220" s="295"/>
      <c r="R220" s="295"/>
      <c r="S220" s="295"/>
      <c r="T220" s="295"/>
      <c r="U220" s="295"/>
      <c r="V220" s="295"/>
      <c r="W220" s="66"/>
      <c r="X220" s="533">
        <v>288000</v>
      </c>
      <c r="Y220" s="619" t="s">
        <v>805</v>
      </c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462" t="s">
        <v>762</v>
      </c>
      <c r="J221" s="461"/>
      <c r="K221" s="176"/>
      <c r="L221" s="176"/>
      <c r="M221" s="176"/>
      <c r="N221" s="176"/>
      <c r="O221" s="176"/>
      <c r="P221" s="176"/>
      <c r="Q221" s="176"/>
      <c r="R221" s="176"/>
      <c r="S221" s="461" t="s">
        <v>764</v>
      </c>
      <c r="T221" s="461"/>
      <c r="U221" s="461"/>
      <c r="V221" s="461"/>
      <c r="W221" s="461"/>
      <c r="X221" s="460">
        <f>X222</f>
        <v>400000</v>
      </c>
      <c r="Y221" s="459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31" t="s">
        <v>763</v>
      </c>
      <c r="J222" s="609"/>
      <c r="K222" s="609"/>
      <c r="L222" s="609"/>
      <c r="M222" s="609"/>
      <c r="N222" s="609"/>
      <c r="O222" s="609"/>
      <c r="P222" s="609"/>
      <c r="Q222" s="609"/>
      <c r="R222" s="609"/>
      <c r="S222" s="609"/>
      <c r="T222" s="609"/>
      <c r="U222" s="609"/>
      <c r="V222" s="609"/>
      <c r="W222" s="609"/>
      <c r="X222" s="594">
        <v>400000</v>
      </c>
      <c r="Y222" s="131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65"/>
      <c r="J223" s="296"/>
      <c r="K223" s="295"/>
      <c r="L223" s="295"/>
      <c r="M223" s="295"/>
      <c r="N223" s="295"/>
      <c r="O223" s="296"/>
      <c r="P223" s="295"/>
      <c r="Q223" s="295"/>
      <c r="R223" s="295"/>
      <c r="S223" s="295"/>
      <c r="T223" s="295"/>
      <c r="U223" s="295"/>
      <c r="V223" s="295"/>
      <c r="W223" s="66"/>
      <c r="X223" s="66"/>
      <c r="Y223" s="57"/>
      <c r="Z223" s="1"/>
    </row>
    <row r="224" spans="1:26" ht="21" customHeight="1" thickBot="1">
      <c r="A224" s="45"/>
      <c r="B224" s="46"/>
      <c r="C224" s="46"/>
      <c r="D224" s="46"/>
      <c r="E224" s="48"/>
      <c r="F224" s="48"/>
      <c r="G224" s="49"/>
      <c r="H224" s="31"/>
      <c r="I224" s="462" t="s">
        <v>748</v>
      </c>
      <c r="J224" s="461"/>
      <c r="K224" s="176"/>
      <c r="L224" s="176"/>
      <c r="M224" s="176"/>
      <c r="N224" s="176"/>
      <c r="O224" s="176"/>
      <c r="P224" s="176"/>
      <c r="Q224" s="176"/>
      <c r="R224" s="176"/>
      <c r="S224" s="461" t="s">
        <v>535</v>
      </c>
      <c r="T224" s="461"/>
      <c r="U224" s="461"/>
      <c r="V224" s="461"/>
      <c r="W224" s="461"/>
      <c r="X224" s="460">
        <f>SUM(X225:X225)</f>
        <v>10000000</v>
      </c>
      <c r="Y224" s="459" t="s">
        <v>56</v>
      </c>
      <c r="Z224" s="1"/>
    </row>
    <row r="225" spans="1:27" ht="21" customHeight="1">
      <c r="A225" s="45"/>
      <c r="B225" s="46"/>
      <c r="C225" s="46"/>
      <c r="D225" s="46"/>
      <c r="E225" s="48"/>
      <c r="F225" s="48"/>
      <c r="G225" s="49"/>
      <c r="H225" s="31"/>
      <c r="I225" s="436" t="s">
        <v>864</v>
      </c>
      <c r="J225" s="436"/>
      <c r="K225" s="436"/>
      <c r="L225" s="436"/>
      <c r="M225" s="436"/>
      <c r="N225" s="436"/>
      <c r="O225" s="436"/>
      <c r="P225" s="436"/>
      <c r="Q225" s="436"/>
      <c r="R225" s="436"/>
      <c r="S225" s="436"/>
      <c r="T225" s="436"/>
      <c r="U225" s="436"/>
      <c r="V225" s="436"/>
      <c r="W225" s="436"/>
      <c r="X225" s="378">
        <v>10000000</v>
      </c>
      <c r="Y225" s="619" t="s">
        <v>865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662"/>
      <c r="J226" s="662"/>
      <c r="K226" s="662"/>
      <c r="L226" s="662"/>
      <c r="M226" s="662"/>
      <c r="N226" s="662"/>
      <c r="O226" s="662"/>
      <c r="P226" s="662"/>
      <c r="Q226" s="662"/>
      <c r="R226" s="662"/>
      <c r="S226" s="662"/>
      <c r="T226" s="662"/>
      <c r="U226" s="662"/>
      <c r="V226" s="662"/>
      <c r="W226" s="662"/>
      <c r="X226" s="661"/>
      <c r="Y226" s="131"/>
      <c r="Z226" s="1"/>
    </row>
    <row r="227" spans="1:27" ht="21" customHeight="1" thickBot="1">
      <c r="A227" s="45"/>
      <c r="B227" s="46"/>
      <c r="C227" s="46"/>
      <c r="D227" s="46"/>
      <c r="E227" s="48"/>
      <c r="F227" s="48"/>
      <c r="G227" s="49"/>
      <c r="H227" s="31"/>
      <c r="I227" s="686" t="s">
        <v>858</v>
      </c>
      <c r="J227" s="687"/>
      <c r="K227" s="662"/>
      <c r="L227" s="662"/>
      <c r="M227" s="662"/>
      <c r="N227" s="662"/>
      <c r="O227" s="662"/>
      <c r="P227" s="662"/>
      <c r="Q227" s="662"/>
      <c r="R227" s="662"/>
      <c r="S227" s="461" t="s">
        <v>535</v>
      </c>
      <c r="T227" s="461"/>
      <c r="U227" s="461"/>
      <c r="V227" s="461"/>
      <c r="W227" s="461"/>
      <c r="X227" s="460">
        <f>SUM(X228:X228)</f>
        <v>640000</v>
      </c>
      <c r="Y227" s="459" t="s">
        <v>56</v>
      </c>
      <c r="Z227" s="1"/>
    </row>
    <row r="228" spans="1:27" ht="21" customHeight="1">
      <c r="A228" s="45"/>
      <c r="B228" s="46"/>
      <c r="C228" s="46"/>
      <c r="D228" s="46"/>
      <c r="E228" s="48"/>
      <c r="F228" s="48"/>
      <c r="G228" s="49"/>
      <c r="H228" s="31"/>
      <c r="I228" s="690" t="s">
        <v>866</v>
      </c>
      <c r="J228" s="691"/>
      <c r="K228" s="436"/>
      <c r="L228" s="436"/>
      <c r="M228" s="436"/>
      <c r="N228" s="436"/>
      <c r="O228" s="436"/>
      <c r="P228" s="436"/>
      <c r="Q228" s="436"/>
      <c r="R228" s="436"/>
      <c r="S228" s="436"/>
      <c r="T228" s="436"/>
      <c r="U228" s="436"/>
      <c r="V228" s="436"/>
      <c r="W228" s="436"/>
      <c r="X228" s="378">
        <v>640000</v>
      </c>
      <c r="Y228" s="619" t="s">
        <v>865</v>
      </c>
      <c r="Z228" s="1"/>
    </row>
    <row r="229" spans="1:27" ht="21" customHeight="1">
      <c r="A229" s="45"/>
      <c r="B229" s="46"/>
      <c r="C229" s="46"/>
      <c r="D229" s="46"/>
      <c r="E229" s="48"/>
      <c r="F229" s="48"/>
      <c r="G229" s="49"/>
      <c r="H229" s="31"/>
      <c r="I229" s="675"/>
      <c r="J229" s="675"/>
      <c r="K229" s="675"/>
      <c r="L229" s="675"/>
      <c r="M229" s="675"/>
      <c r="N229" s="675"/>
      <c r="O229" s="675"/>
      <c r="P229" s="675"/>
      <c r="Q229" s="675"/>
      <c r="R229" s="675"/>
      <c r="S229" s="675"/>
      <c r="T229" s="675"/>
      <c r="U229" s="675"/>
      <c r="V229" s="675"/>
      <c r="W229" s="675"/>
      <c r="X229" s="674"/>
      <c r="Y229" s="131"/>
      <c r="Z229" s="1"/>
    </row>
    <row r="230" spans="1:27" ht="21" customHeight="1" thickBot="1">
      <c r="A230" s="45"/>
      <c r="B230" s="46"/>
      <c r="C230" s="46"/>
      <c r="D230" s="46"/>
      <c r="E230" s="48"/>
      <c r="F230" s="48"/>
      <c r="G230" s="49"/>
      <c r="H230" s="31"/>
      <c r="I230" s="462" t="s">
        <v>859</v>
      </c>
      <c r="J230" s="461"/>
      <c r="K230" s="176"/>
      <c r="L230" s="176"/>
      <c r="M230" s="176"/>
      <c r="N230" s="176"/>
      <c r="O230" s="176"/>
      <c r="P230" s="176"/>
      <c r="Q230" s="176"/>
      <c r="R230" s="176"/>
      <c r="S230" s="461" t="s">
        <v>535</v>
      </c>
      <c r="T230" s="461"/>
      <c r="U230" s="461"/>
      <c r="V230" s="461"/>
      <c r="W230" s="461"/>
      <c r="X230" s="460">
        <f>SUM(X231:X231)</f>
        <v>6600000</v>
      </c>
      <c r="Y230" s="459" t="s">
        <v>56</v>
      </c>
      <c r="Z230" s="1"/>
    </row>
    <row r="231" spans="1:27" ht="21" customHeight="1">
      <c r="A231" s="45"/>
      <c r="B231" s="46"/>
      <c r="C231" s="46"/>
      <c r="D231" s="46"/>
      <c r="E231" s="48"/>
      <c r="F231" s="48"/>
      <c r="G231" s="49"/>
      <c r="H231" s="31"/>
      <c r="I231" s="436" t="s">
        <v>867</v>
      </c>
      <c r="J231" s="436"/>
      <c r="K231" s="436"/>
      <c r="L231" s="436"/>
      <c r="M231" s="436"/>
      <c r="N231" s="436"/>
      <c r="O231" s="436"/>
      <c r="P231" s="436"/>
      <c r="Q231" s="436"/>
      <c r="R231" s="436"/>
      <c r="S231" s="436"/>
      <c r="T231" s="436"/>
      <c r="U231" s="436"/>
      <c r="V231" s="436"/>
      <c r="W231" s="436"/>
      <c r="X231" s="378">
        <v>6600000</v>
      </c>
      <c r="Y231" s="619" t="s">
        <v>865</v>
      </c>
      <c r="Z231" s="23"/>
      <c r="AA231" s="24"/>
    </row>
    <row r="232" spans="1:27" ht="21" customHeight="1">
      <c r="A232" s="45"/>
      <c r="B232" s="46"/>
      <c r="C232" s="36" t="s">
        <v>392</v>
      </c>
      <c r="D232" s="458" t="s">
        <v>391</v>
      </c>
      <c r="E232" s="219">
        <f>E233</f>
        <v>11547</v>
      </c>
      <c r="F232" s="219">
        <f>F233</f>
        <v>11547</v>
      </c>
      <c r="G232" s="220">
        <f>F232-E232</f>
        <v>0</v>
      </c>
      <c r="H232" s="221">
        <f>IF(E232=0,0,G232/E232)</f>
        <v>0</v>
      </c>
      <c r="I232" s="204" t="s">
        <v>390</v>
      </c>
      <c r="J232" s="205"/>
      <c r="K232" s="206"/>
      <c r="L232" s="206"/>
      <c r="M232" s="206"/>
      <c r="N232" s="206"/>
      <c r="O232" s="206"/>
      <c r="P232" s="207"/>
      <c r="Q232" s="207"/>
      <c r="R232" s="207"/>
      <c r="S232" s="207"/>
      <c r="T232" s="207"/>
      <c r="U232" s="207"/>
      <c r="V232" s="234" t="s">
        <v>387</v>
      </c>
      <c r="W232" s="235"/>
      <c r="X232" s="235">
        <f>SUM(X234,X237)</f>
        <v>11547000</v>
      </c>
      <c r="Y232" s="267" t="s">
        <v>382</v>
      </c>
      <c r="Z232" s="23"/>
      <c r="AA232" s="24"/>
    </row>
    <row r="233" spans="1:27" ht="21" customHeight="1">
      <c r="A233" s="45"/>
      <c r="B233" s="46"/>
      <c r="C233" s="46" t="s">
        <v>389</v>
      </c>
      <c r="D233" s="46" t="s">
        <v>388</v>
      </c>
      <c r="E233" s="48">
        <v>11547</v>
      </c>
      <c r="F233" s="48">
        <f>ROUND(X232/1000,0)</f>
        <v>11547</v>
      </c>
      <c r="G233" s="38">
        <f>F233-E233</f>
        <v>0</v>
      </c>
      <c r="H233" s="39">
        <f>IF(E233=0,0,G233/E233)</f>
        <v>0</v>
      </c>
      <c r="I233" s="138"/>
      <c r="J233" s="142"/>
      <c r="K233" s="295"/>
      <c r="L233" s="295"/>
      <c r="M233" s="295"/>
      <c r="N233" s="456"/>
      <c r="O233" s="72"/>
      <c r="P233" s="67"/>
      <c r="Q233" s="72"/>
      <c r="R233" s="77"/>
      <c r="S233" s="74"/>
      <c r="T233" s="74"/>
      <c r="U233" s="456"/>
      <c r="V233" s="719"/>
      <c r="W233" s="719"/>
      <c r="X233" s="140"/>
      <c r="Y233" s="141"/>
    </row>
    <row r="234" spans="1:27" ht="21" customHeight="1" thickBot="1">
      <c r="A234" s="45"/>
      <c r="B234" s="46"/>
      <c r="C234" s="46" t="s">
        <v>172</v>
      </c>
      <c r="D234" s="46" t="s">
        <v>355</v>
      </c>
      <c r="E234" s="48"/>
      <c r="F234" s="48"/>
      <c r="G234" s="49"/>
      <c r="H234" s="31"/>
      <c r="I234" s="462" t="s">
        <v>744</v>
      </c>
      <c r="J234" s="63"/>
      <c r="K234" s="295"/>
      <c r="L234" s="295"/>
      <c r="M234" s="295"/>
      <c r="N234" s="295"/>
      <c r="O234" s="295"/>
      <c r="P234" s="295"/>
      <c r="Q234" s="527" t="s">
        <v>381</v>
      </c>
      <c r="R234" s="527"/>
      <c r="S234" s="527"/>
      <c r="T234" s="527"/>
      <c r="U234" s="527"/>
      <c r="V234" s="527"/>
      <c r="W234" s="527"/>
      <c r="X234" s="527">
        <f>ROUND(SUM(X235:X235),-3)</f>
        <v>1547000</v>
      </c>
      <c r="Y234" s="459" t="s">
        <v>56</v>
      </c>
    </row>
    <row r="235" spans="1:27" ht="21" customHeight="1">
      <c r="A235" s="45"/>
      <c r="B235" s="46"/>
      <c r="C235" s="46"/>
      <c r="D235" s="46"/>
      <c r="E235" s="48"/>
      <c r="F235" s="48"/>
      <c r="G235" s="49"/>
      <c r="H235" s="31"/>
      <c r="I235" s="279" t="s">
        <v>557</v>
      </c>
      <c r="J235" s="279"/>
      <c r="K235" s="279"/>
      <c r="L235" s="279"/>
      <c r="M235" s="277">
        <v>18556000</v>
      </c>
      <c r="N235" s="336" t="s">
        <v>56</v>
      </c>
      <c r="O235" s="336" t="s">
        <v>65</v>
      </c>
      <c r="P235" s="382">
        <v>12</v>
      </c>
      <c r="Q235" s="610" t="s">
        <v>0</v>
      </c>
      <c r="R235" s="277"/>
      <c r="S235" s="277"/>
      <c r="T235" s="277"/>
      <c r="U235" s="277" t="s">
        <v>53</v>
      </c>
      <c r="V235" s="277"/>
      <c r="W235" s="280"/>
      <c r="X235" s="280">
        <f>ROUNDUP(M235/P235,-3)</f>
        <v>1547000</v>
      </c>
      <c r="Y235" s="303" t="s">
        <v>56</v>
      </c>
    </row>
    <row r="236" spans="1:27" ht="21" customHeight="1">
      <c r="A236" s="45"/>
      <c r="B236" s="46"/>
      <c r="C236" s="46"/>
      <c r="D236" s="46"/>
      <c r="E236" s="48"/>
      <c r="F236" s="48"/>
      <c r="G236" s="49"/>
      <c r="H236" s="31"/>
      <c r="I236" s="279"/>
      <c r="J236" s="279"/>
      <c r="K236" s="279"/>
      <c r="L236" s="279"/>
      <c r="M236" s="277"/>
      <c r="N236" s="336"/>
      <c r="O236" s="336"/>
      <c r="P236" s="382"/>
      <c r="Q236" s="626"/>
      <c r="R236" s="277"/>
      <c r="S236" s="277"/>
      <c r="T236" s="277"/>
      <c r="U236" s="277"/>
      <c r="V236" s="277"/>
      <c r="W236" s="280"/>
      <c r="X236" s="280"/>
      <c r="Y236" s="303"/>
    </row>
    <row r="237" spans="1:27" ht="21" customHeight="1" thickBot="1">
      <c r="A237" s="45"/>
      <c r="B237" s="46"/>
      <c r="C237" s="46"/>
      <c r="D237" s="46"/>
      <c r="E237" s="48"/>
      <c r="F237" s="48"/>
      <c r="G237" s="49"/>
      <c r="H237" s="31"/>
      <c r="I237" s="462" t="s">
        <v>778</v>
      </c>
      <c r="J237" s="63"/>
      <c r="K237" s="295"/>
      <c r="L237" s="295"/>
      <c r="M237" s="295"/>
      <c r="N237" s="295"/>
      <c r="O237" s="295"/>
      <c r="P237" s="295"/>
      <c r="Q237" s="527" t="s">
        <v>773</v>
      </c>
      <c r="R237" s="527"/>
      <c r="S237" s="527"/>
      <c r="T237" s="527"/>
      <c r="U237" s="527"/>
      <c r="V237" s="527"/>
      <c r="W237" s="527"/>
      <c r="X237" s="527">
        <f>ROUND(SUM(X238:X238),-3)</f>
        <v>10000000</v>
      </c>
      <c r="Y237" s="459" t="s">
        <v>56</v>
      </c>
    </row>
    <row r="238" spans="1:27" ht="21" customHeight="1" thickBot="1">
      <c r="A238" s="58"/>
      <c r="B238" s="59"/>
      <c r="C238" s="59"/>
      <c r="D238" s="59"/>
      <c r="E238" s="61"/>
      <c r="F238" s="61"/>
      <c r="G238" s="62"/>
      <c r="H238" s="203"/>
      <c r="I238" s="436" t="s">
        <v>868</v>
      </c>
      <c r="J238" s="436"/>
      <c r="K238" s="436"/>
      <c r="L238" s="436"/>
      <c r="M238" s="378"/>
      <c r="N238" s="532"/>
      <c r="O238" s="532"/>
      <c r="P238" s="692"/>
      <c r="Q238" s="534"/>
      <c r="R238" s="378"/>
      <c r="S238" s="378"/>
      <c r="T238" s="378"/>
      <c r="U238" s="378"/>
      <c r="V238" s="378"/>
      <c r="W238" s="533"/>
      <c r="X238" s="693">
        <v>10000000</v>
      </c>
      <c r="Y238" s="619" t="s">
        <v>865</v>
      </c>
      <c r="Z238" s="1"/>
    </row>
    <row r="239" spans="1:27" ht="21" customHeight="1">
      <c r="A239" s="35" t="s">
        <v>14</v>
      </c>
      <c r="B239" s="36" t="s">
        <v>14</v>
      </c>
      <c r="C239" s="722" t="s">
        <v>371</v>
      </c>
      <c r="D239" s="723"/>
      <c r="E239" s="248">
        <f>SUM(E240,E255,E261)</f>
        <v>49405</v>
      </c>
      <c r="F239" s="248">
        <f>SUM(F240,F255,F261)</f>
        <v>49405</v>
      </c>
      <c r="G239" s="249">
        <f>F239-E239</f>
        <v>0</v>
      </c>
      <c r="H239" s="250">
        <f>IF(E239=0,0,G239/E239)</f>
        <v>0</v>
      </c>
      <c r="I239" s="251" t="s">
        <v>370</v>
      </c>
      <c r="J239" s="252"/>
      <c r="K239" s="253"/>
      <c r="L239" s="253"/>
      <c r="M239" s="252"/>
      <c r="N239" s="252"/>
      <c r="O239" s="252"/>
      <c r="P239" s="252"/>
      <c r="Q239" s="252" t="s">
        <v>369</v>
      </c>
      <c r="R239" s="254"/>
      <c r="S239" s="254"/>
      <c r="T239" s="254"/>
      <c r="U239" s="254"/>
      <c r="V239" s="254"/>
      <c r="W239" s="254"/>
      <c r="X239" s="636">
        <f>SUM(X240,X255,X261)</f>
        <v>49405000</v>
      </c>
      <c r="Y239" s="266" t="s">
        <v>25</v>
      </c>
      <c r="Z239" s="1"/>
    </row>
    <row r="240" spans="1:27" ht="21" customHeight="1">
      <c r="A240" s="45"/>
      <c r="B240" s="46"/>
      <c r="C240" s="36" t="s">
        <v>368</v>
      </c>
      <c r="D240" s="458" t="s">
        <v>367</v>
      </c>
      <c r="E240" s="219">
        <f>SUM(E241,E244,E247,E251,E253)</f>
        <v>24221</v>
      </c>
      <c r="F240" s="219">
        <f>SUM(F241,F244,F247,F251,F253)</f>
        <v>24221</v>
      </c>
      <c r="G240" s="220">
        <f>F240-E240</f>
        <v>0</v>
      </c>
      <c r="H240" s="221">
        <f>IF(E240=0,0,G240/E240)</f>
        <v>0</v>
      </c>
      <c r="I240" s="204" t="s">
        <v>366</v>
      </c>
      <c r="J240" s="205"/>
      <c r="K240" s="206"/>
      <c r="L240" s="206"/>
      <c r="M240" s="206"/>
      <c r="N240" s="206"/>
      <c r="O240" s="206"/>
      <c r="P240" s="207"/>
      <c r="Q240" s="207"/>
      <c r="R240" s="207"/>
      <c r="S240" s="207"/>
      <c r="T240" s="207"/>
      <c r="U240" s="207"/>
      <c r="V240" s="234" t="s">
        <v>360</v>
      </c>
      <c r="W240" s="235"/>
      <c r="X240" s="236">
        <f>SUM(X241,X244,X247,X251)</f>
        <v>24221000</v>
      </c>
      <c r="Y240" s="267" t="s">
        <v>359</v>
      </c>
      <c r="Z240" s="1"/>
    </row>
    <row r="241" spans="1:26" ht="21" customHeight="1">
      <c r="A241" s="45"/>
      <c r="B241" s="46"/>
      <c r="C241" s="46"/>
      <c r="D241" s="541" t="s">
        <v>547</v>
      </c>
      <c r="E241" s="37">
        <v>0</v>
      </c>
      <c r="F241" s="37">
        <f>ROUND(X241/1000,0)</f>
        <v>0</v>
      </c>
      <c r="G241" s="38">
        <f>F241-E241</f>
        <v>0</v>
      </c>
      <c r="H241" s="39">
        <f>IF(E241=0,0,G241/E241)</f>
        <v>0</v>
      </c>
      <c r="I241" s="138" t="s">
        <v>548</v>
      </c>
      <c r="J241" s="157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719" t="s">
        <v>64</v>
      </c>
      <c r="W241" s="719"/>
      <c r="X241" s="140">
        <f>ROUNDUP(SUM(W242:X243),-3)</f>
        <v>0</v>
      </c>
      <c r="Y241" s="141" t="s">
        <v>56</v>
      </c>
      <c r="Z241" s="1"/>
    </row>
    <row r="242" spans="1:26" ht="21" customHeight="1">
      <c r="A242" s="45"/>
      <c r="B242" s="46"/>
      <c r="C242" s="46"/>
      <c r="D242" s="542"/>
      <c r="E242" s="48"/>
      <c r="F242" s="48"/>
      <c r="G242" s="49"/>
      <c r="H242" s="31"/>
      <c r="I242" s="285" t="s">
        <v>549</v>
      </c>
      <c r="J242" s="296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  <c r="V242" s="535"/>
      <c r="W242" s="535"/>
      <c r="X242" s="66">
        <v>0</v>
      </c>
      <c r="Y242" s="57" t="s">
        <v>56</v>
      </c>
      <c r="Z242" s="1"/>
    </row>
    <row r="243" spans="1:26" ht="21" customHeight="1">
      <c r="A243" s="45"/>
      <c r="B243" s="46"/>
      <c r="C243" s="46"/>
      <c r="D243" s="537"/>
      <c r="E243" s="538"/>
      <c r="F243" s="539"/>
      <c r="G243" s="539"/>
      <c r="H243" s="540"/>
      <c r="I243" s="286" t="s">
        <v>550</v>
      </c>
      <c r="J243" s="361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01"/>
      <c r="W243" s="201"/>
      <c r="X243" s="70">
        <v>0</v>
      </c>
      <c r="Y243" s="71" t="s">
        <v>56</v>
      </c>
      <c r="Z243" s="1"/>
    </row>
    <row r="244" spans="1:26" ht="21" customHeight="1">
      <c r="A244" s="45"/>
      <c r="B244" s="46"/>
      <c r="C244" s="46" t="s">
        <v>365</v>
      </c>
      <c r="D244" s="36" t="s">
        <v>364</v>
      </c>
      <c r="E244" s="37">
        <v>10764</v>
      </c>
      <c r="F244" s="37">
        <f>ROUND(X244/1000,0)</f>
        <v>10764</v>
      </c>
      <c r="G244" s="38">
        <f>F244-E244</f>
        <v>0</v>
      </c>
      <c r="H244" s="39">
        <f>IF(E244=0,0,G244/E244)</f>
        <v>0</v>
      </c>
      <c r="I244" s="138" t="s">
        <v>363</v>
      </c>
      <c r="J244" s="157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719" t="s">
        <v>360</v>
      </c>
      <c r="W244" s="719"/>
      <c r="X244" s="140">
        <f>ROUNDUP(SUM(W245:X246),-3)</f>
        <v>10764000</v>
      </c>
      <c r="Y244" s="141" t="s">
        <v>359</v>
      </c>
      <c r="Z244" s="1"/>
    </row>
    <row r="245" spans="1:26" ht="21" customHeight="1">
      <c r="A245" s="45"/>
      <c r="B245" s="46"/>
      <c r="C245" s="46"/>
      <c r="D245" s="46"/>
      <c r="E245" s="48"/>
      <c r="F245" s="48"/>
      <c r="G245" s="49"/>
      <c r="H245" s="31"/>
      <c r="I245" s="285" t="s">
        <v>362</v>
      </c>
      <c r="J245" s="296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  <c r="V245" s="456"/>
      <c r="W245" s="456"/>
      <c r="X245" s="66">
        <v>10764000</v>
      </c>
      <c r="Y245" s="57" t="s">
        <v>359</v>
      </c>
      <c r="Z245" s="1"/>
    </row>
    <row r="246" spans="1:26" ht="21" customHeight="1">
      <c r="A246" s="45"/>
      <c r="B246" s="46"/>
      <c r="C246" s="46"/>
      <c r="D246" s="59"/>
      <c r="E246" s="61"/>
      <c r="F246" s="61"/>
      <c r="G246" s="62"/>
      <c r="H246" s="203"/>
      <c r="I246" s="286" t="s">
        <v>361</v>
      </c>
      <c r="J246" s="361"/>
      <c r="K246" s="224"/>
      <c r="L246" s="224"/>
      <c r="M246" s="224"/>
      <c r="N246" s="224"/>
      <c r="O246" s="224"/>
      <c r="P246" s="224"/>
      <c r="Q246" s="224"/>
      <c r="R246" s="224"/>
      <c r="S246" s="224"/>
      <c r="T246" s="224"/>
      <c r="U246" s="224"/>
      <c r="V246" s="201"/>
      <c r="W246" s="201"/>
      <c r="X246" s="70">
        <v>0</v>
      </c>
      <c r="Y246" s="71" t="s">
        <v>359</v>
      </c>
      <c r="Z246" s="1"/>
    </row>
    <row r="247" spans="1:26" ht="21" customHeight="1">
      <c r="A247" s="45"/>
      <c r="B247" s="46"/>
      <c r="C247" s="46"/>
      <c r="D247" s="36" t="s">
        <v>358</v>
      </c>
      <c r="E247" s="37">
        <v>81</v>
      </c>
      <c r="F247" s="37">
        <f>ROUND(X247/1000,0)</f>
        <v>81</v>
      </c>
      <c r="G247" s="38">
        <f>F247-E247</f>
        <v>0</v>
      </c>
      <c r="H247" s="39">
        <f>IF(E247=0,0,G247/E247)</f>
        <v>0</v>
      </c>
      <c r="I247" s="138" t="s">
        <v>184</v>
      </c>
      <c r="J247" s="157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719" t="s">
        <v>64</v>
      </c>
      <c r="W247" s="719"/>
      <c r="X247" s="140">
        <f>ROUNDUP(SUM(W248:X249),-3)</f>
        <v>81000</v>
      </c>
      <c r="Y247" s="141" t="s">
        <v>56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285" t="s">
        <v>196</v>
      </c>
      <c r="J248" s="296"/>
      <c r="K248" s="295"/>
      <c r="L248" s="295"/>
      <c r="M248" s="295"/>
      <c r="N248" s="295"/>
      <c r="O248" s="295"/>
      <c r="P248" s="295"/>
      <c r="Q248" s="295"/>
      <c r="R248" s="295"/>
      <c r="S248" s="295"/>
      <c r="T248" s="295"/>
      <c r="U248" s="295"/>
      <c r="V248" s="456"/>
      <c r="W248" s="456"/>
      <c r="X248" s="66">
        <v>81000</v>
      </c>
      <c r="Y248" s="57" t="s">
        <v>56</v>
      </c>
      <c r="Z248" s="1"/>
    </row>
    <row r="249" spans="1:26" ht="21" customHeight="1">
      <c r="A249" s="45"/>
      <c r="B249" s="46"/>
      <c r="C249" s="46"/>
      <c r="D249" s="46"/>
      <c r="E249" s="48"/>
      <c r="F249" s="48"/>
      <c r="G249" s="49"/>
      <c r="H249" s="31"/>
      <c r="I249" s="285" t="s">
        <v>197</v>
      </c>
      <c r="J249" s="296"/>
      <c r="K249" s="295"/>
      <c r="L249" s="295"/>
      <c r="M249" s="295"/>
      <c r="N249" s="295"/>
      <c r="O249" s="295"/>
      <c r="P249" s="295"/>
      <c r="Q249" s="295"/>
      <c r="R249" s="295"/>
      <c r="S249" s="295"/>
      <c r="T249" s="295"/>
      <c r="U249" s="295"/>
      <c r="V249" s="456"/>
      <c r="W249" s="456"/>
      <c r="X249" s="66">
        <v>0</v>
      </c>
      <c r="Y249" s="57" t="s">
        <v>56</v>
      </c>
      <c r="Z249" s="1"/>
    </row>
    <row r="250" spans="1:26" ht="21" customHeight="1">
      <c r="A250" s="45"/>
      <c r="B250" s="46"/>
      <c r="C250" s="46"/>
      <c r="D250" s="59"/>
      <c r="E250" s="61"/>
      <c r="F250" s="61"/>
      <c r="G250" s="62"/>
      <c r="H250" s="203"/>
      <c r="I250" s="69"/>
      <c r="J250" s="361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01"/>
      <c r="W250" s="201"/>
      <c r="X250" s="70"/>
      <c r="Y250" s="71"/>
      <c r="Z250" s="1"/>
    </row>
    <row r="251" spans="1:26" ht="21" customHeight="1">
      <c r="A251" s="45"/>
      <c r="B251" s="46"/>
      <c r="C251" s="46"/>
      <c r="D251" s="36" t="s">
        <v>357</v>
      </c>
      <c r="E251" s="37">
        <v>7180</v>
      </c>
      <c r="F251" s="37">
        <f>ROUND(X252/1000,0)</f>
        <v>7180</v>
      </c>
      <c r="G251" s="38">
        <f>F251-E251</f>
        <v>0</v>
      </c>
      <c r="H251" s="39">
        <f>IF(E251=0,0,G251/E251)</f>
        <v>0</v>
      </c>
      <c r="I251" s="138" t="s">
        <v>185</v>
      </c>
      <c r="J251" s="157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719" t="s">
        <v>64</v>
      </c>
      <c r="W251" s="719"/>
      <c r="X251" s="140">
        <f>ROUNDUP(SUM(W252:X253),-3)</f>
        <v>13376000</v>
      </c>
      <c r="Y251" s="141" t="s">
        <v>56</v>
      </c>
      <c r="Z251" s="1"/>
    </row>
    <row r="252" spans="1:26" ht="21" customHeight="1">
      <c r="A252" s="45"/>
      <c r="B252" s="46"/>
      <c r="C252" s="46"/>
      <c r="D252" s="46" t="s">
        <v>770</v>
      </c>
      <c r="E252" s="48"/>
      <c r="F252" s="48"/>
      <c r="G252" s="49"/>
      <c r="H252" s="31"/>
      <c r="I252" s="285" t="s">
        <v>766</v>
      </c>
      <c r="J252" s="296"/>
      <c r="K252" s="295"/>
      <c r="L252" s="295"/>
      <c r="M252" s="295"/>
      <c r="N252" s="295"/>
      <c r="O252" s="295"/>
      <c r="P252" s="295"/>
      <c r="Q252" s="295"/>
      <c r="R252" s="295"/>
      <c r="S252" s="295"/>
      <c r="T252" s="295"/>
      <c r="U252" s="295"/>
      <c r="V252" s="637"/>
      <c r="W252" s="637"/>
      <c r="X252" s="66">
        <v>7180000</v>
      </c>
      <c r="Y252" s="57" t="s">
        <v>56</v>
      </c>
    </row>
    <row r="253" spans="1:26" ht="21" customHeight="1">
      <c r="A253" s="45"/>
      <c r="B253" s="46"/>
      <c r="C253" s="46"/>
      <c r="D253" s="612" t="s">
        <v>785</v>
      </c>
      <c r="E253" s="512">
        <v>6196</v>
      </c>
      <c r="F253" s="512">
        <f>ROUND(X253/1000,0)</f>
        <v>6196</v>
      </c>
      <c r="G253" s="645">
        <f>F253-E253</f>
        <v>0</v>
      </c>
      <c r="H253" s="646">
        <f>IF(E253=0,0,G253/E253)</f>
        <v>0</v>
      </c>
      <c r="I253" s="285" t="s">
        <v>786</v>
      </c>
      <c r="J253" s="641"/>
      <c r="K253" s="640"/>
      <c r="L253" s="640"/>
      <c r="M253" s="640"/>
      <c r="N253" s="640"/>
      <c r="O253" s="640"/>
      <c r="P253" s="640"/>
      <c r="Q253" s="640"/>
      <c r="R253" s="640"/>
      <c r="S253" s="640"/>
      <c r="T253" s="640"/>
      <c r="U253" s="640"/>
      <c r="V253" s="638"/>
      <c r="W253" s="638"/>
      <c r="X253" s="639">
        <v>6196000</v>
      </c>
      <c r="Y253" s="131" t="s">
        <v>787</v>
      </c>
      <c r="Z253" s="644"/>
    </row>
    <row r="254" spans="1:26" ht="21" customHeight="1">
      <c r="A254" s="45"/>
      <c r="B254" s="46"/>
      <c r="C254" s="46"/>
      <c r="D254" s="612" t="s">
        <v>788</v>
      </c>
      <c r="E254" s="512"/>
      <c r="F254" s="512"/>
      <c r="G254" s="645"/>
      <c r="H254" s="646"/>
      <c r="I254" s="285"/>
      <c r="J254" s="641"/>
      <c r="K254" s="640"/>
      <c r="L254" s="640"/>
      <c r="M254" s="640"/>
      <c r="N254" s="638"/>
      <c r="O254" s="389"/>
      <c r="P254" s="392"/>
      <c r="Q254" s="389"/>
      <c r="R254" s="393"/>
      <c r="S254" s="74"/>
      <c r="T254" s="74"/>
      <c r="U254" s="638"/>
      <c r="V254" s="640"/>
      <c r="W254" s="639"/>
      <c r="X254" s="639"/>
      <c r="Y254" s="131"/>
    </row>
    <row r="255" spans="1:26" ht="21" customHeight="1">
      <c r="A255" s="45"/>
      <c r="B255" s="46"/>
      <c r="C255" s="36" t="s">
        <v>173</v>
      </c>
      <c r="D255" s="458" t="s">
        <v>141</v>
      </c>
      <c r="E255" s="219">
        <f>E256+E258</f>
        <v>25184</v>
      </c>
      <c r="F255" s="219">
        <f>SUM(F256,F258)</f>
        <v>25184</v>
      </c>
      <c r="G255" s="220">
        <f>F255-E255</f>
        <v>0</v>
      </c>
      <c r="H255" s="221">
        <f>IF(E255=0,0,G255/E255)</f>
        <v>0</v>
      </c>
      <c r="I255" s="204" t="s">
        <v>175</v>
      </c>
      <c r="J255" s="205"/>
      <c r="K255" s="206"/>
      <c r="L255" s="206"/>
      <c r="M255" s="206"/>
      <c r="N255" s="206"/>
      <c r="O255" s="206"/>
      <c r="P255" s="207"/>
      <c r="Q255" s="207"/>
      <c r="R255" s="207"/>
      <c r="S255" s="207"/>
      <c r="T255" s="207"/>
      <c r="U255" s="207"/>
      <c r="V255" s="234" t="s">
        <v>64</v>
      </c>
      <c r="W255" s="235"/>
      <c r="X255" s="235">
        <f>X256+X258</f>
        <v>25184000</v>
      </c>
      <c r="Y255" s="267" t="s">
        <v>56</v>
      </c>
    </row>
    <row r="256" spans="1:26" ht="21" customHeight="1">
      <c r="A256" s="45"/>
      <c r="B256" s="46"/>
      <c r="C256" s="46" t="s">
        <v>174</v>
      </c>
      <c r="D256" s="46" t="s">
        <v>356</v>
      </c>
      <c r="E256" s="48">
        <v>21151</v>
      </c>
      <c r="F256" s="48">
        <f>ROUND(X256/1000,0)</f>
        <v>21151</v>
      </c>
      <c r="G256" s="38">
        <f>F256-E256</f>
        <v>0</v>
      </c>
      <c r="H256" s="39">
        <f>IF(E256=0,0,G256/E256)</f>
        <v>0</v>
      </c>
      <c r="I256" s="285" t="s">
        <v>644</v>
      </c>
      <c r="J256" s="631"/>
      <c r="K256" s="630"/>
      <c r="L256" s="630"/>
      <c r="M256" s="630"/>
      <c r="N256" s="630"/>
      <c r="O256" s="630"/>
      <c r="P256" s="630"/>
      <c r="Q256" s="585"/>
      <c r="R256" s="585"/>
      <c r="S256" s="585"/>
      <c r="T256" s="630"/>
      <c r="U256" s="630"/>
      <c r="V256" s="630"/>
      <c r="W256" s="627"/>
      <c r="X256" s="627">
        <v>21151000</v>
      </c>
      <c r="Y256" s="131" t="s">
        <v>56</v>
      </c>
    </row>
    <row r="257" spans="1:47" ht="21" customHeight="1">
      <c r="A257" s="45"/>
      <c r="B257" s="46"/>
      <c r="C257" s="46" t="s">
        <v>172</v>
      </c>
      <c r="D257" s="46" t="s">
        <v>767</v>
      </c>
      <c r="E257" s="48"/>
      <c r="F257" s="61"/>
      <c r="G257" s="49"/>
      <c r="H257" s="68"/>
      <c r="I257" s="286"/>
      <c r="J257" s="629"/>
      <c r="K257" s="628"/>
      <c r="L257" s="628"/>
      <c r="M257" s="628"/>
      <c r="N257" s="628"/>
      <c r="O257" s="628"/>
      <c r="P257" s="628"/>
      <c r="Q257" s="635"/>
      <c r="R257" s="635"/>
      <c r="S257" s="635"/>
      <c r="T257" s="628"/>
      <c r="U257" s="628"/>
      <c r="V257" s="628"/>
      <c r="W257" s="412"/>
      <c r="X257" s="412"/>
      <c r="Y257" s="401" t="s">
        <v>637</v>
      </c>
    </row>
    <row r="258" spans="1:47" ht="21" customHeight="1">
      <c r="A258" s="45"/>
      <c r="B258" s="46"/>
      <c r="C258" s="46"/>
      <c r="D258" s="36" t="s">
        <v>768</v>
      </c>
      <c r="E258" s="37">
        <v>4033</v>
      </c>
      <c r="F258" s="37">
        <f>ROUND(X258/1000,0)</f>
        <v>4033</v>
      </c>
      <c r="G258" s="38">
        <f>F258-E258</f>
        <v>0</v>
      </c>
      <c r="H258" s="39">
        <f>IF(E258=0,0,G258/E258)</f>
        <v>0</v>
      </c>
      <c r="I258" s="288" t="s">
        <v>645</v>
      </c>
      <c r="J258" s="309"/>
      <c r="K258" s="293"/>
      <c r="L258" s="293"/>
      <c r="M258" s="293"/>
      <c r="N258" s="293"/>
      <c r="O258" s="293"/>
      <c r="P258" s="293"/>
      <c r="Q258" s="633"/>
      <c r="R258" s="633"/>
      <c r="S258" s="633"/>
      <c r="T258" s="293"/>
      <c r="U258" s="293"/>
      <c r="V258" s="293"/>
      <c r="W258" s="634"/>
      <c r="X258" s="634">
        <v>4033000</v>
      </c>
      <c r="Y258" s="397" t="s">
        <v>56</v>
      </c>
    </row>
    <row r="259" spans="1:47" ht="21" customHeight="1">
      <c r="A259" s="45"/>
      <c r="B259" s="46"/>
      <c r="C259" s="46"/>
      <c r="D259" s="46" t="s">
        <v>769</v>
      </c>
      <c r="E259" s="48"/>
      <c r="F259" s="48"/>
      <c r="G259" s="49"/>
      <c r="H259" s="68"/>
      <c r="I259" s="285"/>
      <c r="J259" s="631"/>
      <c r="K259" s="630"/>
      <c r="L259" s="630"/>
      <c r="M259" s="630"/>
      <c r="N259" s="630"/>
      <c r="O259" s="630"/>
      <c r="P259" s="630"/>
      <c r="Q259" s="585"/>
      <c r="R259" s="585"/>
      <c r="S259" s="585"/>
      <c r="T259" s="630"/>
      <c r="U259" s="630"/>
      <c r="V259" s="630"/>
      <c r="W259" s="627"/>
      <c r="X259" s="627"/>
      <c r="Y259" s="131"/>
    </row>
    <row r="260" spans="1:47" ht="21" customHeight="1">
      <c r="A260" s="45"/>
      <c r="B260" s="46"/>
      <c r="C260" s="46"/>
      <c r="D260" s="46"/>
      <c r="E260" s="48"/>
      <c r="F260" s="48"/>
      <c r="G260" s="49"/>
      <c r="H260" s="68"/>
      <c r="I260" s="65"/>
      <c r="J260" s="296"/>
      <c r="K260" s="295"/>
      <c r="L260" s="295"/>
      <c r="M260" s="295"/>
      <c r="N260" s="295"/>
      <c r="O260" s="295"/>
      <c r="P260" s="295"/>
      <c r="Q260" s="54"/>
      <c r="R260" s="54"/>
      <c r="S260" s="54"/>
      <c r="T260" s="295"/>
      <c r="U260" s="295"/>
      <c r="V260" s="295"/>
      <c r="W260" s="66"/>
      <c r="X260" s="66"/>
      <c r="Y260" s="57"/>
    </row>
    <row r="261" spans="1:47" ht="21" customHeight="1">
      <c r="A261" s="45"/>
      <c r="B261" s="46"/>
      <c r="C261" s="36" t="s">
        <v>176</v>
      </c>
      <c r="D261" s="458" t="s">
        <v>141</v>
      </c>
      <c r="E261" s="219">
        <f>E262</f>
        <v>0</v>
      </c>
      <c r="F261" s="219">
        <f>F262</f>
        <v>0</v>
      </c>
      <c r="G261" s="220">
        <f>F261-E261</f>
        <v>0</v>
      </c>
      <c r="H261" s="221">
        <f>IF(E261=0,0,G261/E261)</f>
        <v>0</v>
      </c>
      <c r="I261" s="204" t="s">
        <v>177</v>
      </c>
      <c r="J261" s="205"/>
      <c r="K261" s="206"/>
      <c r="L261" s="206"/>
      <c r="M261" s="206"/>
      <c r="N261" s="206"/>
      <c r="O261" s="206"/>
      <c r="P261" s="207"/>
      <c r="Q261" s="207"/>
      <c r="R261" s="207"/>
      <c r="S261" s="207"/>
      <c r="T261" s="207"/>
      <c r="U261" s="207"/>
      <c r="V261" s="234" t="s">
        <v>64</v>
      </c>
      <c r="W261" s="235"/>
      <c r="X261" s="235">
        <f>ROUND(SUM(W262:X263),-3)</f>
        <v>0</v>
      </c>
      <c r="Y261" s="267" t="s">
        <v>56</v>
      </c>
    </row>
    <row r="262" spans="1:47" ht="21" customHeight="1">
      <c r="A262" s="45"/>
      <c r="B262" s="46"/>
      <c r="C262" s="46" t="s">
        <v>129</v>
      </c>
      <c r="D262" s="46" t="s">
        <v>354</v>
      </c>
      <c r="E262" s="48">
        <v>0</v>
      </c>
      <c r="F262" s="48">
        <f>ROUND(X262/1000,0)</f>
        <v>0</v>
      </c>
      <c r="G262" s="38">
        <f>F262-E262</f>
        <v>0</v>
      </c>
      <c r="H262" s="39">
        <f>IF(E262=0,0,G262/E262)</f>
        <v>0</v>
      </c>
      <c r="I262" s="65"/>
      <c r="J262" s="296"/>
      <c r="K262" s="295"/>
      <c r="L262" s="295"/>
      <c r="M262" s="295"/>
      <c r="N262" s="456"/>
      <c r="O262" s="72"/>
      <c r="P262" s="67"/>
      <c r="Q262" s="72"/>
      <c r="R262" s="77"/>
      <c r="S262" s="74"/>
      <c r="T262" s="74"/>
      <c r="U262" s="456"/>
      <c r="V262" s="295"/>
      <c r="W262" s="66"/>
      <c r="X262" s="66"/>
      <c r="Y262" s="57"/>
    </row>
    <row r="263" spans="1:47" ht="21" customHeight="1">
      <c r="A263" s="58"/>
      <c r="B263" s="59"/>
      <c r="C263" s="59"/>
      <c r="D263" s="59"/>
      <c r="E263" s="61"/>
      <c r="F263" s="61"/>
      <c r="G263" s="62"/>
      <c r="H263" s="82"/>
      <c r="I263" s="69"/>
      <c r="J263" s="361"/>
      <c r="K263" s="224"/>
      <c r="L263" s="224"/>
      <c r="M263" s="224"/>
      <c r="N263" s="224"/>
      <c r="O263" s="224"/>
      <c r="P263" s="224"/>
      <c r="Q263" s="125"/>
      <c r="R263" s="125"/>
      <c r="S263" s="125"/>
      <c r="T263" s="224"/>
      <c r="U263" s="224"/>
      <c r="V263" s="224"/>
      <c r="W263" s="70"/>
      <c r="X263" s="70"/>
      <c r="Y263" s="71"/>
    </row>
    <row r="264" spans="1:47" s="4" customFormat="1" ht="21" customHeight="1">
      <c r="A264" s="45" t="s">
        <v>60</v>
      </c>
      <c r="B264" s="85" t="s">
        <v>16</v>
      </c>
      <c r="C264" s="722" t="s">
        <v>187</v>
      </c>
      <c r="D264" s="723"/>
      <c r="E264" s="248">
        <f>SUM(E265,E270,E282)</f>
        <v>55120</v>
      </c>
      <c r="F264" s="248">
        <f>SUM(F265,F270,F282)</f>
        <v>55794</v>
      </c>
      <c r="G264" s="249">
        <f>F264-E264</f>
        <v>674</v>
      </c>
      <c r="H264" s="250">
        <f>IF(E264=0,0,G264/E264)</f>
        <v>1.2227866473149492E-2</v>
      </c>
      <c r="I264" s="251" t="s">
        <v>188</v>
      </c>
      <c r="J264" s="252"/>
      <c r="K264" s="253"/>
      <c r="L264" s="253"/>
      <c r="M264" s="252"/>
      <c r="N264" s="252"/>
      <c r="O264" s="252"/>
      <c r="P264" s="252"/>
      <c r="Q264" s="252" t="s">
        <v>63</v>
      </c>
      <c r="R264" s="254"/>
      <c r="S264" s="254"/>
      <c r="T264" s="254"/>
      <c r="U264" s="254"/>
      <c r="V264" s="254"/>
      <c r="W264" s="254"/>
      <c r="X264" s="264">
        <f>SUM(X265,X270,X282)</f>
        <v>55794000</v>
      </c>
      <c r="Y264" s="270" t="s">
        <v>56</v>
      </c>
      <c r="Z264" s="256"/>
      <c r="AA264" s="257"/>
      <c r="AB264" s="257"/>
      <c r="AC264" s="258"/>
      <c r="AD264" s="259"/>
      <c r="AE264" s="260"/>
      <c r="AF264" s="261"/>
      <c r="AG264" s="262"/>
      <c r="AH264" s="262"/>
      <c r="AI264" s="261"/>
      <c r="AJ264" s="261"/>
      <c r="AK264" s="261"/>
      <c r="AL264" s="261"/>
      <c r="AM264" s="261"/>
      <c r="AN264" s="260"/>
      <c r="AO264" s="260"/>
      <c r="AP264" s="260"/>
      <c r="AQ264" s="260"/>
      <c r="AR264" s="260"/>
      <c r="AS264" s="260"/>
      <c r="AT264" s="263"/>
      <c r="AU264" s="261"/>
    </row>
    <row r="265" spans="1:47" ht="21" customHeight="1">
      <c r="A265" s="45"/>
      <c r="B265" s="94"/>
      <c r="C265" s="36" t="s">
        <v>178</v>
      </c>
      <c r="D265" s="458" t="s">
        <v>141</v>
      </c>
      <c r="E265" s="219">
        <f>E266</f>
        <v>0</v>
      </c>
      <c r="F265" s="219">
        <f>F266</f>
        <v>100</v>
      </c>
      <c r="G265" s="220">
        <f>F265-E265</f>
        <v>100</v>
      </c>
      <c r="H265" s="221">
        <f>IF(E265=0,0,G265/E265)</f>
        <v>0</v>
      </c>
      <c r="I265" s="204" t="s">
        <v>182</v>
      </c>
      <c r="J265" s="205"/>
      <c r="K265" s="206"/>
      <c r="L265" s="206"/>
      <c r="M265" s="206"/>
      <c r="N265" s="206"/>
      <c r="O265" s="206"/>
      <c r="P265" s="207"/>
      <c r="Q265" s="207"/>
      <c r="R265" s="207"/>
      <c r="S265" s="207"/>
      <c r="T265" s="207"/>
      <c r="U265" s="207"/>
      <c r="V265" s="234" t="s">
        <v>64</v>
      </c>
      <c r="W265" s="235"/>
      <c r="X265" s="236">
        <f>SUM(X266:X266)</f>
        <v>100000</v>
      </c>
      <c r="Y265" s="267" t="s">
        <v>56</v>
      </c>
    </row>
    <row r="266" spans="1:47" s="11" customFormat="1" ht="19.5" customHeight="1">
      <c r="A266" s="60"/>
      <c r="B266" s="96"/>
      <c r="C266" s="46" t="s">
        <v>179</v>
      </c>
      <c r="D266" s="36" t="s">
        <v>353</v>
      </c>
      <c r="E266" s="37">
        <v>0</v>
      </c>
      <c r="F266" s="48">
        <f>ROUND(X266/1000,0)</f>
        <v>100</v>
      </c>
      <c r="G266" s="38">
        <f>F266-E266</f>
        <v>100</v>
      </c>
      <c r="H266" s="39">
        <f>IF(E266=0,0,G266/E266)</f>
        <v>0</v>
      </c>
      <c r="I266" s="138" t="s">
        <v>182</v>
      </c>
      <c r="J266" s="157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719" t="s">
        <v>64</v>
      </c>
      <c r="W266" s="719"/>
      <c r="X266" s="140">
        <f>ROUNDUP(SUM(W267:X268),-3)</f>
        <v>100000</v>
      </c>
      <c r="Y266" s="141" t="s">
        <v>56</v>
      </c>
      <c r="Z266" s="6"/>
    </row>
    <row r="267" spans="1:47" s="11" customFormat="1" ht="19.5" customHeight="1">
      <c r="A267" s="60"/>
      <c r="B267" s="96"/>
      <c r="C267" s="46"/>
      <c r="D267" s="46"/>
      <c r="E267" s="48"/>
      <c r="F267" s="48"/>
      <c r="G267" s="49"/>
      <c r="H267" s="31"/>
      <c r="I267" s="285"/>
      <c r="J267" s="562"/>
      <c r="K267" s="561"/>
      <c r="L267" s="561"/>
      <c r="M267" s="561"/>
      <c r="N267" s="561"/>
      <c r="O267" s="561"/>
      <c r="P267" s="561"/>
      <c r="Q267" s="561"/>
      <c r="R267" s="561"/>
      <c r="S267" s="561"/>
      <c r="T267" s="561"/>
      <c r="U267" s="561"/>
      <c r="V267" s="560"/>
      <c r="W267" s="560"/>
      <c r="X267" s="130"/>
      <c r="Y267" s="131"/>
      <c r="Z267" s="6"/>
    </row>
    <row r="268" spans="1:47" s="11" customFormat="1" ht="19.5" customHeight="1">
      <c r="A268" s="60"/>
      <c r="B268" s="96"/>
      <c r="C268" s="46"/>
      <c r="D268" s="46"/>
      <c r="E268" s="48"/>
      <c r="F268" s="48"/>
      <c r="G268" s="49"/>
      <c r="H268" s="31"/>
      <c r="I268" s="618" t="s">
        <v>844</v>
      </c>
      <c r="J268" s="436"/>
      <c r="K268" s="378"/>
      <c r="L268" s="378"/>
      <c r="M268" s="378"/>
      <c r="N268" s="378"/>
      <c r="O268" s="378"/>
      <c r="P268" s="378"/>
      <c r="Q268" s="378"/>
      <c r="R268" s="378"/>
      <c r="S268" s="378"/>
      <c r="T268" s="378"/>
      <c r="U268" s="378"/>
      <c r="V268" s="532"/>
      <c r="W268" s="532"/>
      <c r="X268" s="533">
        <v>100000</v>
      </c>
      <c r="Y268" s="619" t="s">
        <v>843</v>
      </c>
      <c r="Z268" s="6"/>
    </row>
    <row r="269" spans="1:47" s="11" customFormat="1" ht="19.5" customHeight="1">
      <c r="A269" s="60"/>
      <c r="B269" s="88"/>
      <c r="C269" s="46"/>
      <c r="D269" s="46"/>
      <c r="E269" s="48"/>
      <c r="F269" s="48"/>
      <c r="G269" s="49"/>
      <c r="H269" s="31"/>
      <c r="I269" s="65"/>
      <c r="J269" s="296"/>
      <c r="K269" s="295"/>
      <c r="L269" s="295"/>
      <c r="M269" s="295"/>
      <c r="N269" s="456"/>
      <c r="O269" s="72"/>
      <c r="P269" s="67"/>
      <c r="Q269" s="72"/>
      <c r="R269" s="77"/>
      <c r="S269" s="74"/>
      <c r="T269" s="74"/>
      <c r="U269" s="456"/>
      <c r="V269" s="295"/>
      <c r="W269" s="66"/>
      <c r="X269" s="66"/>
      <c r="Y269" s="57"/>
      <c r="Z269" s="6"/>
    </row>
    <row r="270" spans="1:47" s="11" customFormat="1" ht="19.5" customHeight="1">
      <c r="A270" s="60"/>
      <c r="B270" s="88"/>
      <c r="C270" s="36" t="s">
        <v>180</v>
      </c>
      <c r="D270" s="458" t="s">
        <v>141</v>
      </c>
      <c r="E270" s="219">
        <f>E271</f>
        <v>320</v>
      </c>
      <c r="F270" s="219">
        <f>F271</f>
        <v>320</v>
      </c>
      <c r="G270" s="220">
        <f>F270-E270</f>
        <v>0</v>
      </c>
      <c r="H270" s="221">
        <f>IF(E270=0,0,G270/E270)</f>
        <v>0</v>
      </c>
      <c r="I270" s="204" t="s">
        <v>183</v>
      </c>
      <c r="J270" s="205"/>
      <c r="K270" s="206"/>
      <c r="L270" s="206"/>
      <c r="M270" s="206"/>
      <c r="N270" s="206"/>
      <c r="O270" s="206"/>
      <c r="P270" s="207"/>
      <c r="Q270" s="207"/>
      <c r="R270" s="207"/>
      <c r="S270" s="207"/>
      <c r="T270" s="207"/>
      <c r="U270" s="207"/>
      <c r="V270" s="234" t="s">
        <v>64</v>
      </c>
      <c r="W270" s="235"/>
      <c r="X270" s="235">
        <f>SUM(X271:X271)</f>
        <v>320000</v>
      </c>
      <c r="Y270" s="267" t="s">
        <v>56</v>
      </c>
      <c r="Z270" s="6"/>
    </row>
    <row r="271" spans="1:47" s="11" customFormat="1" ht="19.5" customHeight="1">
      <c r="A271" s="60"/>
      <c r="B271" s="88"/>
      <c r="C271" s="46" t="s">
        <v>181</v>
      </c>
      <c r="D271" s="46" t="s">
        <v>352</v>
      </c>
      <c r="E271" s="48">
        <v>320</v>
      </c>
      <c r="F271" s="48">
        <f>ROUND(X271/1000,0)</f>
        <v>320</v>
      </c>
      <c r="G271" s="38">
        <f>F271-E271</f>
        <v>0</v>
      </c>
      <c r="H271" s="39">
        <f>IF(E271=0,0,G271/E271)</f>
        <v>0</v>
      </c>
      <c r="I271" s="138" t="s">
        <v>351</v>
      </c>
      <c r="J271" s="157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719"/>
      <c r="W271" s="719"/>
      <c r="X271" s="140">
        <f>ROUND(SUM(W272:X280),-3)</f>
        <v>320000</v>
      </c>
      <c r="Y271" s="141" t="s">
        <v>56</v>
      </c>
      <c r="Z271" s="6"/>
    </row>
    <row r="272" spans="1:47" s="11" customFormat="1" ht="19.5" customHeight="1">
      <c r="A272" s="60"/>
      <c r="B272" s="88"/>
      <c r="C272" s="46" t="s">
        <v>169</v>
      </c>
      <c r="D272" s="46" t="s">
        <v>350</v>
      </c>
      <c r="E272" s="48"/>
      <c r="F272" s="48"/>
      <c r="G272" s="49"/>
      <c r="H272" s="68"/>
      <c r="I272" s="65" t="s">
        <v>349</v>
      </c>
      <c r="J272" s="296"/>
      <c r="K272" s="295"/>
      <c r="L272" s="295"/>
      <c r="M272" s="295"/>
      <c r="N272" s="295"/>
      <c r="O272" s="295"/>
      <c r="P272" s="295"/>
      <c r="Q272" s="54"/>
      <c r="R272" s="54"/>
      <c r="S272" s="54"/>
      <c r="T272" s="295"/>
      <c r="U272" s="295"/>
      <c r="V272" s="295"/>
      <c r="W272" s="66"/>
      <c r="X272" s="66">
        <v>200000</v>
      </c>
      <c r="Y272" s="57" t="s">
        <v>56</v>
      </c>
      <c r="Z272" s="6"/>
    </row>
    <row r="273" spans="1:26" s="11" customFormat="1" ht="19.5" customHeight="1">
      <c r="A273" s="60"/>
      <c r="B273" s="88"/>
      <c r="C273" s="46"/>
      <c r="D273" s="46"/>
      <c r="E273" s="48"/>
      <c r="F273" s="48"/>
      <c r="G273" s="49"/>
      <c r="H273" s="68"/>
      <c r="I273" s="65" t="s">
        <v>348</v>
      </c>
      <c r="J273" s="296"/>
      <c r="K273" s="295"/>
      <c r="L273" s="295"/>
      <c r="M273" s="295"/>
      <c r="N273" s="295"/>
      <c r="O273" s="295"/>
      <c r="P273" s="295"/>
      <c r="Q273" s="54"/>
      <c r="R273" s="54"/>
      <c r="S273" s="54"/>
      <c r="T273" s="295"/>
      <c r="U273" s="295"/>
      <c r="V273" s="295"/>
      <c r="W273" s="66"/>
      <c r="X273" s="66">
        <v>5000</v>
      </c>
      <c r="Y273" s="57" t="s">
        <v>56</v>
      </c>
      <c r="Z273" s="6"/>
    </row>
    <row r="274" spans="1:26" s="11" customFormat="1" ht="19.5" customHeight="1">
      <c r="A274" s="60"/>
      <c r="B274" s="88"/>
      <c r="C274" s="46"/>
      <c r="D274" s="46"/>
      <c r="E274" s="48"/>
      <c r="F274" s="48"/>
      <c r="G274" s="49"/>
      <c r="H274" s="68"/>
      <c r="I274" s="65" t="s">
        <v>347</v>
      </c>
      <c r="J274" s="296"/>
      <c r="K274" s="295"/>
      <c r="L274" s="295"/>
      <c r="M274" s="295"/>
      <c r="N274" s="295"/>
      <c r="O274" s="295"/>
      <c r="P274" s="295"/>
      <c r="Q274" s="54"/>
      <c r="R274" s="54"/>
      <c r="S274" s="54"/>
      <c r="T274" s="295"/>
      <c r="U274" s="295"/>
      <c r="V274" s="295"/>
      <c r="W274" s="66"/>
      <c r="X274" s="66">
        <v>5000</v>
      </c>
      <c r="Y274" s="57" t="s">
        <v>56</v>
      </c>
      <c r="Z274" s="6"/>
    </row>
    <row r="275" spans="1:26" s="11" customFormat="1" ht="19.5" customHeight="1">
      <c r="A275" s="60"/>
      <c r="B275" s="88"/>
      <c r="C275" s="46"/>
      <c r="D275" s="46"/>
      <c r="E275" s="48"/>
      <c r="F275" s="48"/>
      <c r="G275" s="49"/>
      <c r="H275" s="68"/>
      <c r="I275" s="65" t="s">
        <v>346</v>
      </c>
      <c r="J275" s="296"/>
      <c r="K275" s="295"/>
      <c r="L275" s="295"/>
      <c r="M275" s="295"/>
      <c r="N275" s="295"/>
      <c r="O275" s="295"/>
      <c r="P275" s="295"/>
      <c r="Q275" s="54"/>
      <c r="R275" s="54"/>
      <c r="S275" s="54"/>
      <c r="T275" s="295"/>
      <c r="U275" s="295"/>
      <c r="V275" s="295"/>
      <c r="W275" s="66"/>
      <c r="X275" s="66">
        <v>25000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345</v>
      </c>
      <c r="J276" s="296"/>
      <c r="K276" s="295"/>
      <c r="L276" s="295"/>
      <c r="M276" s="295"/>
      <c r="N276" s="295"/>
      <c r="O276" s="295"/>
      <c r="P276" s="295"/>
      <c r="Q276" s="54"/>
      <c r="R276" s="54"/>
      <c r="S276" s="54"/>
      <c r="T276" s="295"/>
      <c r="U276" s="295"/>
      <c r="V276" s="295"/>
      <c r="W276" s="66"/>
      <c r="X276" s="66">
        <v>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195</v>
      </c>
      <c r="J277" s="296"/>
      <c r="K277" s="295"/>
      <c r="L277" s="295"/>
      <c r="M277" s="295"/>
      <c r="N277" s="295"/>
      <c r="O277" s="295"/>
      <c r="P277" s="295"/>
      <c r="Q277" s="54"/>
      <c r="R277" s="54"/>
      <c r="S277" s="54"/>
      <c r="T277" s="295"/>
      <c r="U277" s="295"/>
      <c r="V277" s="295"/>
      <c r="W277" s="66"/>
      <c r="X277" s="66">
        <v>25000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344</v>
      </c>
      <c r="J278" s="296"/>
      <c r="K278" s="295"/>
      <c r="L278" s="295"/>
      <c r="M278" s="295"/>
      <c r="N278" s="295"/>
      <c r="O278" s="295"/>
      <c r="P278" s="295"/>
      <c r="Q278" s="54"/>
      <c r="R278" s="54"/>
      <c r="S278" s="54"/>
      <c r="T278" s="295"/>
      <c r="U278" s="295"/>
      <c r="V278" s="295"/>
      <c r="W278" s="66"/>
      <c r="X278" s="66">
        <v>40000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197</v>
      </c>
      <c r="J279" s="296"/>
      <c r="K279" s="295"/>
      <c r="L279" s="295"/>
      <c r="M279" s="295"/>
      <c r="N279" s="295"/>
      <c r="O279" s="295"/>
      <c r="P279" s="295"/>
      <c r="Q279" s="54"/>
      <c r="R279" s="54"/>
      <c r="S279" s="54"/>
      <c r="T279" s="295"/>
      <c r="U279" s="295"/>
      <c r="V279" s="295"/>
      <c r="W279" s="66"/>
      <c r="X279" s="66">
        <v>5000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198</v>
      </c>
      <c r="J280" s="296"/>
      <c r="K280" s="295"/>
      <c r="L280" s="295"/>
      <c r="M280" s="295"/>
      <c r="N280" s="295"/>
      <c r="O280" s="295"/>
      <c r="P280" s="295"/>
      <c r="Q280" s="54"/>
      <c r="R280" s="54"/>
      <c r="S280" s="54"/>
      <c r="T280" s="295"/>
      <c r="U280" s="295"/>
      <c r="V280" s="295"/>
      <c r="W280" s="66"/>
      <c r="X280" s="66">
        <v>10000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/>
      <c r="J281" s="296"/>
      <c r="K281" s="295"/>
      <c r="L281" s="295"/>
      <c r="M281" s="295"/>
      <c r="N281" s="295"/>
      <c r="O281" s="295"/>
      <c r="P281" s="295"/>
      <c r="Q281" s="54"/>
      <c r="R281" s="54"/>
      <c r="S281" s="54"/>
      <c r="T281" s="295"/>
      <c r="U281" s="295"/>
      <c r="V281" s="295"/>
      <c r="W281" s="66"/>
      <c r="X281" s="66"/>
      <c r="Y281" s="57"/>
      <c r="Z281" s="6"/>
    </row>
    <row r="282" spans="1:26" s="11" customFormat="1" ht="19.5" customHeight="1">
      <c r="A282" s="60"/>
      <c r="B282" s="88"/>
      <c r="C282" s="36" t="s">
        <v>170</v>
      </c>
      <c r="D282" s="458" t="s">
        <v>141</v>
      </c>
      <c r="E282" s="219">
        <f>SUM(E283,E289)</f>
        <v>54800</v>
      </c>
      <c r="F282" s="219">
        <f>SUM(F283,F289)</f>
        <v>55374</v>
      </c>
      <c r="G282" s="220">
        <f>F282-E282</f>
        <v>574</v>
      </c>
      <c r="H282" s="221">
        <f>IF(E282=0,0,G282/E282)</f>
        <v>1.0474452554744525E-2</v>
      </c>
      <c r="I282" s="204" t="s">
        <v>186</v>
      </c>
      <c r="J282" s="205"/>
      <c r="K282" s="206"/>
      <c r="L282" s="206"/>
      <c r="M282" s="206"/>
      <c r="N282" s="206"/>
      <c r="O282" s="206"/>
      <c r="P282" s="207"/>
      <c r="Q282" s="207"/>
      <c r="R282" s="207"/>
      <c r="S282" s="207"/>
      <c r="T282" s="207"/>
      <c r="U282" s="207"/>
      <c r="V282" s="234" t="s">
        <v>64</v>
      </c>
      <c r="W282" s="235"/>
      <c r="X282" s="235">
        <f>SUM(X283,X289)</f>
        <v>55374000</v>
      </c>
      <c r="Y282" s="267" t="s">
        <v>56</v>
      </c>
      <c r="Z282" s="6"/>
    </row>
    <row r="283" spans="1:26" s="11" customFormat="1" ht="19.5" customHeight="1">
      <c r="A283" s="60"/>
      <c r="B283" s="88"/>
      <c r="C283" s="46" t="s">
        <v>60</v>
      </c>
      <c r="D283" s="46" t="s">
        <v>737</v>
      </c>
      <c r="E283" s="48">
        <v>52800</v>
      </c>
      <c r="F283" s="48">
        <f>ROUND(X283/1000,0)</f>
        <v>52800</v>
      </c>
      <c r="G283" s="38">
        <f>F283-E283</f>
        <v>0</v>
      </c>
      <c r="H283" s="39">
        <f>IF(E283=0,0,G283/E283)</f>
        <v>0</v>
      </c>
      <c r="I283" s="138" t="s">
        <v>186</v>
      </c>
      <c r="J283" s="157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719"/>
      <c r="W283" s="719"/>
      <c r="X283" s="140">
        <f>ROUNDUP(SUM(W284:X288),-3)</f>
        <v>52800000</v>
      </c>
      <c r="Y283" s="141" t="s">
        <v>56</v>
      </c>
      <c r="Z283" s="6"/>
    </row>
    <row r="284" spans="1:26" s="11" customFormat="1" ht="19.5" customHeight="1">
      <c r="A284" s="60"/>
      <c r="B284" s="88"/>
      <c r="C284" s="46"/>
      <c r="D284" s="46"/>
      <c r="E284" s="48"/>
      <c r="F284" s="48"/>
      <c r="G284" s="49"/>
      <c r="H284" s="31"/>
      <c r="I284" s="285" t="s">
        <v>638</v>
      </c>
      <c r="J284" s="583"/>
      <c r="K284" s="583"/>
      <c r="L284" s="583"/>
      <c r="M284" s="583">
        <v>60000</v>
      </c>
      <c r="N284" s="583" t="s">
        <v>637</v>
      </c>
      <c r="O284" s="584" t="s">
        <v>639</v>
      </c>
      <c r="P284" s="583">
        <v>39</v>
      </c>
      <c r="Q284" s="584" t="s">
        <v>640</v>
      </c>
      <c r="R284" s="584" t="s">
        <v>639</v>
      </c>
      <c r="S284" s="583">
        <v>12</v>
      </c>
      <c r="T284" s="583" t="s">
        <v>641</v>
      </c>
      <c r="U284" s="560" t="s">
        <v>642</v>
      </c>
      <c r="V284" s="560"/>
      <c r="W284" s="584"/>
      <c r="X284" s="583">
        <f>ROUND(M284*P284*S284,-3)</f>
        <v>28080000</v>
      </c>
      <c r="Y284" s="131" t="s">
        <v>637</v>
      </c>
      <c r="Z284" s="6"/>
    </row>
    <row r="285" spans="1:26" s="11" customFormat="1" ht="19.5" customHeight="1">
      <c r="A285" s="60"/>
      <c r="B285" s="88"/>
      <c r="C285" s="46"/>
      <c r="D285" s="46"/>
      <c r="E285" s="48"/>
      <c r="F285" s="48"/>
      <c r="G285" s="49"/>
      <c r="H285" s="31"/>
      <c r="I285" s="285"/>
      <c r="J285" s="583"/>
      <c r="K285" s="583"/>
      <c r="L285" s="583"/>
      <c r="M285" s="583"/>
      <c r="N285" s="583"/>
      <c r="O285" s="584"/>
      <c r="P285" s="583"/>
      <c r="Q285" s="584"/>
      <c r="R285" s="584"/>
      <c r="S285" s="583"/>
      <c r="T285" s="583"/>
      <c r="U285" s="560"/>
      <c r="V285" s="560"/>
      <c r="W285" s="584"/>
      <c r="X285" s="583"/>
      <c r="Y285" s="131"/>
      <c r="Z285" s="6"/>
    </row>
    <row r="286" spans="1:26" s="11" customFormat="1" ht="19.5" customHeight="1">
      <c r="A286" s="60"/>
      <c r="B286" s="88"/>
      <c r="C286" s="46"/>
      <c r="D286" s="46"/>
      <c r="E286" s="48"/>
      <c r="F286" s="48"/>
      <c r="G286" s="49"/>
      <c r="H286" s="31"/>
      <c r="I286" s="285" t="s">
        <v>643</v>
      </c>
      <c r="J286" s="583"/>
      <c r="K286" s="583"/>
      <c r="L286" s="583"/>
      <c r="M286" s="583">
        <v>60000</v>
      </c>
      <c r="N286" s="583" t="s">
        <v>637</v>
      </c>
      <c r="O286" s="584" t="s">
        <v>639</v>
      </c>
      <c r="P286" s="583">
        <v>10</v>
      </c>
      <c r="Q286" s="586" t="s">
        <v>55</v>
      </c>
      <c r="R286" s="584" t="s">
        <v>639</v>
      </c>
      <c r="S286" s="583">
        <v>12</v>
      </c>
      <c r="T286" s="586" t="s">
        <v>646</v>
      </c>
      <c r="U286" s="560" t="s">
        <v>642</v>
      </c>
      <c r="V286" s="560"/>
      <c r="W286" s="584"/>
      <c r="X286" s="586">
        <f>ROUND(M286*P286*S286,-3)</f>
        <v>7200000</v>
      </c>
      <c r="Y286" s="131" t="s">
        <v>637</v>
      </c>
      <c r="Z286" s="6"/>
    </row>
    <row r="287" spans="1:26" s="11" customFormat="1" ht="19.5" customHeight="1">
      <c r="A287" s="60"/>
      <c r="B287" s="88"/>
      <c r="C287" s="46"/>
      <c r="D287" s="46"/>
      <c r="E287" s="48"/>
      <c r="F287" s="48"/>
      <c r="G287" s="49"/>
      <c r="H287" s="31"/>
      <c r="I287" s="285"/>
      <c r="J287" s="583"/>
      <c r="K287" s="583"/>
      <c r="L287" s="583"/>
      <c r="M287" s="583">
        <v>60000</v>
      </c>
      <c r="N287" s="583" t="s">
        <v>637</v>
      </c>
      <c r="O287" s="584" t="s">
        <v>639</v>
      </c>
      <c r="P287" s="583">
        <v>21</v>
      </c>
      <c r="Q287" s="584" t="s">
        <v>640</v>
      </c>
      <c r="R287" s="584" t="s">
        <v>639</v>
      </c>
      <c r="S287" s="583">
        <v>12</v>
      </c>
      <c r="T287" s="583" t="s">
        <v>641</v>
      </c>
      <c r="U287" s="560" t="s">
        <v>642</v>
      </c>
      <c r="V287" s="560"/>
      <c r="W287" s="584"/>
      <c r="X287" s="583">
        <f>ROUND(M287*P287*S287,-3)</f>
        <v>15120000</v>
      </c>
      <c r="Y287" s="131" t="s">
        <v>637</v>
      </c>
      <c r="Z287" s="6"/>
    </row>
    <row r="288" spans="1:26" s="11" customFormat="1" ht="19.5" customHeight="1">
      <c r="A288" s="60"/>
      <c r="B288" s="88"/>
      <c r="C288" s="46"/>
      <c r="D288" s="59"/>
      <c r="E288" s="61"/>
      <c r="F288" s="61"/>
      <c r="G288" s="49"/>
      <c r="H288" s="31"/>
      <c r="I288" s="65" t="s">
        <v>343</v>
      </c>
      <c r="J288" s="295"/>
      <c r="K288" s="295"/>
      <c r="L288" s="295"/>
      <c r="M288" s="295">
        <v>200000</v>
      </c>
      <c r="N288" s="295" t="s">
        <v>56</v>
      </c>
      <c r="O288" s="296" t="s">
        <v>57</v>
      </c>
      <c r="P288" s="295">
        <v>12</v>
      </c>
      <c r="Q288" s="296" t="s">
        <v>0</v>
      </c>
      <c r="R288" s="296"/>
      <c r="S288" s="295"/>
      <c r="T288" s="295"/>
      <c r="U288" s="456" t="s">
        <v>53</v>
      </c>
      <c r="V288" s="456"/>
      <c r="W288" s="296"/>
      <c r="X288" s="295">
        <f>M288*P288</f>
        <v>2400000</v>
      </c>
      <c r="Y288" s="57" t="s">
        <v>56</v>
      </c>
      <c r="Z288" s="6"/>
    </row>
    <row r="289" spans="1:26" s="11" customFormat="1" ht="19.5" customHeight="1">
      <c r="A289" s="60"/>
      <c r="B289" s="88"/>
      <c r="C289" s="46"/>
      <c r="D289" s="612" t="s">
        <v>789</v>
      </c>
      <c r="E289" s="512">
        <v>2000</v>
      </c>
      <c r="F289" s="512">
        <f>ROUND(X289/1000,0)</f>
        <v>2574</v>
      </c>
      <c r="G289" s="647">
        <f>F289-E289</f>
        <v>574</v>
      </c>
      <c r="H289" s="648">
        <f>IF(E289=0,0,G289/E289)</f>
        <v>0.28699999999999998</v>
      </c>
      <c r="I289" s="287" t="s">
        <v>790</v>
      </c>
      <c r="J289" s="309"/>
      <c r="K289" s="293"/>
      <c r="L289" s="293"/>
      <c r="M289" s="293"/>
      <c r="N289" s="293"/>
      <c r="O289" s="293"/>
      <c r="P289" s="293"/>
      <c r="Q289" s="293"/>
      <c r="R289" s="293"/>
      <c r="S289" s="293"/>
      <c r="T289" s="293"/>
      <c r="U289" s="293"/>
      <c r="V289" s="718"/>
      <c r="W289" s="718"/>
      <c r="X289" s="450">
        <f>ROUNDUP(SUM(W290:X299),-3)</f>
        <v>2574000</v>
      </c>
      <c r="Y289" s="451" t="s">
        <v>787</v>
      </c>
      <c r="Z289" s="6"/>
    </row>
    <row r="290" spans="1:26" s="11" customFormat="1" ht="19.5" customHeight="1">
      <c r="A290" s="60"/>
      <c r="B290" s="88"/>
      <c r="C290" s="46"/>
      <c r="D290" s="612"/>
      <c r="E290" s="512"/>
      <c r="F290" s="512"/>
      <c r="G290" s="645"/>
      <c r="H290" s="646"/>
      <c r="I290" s="285" t="s">
        <v>791</v>
      </c>
      <c r="J290" s="640"/>
      <c r="K290" s="640"/>
      <c r="L290" s="640"/>
      <c r="M290" s="640">
        <v>100000</v>
      </c>
      <c r="N290" s="640" t="s">
        <v>787</v>
      </c>
      <c r="O290" s="641" t="s">
        <v>792</v>
      </c>
      <c r="P290" s="640">
        <v>20</v>
      </c>
      <c r="Q290" s="641" t="s">
        <v>793</v>
      </c>
      <c r="R290" s="641"/>
      <c r="S290" s="640"/>
      <c r="T290" s="640"/>
      <c r="U290" s="638" t="s">
        <v>794</v>
      </c>
      <c r="V290" s="638"/>
      <c r="W290" s="641"/>
      <c r="X290" s="640">
        <f>ROUND(M290*P290,-3)</f>
        <v>2000000</v>
      </c>
      <c r="Y290" s="131" t="s">
        <v>787</v>
      </c>
      <c r="Z290" s="6"/>
    </row>
    <row r="291" spans="1:26" s="11" customFormat="1" ht="19.5" customHeight="1">
      <c r="A291" s="60"/>
      <c r="B291" s="88"/>
      <c r="C291" s="46"/>
      <c r="D291" s="612"/>
      <c r="E291" s="512"/>
      <c r="F291" s="512"/>
      <c r="G291" s="645"/>
      <c r="H291" s="646"/>
      <c r="I291" s="618" t="s">
        <v>842</v>
      </c>
      <c r="J291" s="378"/>
      <c r="K291" s="378"/>
      <c r="L291" s="378"/>
      <c r="M291" s="378"/>
      <c r="N291" s="378"/>
      <c r="O291" s="436"/>
      <c r="P291" s="378"/>
      <c r="Q291" s="436"/>
      <c r="R291" s="436"/>
      <c r="S291" s="378"/>
      <c r="T291" s="378"/>
      <c r="U291" s="532"/>
      <c r="V291" s="532"/>
      <c r="W291" s="436"/>
      <c r="X291" s="378">
        <v>360000</v>
      </c>
      <c r="Y291" s="619" t="s">
        <v>843</v>
      </c>
      <c r="Z291" s="6"/>
    </row>
    <row r="292" spans="1:26" s="11" customFormat="1" ht="19.5" customHeight="1" thickBot="1">
      <c r="A292" s="98"/>
      <c r="B292" s="99"/>
      <c r="C292" s="99"/>
      <c r="D292" s="649"/>
      <c r="E292" s="650"/>
      <c r="F292" s="650"/>
      <c r="G292" s="651"/>
      <c r="H292" s="652"/>
      <c r="I292" s="669" t="s">
        <v>838</v>
      </c>
      <c r="J292" s="670"/>
      <c r="K292" s="670"/>
      <c r="L292" s="670"/>
      <c r="M292" s="670"/>
      <c r="N292" s="670"/>
      <c r="O292" s="671"/>
      <c r="P292" s="670"/>
      <c r="Q292" s="671"/>
      <c r="R292" s="671"/>
      <c r="S292" s="670"/>
      <c r="T292" s="670"/>
      <c r="U292" s="672"/>
      <c r="V292" s="672"/>
      <c r="W292" s="671"/>
      <c r="X292" s="670">
        <v>214000</v>
      </c>
      <c r="Y292" s="673" t="s">
        <v>813</v>
      </c>
      <c r="Z292" s="6"/>
    </row>
    <row r="303" spans="1:26" ht="19.5" customHeight="1">
      <c r="Z303" s="6" t="s">
        <v>61</v>
      </c>
    </row>
  </sheetData>
  <mergeCells count="46"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  <mergeCell ref="C239:D239"/>
    <mergeCell ref="V244:W244"/>
    <mergeCell ref="C264:D264"/>
    <mergeCell ref="V266:W266"/>
    <mergeCell ref="F2:F3"/>
    <mergeCell ref="C12:D12"/>
    <mergeCell ref="C171:D171"/>
    <mergeCell ref="C191:D191"/>
    <mergeCell ref="V193:W193"/>
    <mergeCell ref="C198:D198"/>
    <mergeCell ref="V146:W146"/>
    <mergeCell ref="V147:W147"/>
    <mergeCell ref="V148:W148"/>
    <mergeCell ref="V128:W128"/>
    <mergeCell ref="V129:W129"/>
    <mergeCell ref="V52:W52"/>
    <mergeCell ref="V53:W53"/>
    <mergeCell ref="V283:W283"/>
    <mergeCell ref="V182:W182"/>
    <mergeCell ref="V116:W116"/>
    <mergeCell ref="V117:W117"/>
    <mergeCell ref="V64:W64"/>
    <mergeCell ref="V65:W65"/>
    <mergeCell ref="V85:W85"/>
    <mergeCell ref="V86:W86"/>
    <mergeCell ref="V87:W87"/>
    <mergeCell ref="V271:W271"/>
    <mergeCell ref="V187:W187"/>
    <mergeCell ref="V233:W233"/>
    <mergeCell ref="V115:W115"/>
    <mergeCell ref="V247:W247"/>
    <mergeCell ref="V289:W289"/>
    <mergeCell ref="V251:W251"/>
    <mergeCell ref="V173:W173"/>
    <mergeCell ref="V200:W200"/>
    <mergeCell ref="V241:W241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75"/>
  <sheetViews>
    <sheetView tabSelected="1" zoomScale="85" zoomScaleNormal="85" workbookViewId="0">
      <pane xSplit="3" ySplit="5" topLeftCell="D99" activePane="bottomRight" state="frozen"/>
      <selection pane="topRight" activeCell="D1" sqref="D1"/>
      <selection pane="bottomLeft" activeCell="A6" sqref="A6"/>
      <selection pane="bottomRight" activeCell="F122" sqref="F122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26" t="s">
        <v>803</v>
      </c>
      <c r="B1" s="726"/>
      <c r="C1" s="726"/>
      <c r="D1" s="726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727" t="s">
        <v>22</v>
      </c>
      <c r="B2" s="728"/>
      <c r="C2" s="728"/>
      <c r="D2" s="724" t="s">
        <v>801</v>
      </c>
      <c r="E2" s="755" t="s">
        <v>804</v>
      </c>
      <c r="F2" s="756"/>
      <c r="G2" s="756"/>
      <c r="H2" s="756"/>
      <c r="I2" s="756"/>
      <c r="J2" s="756"/>
      <c r="K2" s="756"/>
      <c r="L2" s="757"/>
      <c r="M2" s="732" t="s">
        <v>23</v>
      </c>
      <c r="N2" s="732"/>
      <c r="O2" s="740" t="s">
        <v>54</v>
      </c>
      <c r="P2" s="741"/>
      <c r="Q2" s="741"/>
      <c r="R2" s="741"/>
      <c r="S2" s="741"/>
      <c r="T2" s="741"/>
      <c r="U2" s="741"/>
      <c r="V2" s="741"/>
      <c r="W2" s="741"/>
      <c r="X2" s="741"/>
      <c r="Y2" s="741"/>
      <c r="Z2" s="741"/>
      <c r="AA2" s="741"/>
      <c r="AB2" s="741"/>
      <c r="AC2" s="741"/>
      <c r="AD2" s="741"/>
      <c r="AE2" s="74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25"/>
      <c r="E3" s="144" t="s">
        <v>123</v>
      </c>
      <c r="F3" s="175" t="s">
        <v>153</v>
      </c>
      <c r="G3" s="175" t="s">
        <v>154</v>
      </c>
      <c r="H3" s="144" t="s">
        <v>121</v>
      </c>
      <c r="I3" s="144" t="s">
        <v>59</v>
      </c>
      <c r="J3" s="144" t="s">
        <v>119</v>
      </c>
      <c r="K3" s="144" t="s">
        <v>122</v>
      </c>
      <c r="L3" s="144" t="s">
        <v>60</v>
      </c>
      <c r="M3" s="143" t="s">
        <v>124</v>
      </c>
      <c r="N3" s="102" t="s">
        <v>4</v>
      </c>
      <c r="O3" s="743"/>
      <c r="P3" s="744"/>
      <c r="Q3" s="744"/>
      <c r="R3" s="744"/>
      <c r="S3" s="744"/>
      <c r="T3" s="744"/>
      <c r="U3" s="744"/>
      <c r="V3" s="744"/>
      <c r="W3" s="744"/>
      <c r="X3" s="744"/>
      <c r="Y3" s="744"/>
      <c r="Z3" s="744"/>
      <c r="AA3" s="744"/>
      <c r="AB3" s="744"/>
      <c r="AC3" s="744"/>
      <c r="AD3" s="744"/>
      <c r="AE3" s="745"/>
    </row>
    <row r="4" spans="1:32" s="11" customFormat="1" ht="21" customHeight="1">
      <c r="A4" s="753" t="s">
        <v>31</v>
      </c>
      <c r="B4" s="754"/>
      <c r="C4" s="754"/>
      <c r="D4" s="313">
        <f t="shared" ref="D4:L4" si="0">SUM(D5,D168,D196,D346,D359,D362)</f>
        <v>2403302</v>
      </c>
      <c r="E4" s="313">
        <f t="shared" si="0"/>
        <v>2394934</v>
      </c>
      <c r="F4" s="313">
        <f t="shared" si="0"/>
        <v>1788249</v>
      </c>
      <c r="G4" s="313">
        <f t="shared" si="0"/>
        <v>162336</v>
      </c>
      <c r="H4" s="313">
        <f t="shared" si="0"/>
        <v>21351</v>
      </c>
      <c r="I4" s="313">
        <f t="shared" si="0"/>
        <v>182056</v>
      </c>
      <c r="J4" s="313">
        <f t="shared" si="0"/>
        <v>128389</v>
      </c>
      <c r="K4" s="313">
        <f t="shared" si="0"/>
        <v>43693</v>
      </c>
      <c r="L4" s="313">
        <f t="shared" si="0"/>
        <v>68860</v>
      </c>
      <c r="M4" s="314">
        <f>E4-D4</f>
        <v>-8368</v>
      </c>
      <c r="N4" s="315">
        <f>IF(D4=0,0,M4/D4)</f>
        <v>-3.4818761853483249E-3</v>
      </c>
      <c r="O4" s="316" t="s">
        <v>216</v>
      </c>
      <c r="P4" s="317"/>
      <c r="Q4" s="317"/>
      <c r="R4" s="317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>
        <f>SUM(AD5,AD168,AD196,AD346,AD359,AD362)</f>
        <v>2394934000</v>
      </c>
      <c r="AE4" s="319" t="s">
        <v>25</v>
      </c>
      <c r="AF4" s="2"/>
    </row>
    <row r="5" spans="1:32" s="11" customFormat="1" ht="21" customHeight="1">
      <c r="A5" s="106" t="s">
        <v>6</v>
      </c>
      <c r="B5" s="751" t="s">
        <v>7</v>
      </c>
      <c r="C5" s="752"/>
      <c r="D5" s="320">
        <f t="shared" ref="D5:L5" si="1">SUM(D6,D77,D87)</f>
        <v>1876750</v>
      </c>
      <c r="E5" s="320">
        <f t="shared" si="1"/>
        <v>1890260</v>
      </c>
      <c r="F5" s="320">
        <f t="shared" si="1"/>
        <v>1686503</v>
      </c>
      <c r="G5" s="320">
        <f t="shared" si="1"/>
        <v>139706</v>
      </c>
      <c r="H5" s="320">
        <f t="shared" si="1"/>
        <v>0</v>
      </c>
      <c r="I5" s="320">
        <f t="shared" si="1"/>
        <v>31918</v>
      </c>
      <c r="J5" s="320">
        <f t="shared" si="1"/>
        <v>0</v>
      </c>
      <c r="K5" s="320">
        <f t="shared" si="1"/>
        <v>23607</v>
      </c>
      <c r="L5" s="320">
        <f t="shared" si="1"/>
        <v>8526</v>
      </c>
      <c r="M5" s="321">
        <f>E5-D5</f>
        <v>13510</v>
      </c>
      <c r="N5" s="322">
        <f>IF(D5=0,0,M5/D5)</f>
        <v>7.198614626348741E-3</v>
      </c>
      <c r="O5" s="323" t="s">
        <v>217</v>
      </c>
      <c r="P5" s="323"/>
      <c r="Q5" s="323"/>
      <c r="R5" s="323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>
        <f>SUM(AD6,AD77,AD87)</f>
        <v>1890260000</v>
      </c>
      <c r="AE5" s="325" t="s">
        <v>25</v>
      </c>
      <c r="AF5" s="2"/>
    </row>
    <row r="6" spans="1:32" s="11" customFormat="1" ht="21" customHeight="1">
      <c r="A6" s="45"/>
      <c r="B6" s="36" t="s">
        <v>8</v>
      </c>
      <c r="C6" s="326" t="s">
        <v>5</v>
      </c>
      <c r="D6" s="435">
        <f t="shared" ref="D6:L6" si="2">SUM(D7,D13,D18,D32,D40,D62)</f>
        <v>1783850</v>
      </c>
      <c r="E6" s="327">
        <f t="shared" si="2"/>
        <v>1785362</v>
      </c>
      <c r="F6" s="327">
        <f t="shared" si="2"/>
        <v>1628321</v>
      </c>
      <c r="G6" s="327">
        <f t="shared" si="2"/>
        <v>136106</v>
      </c>
      <c r="H6" s="327">
        <f t="shared" si="2"/>
        <v>0</v>
      </c>
      <c r="I6" s="327">
        <f t="shared" si="2"/>
        <v>5356</v>
      </c>
      <c r="J6" s="327">
        <f t="shared" si="2"/>
        <v>0</v>
      </c>
      <c r="K6" s="327">
        <f t="shared" si="2"/>
        <v>12239</v>
      </c>
      <c r="L6" s="327">
        <f t="shared" si="2"/>
        <v>3340</v>
      </c>
      <c r="M6" s="328">
        <f>E6-D6</f>
        <v>1512</v>
      </c>
      <c r="N6" s="329">
        <f>IF(D6=0,0,M6/D6)</f>
        <v>8.4760489951509377E-4</v>
      </c>
      <c r="O6" s="330" t="s">
        <v>218</v>
      </c>
      <c r="P6" s="330"/>
      <c r="Q6" s="330"/>
      <c r="R6" s="330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>
        <f>SUM(AD7,AD13,AD18,AD32,AD40,AD62)</f>
        <v>1785362000</v>
      </c>
      <c r="AE6" s="332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1093611</v>
      </c>
      <c r="E7" s="108">
        <f>ROUND(AD7/1000,0)</f>
        <v>1093611</v>
      </c>
      <c r="F7" s="108">
        <f>SUMIF($AB$8:$AB$12,"보조",$AD$8:$AD$12)/1000</f>
        <v>1025040</v>
      </c>
      <c r="G7" s="108">
        <f>SUMIF($AB$8:$AB$12,"7종",$AD$8:$AD$12)/1000</f>
        <v>68571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0</v>
      </c>
      <c r="N7" s="283">
        <f>IF(D7=0,0,M7/D7)</f>
        <v>0</v>
      </c>
      <c r="O7" s="110" t="s">
        <v>68</v>
      </c>
      <c r="P7" s="110"/>
      <c r="Q7" s="150"/>
      <c r="R7" s="150"/>
      <c r="S7" s="150"/>
      <c r="T7" s="149"/>
      <c r="U7" s="149"/>
      <c r="V7" s="149"/>
      <c r="W7" s="97" t="s">
        <v>125</v>
      </c>
      <c r="X7" s="97"/>
      <c r="Y7" s="97"/>
      <c r="Z7" s="97"/>
      <c r="AA7" s="97"/>
      <c r="AB7" s="97"/>
      <c r="AC7" s="112"/>
      <c r="AD7" s="112">
        <f>SUM(기본급,기본급7종)</f>
        <v>1093611000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375" t="s">
        <v>574</v>
      </c>
      <c r="P9" s="375"/>
      <c r="Q9" s="375"/>
      <c r="R9" s="375"/>
      <c r="S9" s="279"/>
      <c r="T9" s="277"/>
      <c r="U9" s="277"/>
      <c r="V9" s="277"/>
      <c r="W9" s="358" t="s">
        <v>226</v>
      </c>
      <c r="X9" s="358"/>
      <c r="Y9" s="358"/>
      <c r="Z9" s="358"/>
      <c r="AA9" s="358"/>
      <c r="AB9" s="358" t="s">
        <v>558</v>
      </c>
      <c r="AC9" s="359"/>
      <c r="AD9" s="359">
        <v>1025040000</v>
      </c>
      <c r="AE9" s="360" t="s">
        <v>220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379"/>
      <c r="P10" s="379"/>
      <c r="Q10" s="379"/>
      <c r="R10" s="379"/>
      <c r="S10" s="277"/>
      <c r="T10" s="339"/>
      <c r="U10" s="277"/>
      <c r="V10" s="277"/>
      <c r="W10" s="339"/>
      <c r="X10" s="277"/>
      <c r="Y10" s="277"/>
      <c r="Z10" s="277"/>
      <c r="AA10" s="277"/>
      <c r="AB10" s="277"/>
      <c r="AC10" s="277"/>
      <c r="AD10" s="277"/>
      <c r="AE10" s="303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375" t="s">
        <v>227</v>
      </c>
      <c r="P11" s="375"/>
      <c r="Q11" s="375"/>
      <c r="R11" s="375"/>
      <c r="S11" s="279"/>
      <c r="T11" s="277"/>
      <c r="U11" s="277"/>
      <c r="V11" s="277"/>
      <c r="W11" s="358" t="s">
        <v>226</v>
      </c>
      <c r="X11" s="358"/>
      <c r="Y11" s="358"/>
      <c r="Z11" s="358"/>
      <c r="AA11" s="358"/>
      <c r="AB11" s="358" t="s">
        <v>559</v>
      </c>
      <c r="AC11" s="359"/>
      <c r="AD11" s="359">
        <v>68571000</v>
      </c>
      <c r="AE11" s="360" t="s">
        <v>220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67</v>
      </c>
      <c r="D13" s="153">
        <v>0</v>
      </c>
      <c r="E13" s="108">
        <f>ROUND(AD13/1000,0)</f>
        <v>640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640</v>
      </c>
      <c r="L13" s="108">
        <f>SUMIF($AB$14:$AB$17,"잡수",$AD$14:$AD$17)/1000</f>
        <v>0</v>
      </c>
      <c r="M13" s="117">
        <f>E13-D13</f>
        <v>640</v>
      </c>
      <c r="N13" s="115">
        <f>IF(D13=0,0,M13/D13)</f>
        <v>0</v>
      </c>
      <c r="O13" s="95" t="s">
        <v>70</v>
      </c>
      <c r="P13" s="168"/>
      <c r="Q13" s="91"/>
      <c r="R13" s="91"/>
      <c r="S13" s="91"/>
      <c r="T13" s="87"/>
      <c r="U13" s="87"/>
      <c r="V13" s="149"/>
      <c r="W13" s="97" t="s">
        <v>125</v>
      </c>
      <c r="X13" s="97"/>
      <c r="Y13" s="97"/>
      <c r="Z13" s="97"/>
      <c r="AA13" s="97"/>
      <c r="AB13" s="97"/>
      <c r="AC13" s="112"/>
      <c r="AD13" s="112">
        <f>SUM(AD15:AD16)</f>
        <v>640000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285" t="s">
        <v>204</v>
      </c>
      <c r="P15" s="296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298">
        <v>0</v>
      </c>
      <c r="Z15" s="89" t="s">
        <v>90</v>
      </c>
      <c r="AA15" s="89" t="s">
        <v>53</v>
      </c>
      <c r="AB15" s="295" t="s">
        <v>559</v>
      </c>
      <c r="AC15" s="66"/>
      <c r="AD15" s="129">
        <f>S15*V15*Y15</f>
        <v>0</v>
      </c>
      <c r="AE15" s="57" t="s">
        <v>69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436" t="s">
        <v>869</v>
      </c>
      <c r="P16" s="436"/>
      <c r="Q16" s="436"/>
      <c r="R16" s="436"/>
      <c r="S16" s="378">
        <v>80000</v>
      </c>
      <c r="T16" s="378" t="s">
        <v>843</v>
      </c>
      <c r="U16" s="436" t="s">
        <v>850</v>
      </c>
      <c r="V16" s="378">
        <v>1</v>
      </c>
      <c r="W16" s="378" t="s">
        <v>851</v>
      </c>
      <c r="X16" s="436" t="s">
        <v>850</v>
      </c>
      <c r="Y16" s="679">
        <v>8</v>
      </c>
      <c r="Z16" s="532" t="s">
        <v>852</v>
      </c>
      <c r="AA16" s="532" t="s">
        <v>853</v>
      </c>
      <c r="AB16" s="378" t="s">
        <v>854</v>
      </c>
      <c r="AC16" s="533"/>
      <c r="AD16" s="378">
        <f>S16*V16*Y16</f>
        <v>640000</v>
      </c>
      <c r="AE16" s="619" t="s">
        <v>843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400267</v>
      </c>
      <c r="E18" s="108">
        <f>ROUND(AD18/1000,0)</f>
        <v>400267</v>
      </c>
      <c r="F18" s="108">
        <f>SUMIF($AB$19:$AB$31,"보조",$AD$19:$AD$31)/1000</f>
        <v>355697</v>
      </c>
      <c r="G18" s="108">
        <f>SUMIF($AB$19:$AB$31,"7종",$AD$19:$AD$31)/1000</f>
        <v>44570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0</v>
      </c>
      <c r="N18" s="115">
        <f>IF(D18=0,0,M18/D18)</f>
        <v>0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125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400267000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375" t="s">
        <v>228</v>
      </c>
      <c r="P19" s="279"/>
      <c r="Q19" s="279"/>
      <c r="R19" s="279"/>
      <c r="S19" s="279"/>
      <c r="T19" s="277"/>
      <c r="U19" s="277"/>
      <c r="V19" s="277"/>
      <c r="W19" s="358" t="s">
        <v>226</v>
      </c>
      <c r="X19" s="358"/>
      <c r="Y19" s="358"/>
      <c r="Z19" s="358"/>
      <c r="AA19" s="358"/>
      <c r="AB19" s="358"/>
      <c r="AC19" s="359" t="s">
        <v>229</v>
      </c>
      <c r="AD19" s="359">
        <f>ROUND(SUM(AD20:AD21),-3)</f>
        <v>112556000</v>
      </c>
      <c r="AE19" s="360" t="s">
        <v>220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9" t="s">
        <v>575</v>
      </c>
      <c r="P20" s="279"/>
      <c r="Q20" s="279"/>
      <c r="R20" s="279"/>
      <c r="S20" s="279"/>
      <c r="T20" s="277"/>
      <c r="U20" s="277"/>
      <c r="V20" s="277"/>
      <c r="W20" s="277"/>
      <c r="X20" s="277"/>
      <c r="Y20" s="277"/>
      <c r="Z20" s="277"/>
      <c r="AA20" s="277"/>
      <c r="AB20" s="277" t="s">
        <v>558</v>
      </c>
      <c r="AC20" s="280"/>
      <c r="AD20" s="280">
        <v>105713000</v>
      </c>
      <c r="AE20" s="303" t="s">
        <v>220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9" t="s">
        <v>230</v>
      </c>
      <c r="P21" s="279"/>
      <c r="Q21" s="279"/>
      <c r="R21" s="279"/>
      <c r="S21" s="279"/>
      <c r="T21" s="277"/>
      <c r="U21" s="277"/>
      <c r="V21" s="277"/>
      <c r="W21" s="277"/>
      <c r="X21" s="277"/>
      <c r="Y21" s="277"/>
      <c r="Z21" s="277"/>
      <c r="AA21" s="277"/>
      <c r="AB21" s="277" t="s">
        <v>559</v>
      </c>
      <c r="AC21" s="280"/>
      <c r="AD21" s="280">
        <v>6843000</v>
      </c>
      <c r="AE21" s="303" t="s">
        <v>220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9"/>
      <c r="P22" s="279"/>
      <c r="Q22" s="279"/>
      <c r="R22" s="279"/>
      <c r="S22" s="279"/>
      <c r="T22" s="277"/>
      <c r="U22" s="277"/>
      <c r="V22" s="277"/>
      <c r="W22" s="277"/>
      <c r="X22" s="277"/>
      <c r="Y22" s="277"/>
      <c r="Z22" s="277"/>
      <c r="AA22" s="277"/>
      <c r="AB22" s="277"/>
      <c r="AC22" s="280"/>
      <c r="AD22" s="280"/>
      <c r="AE22" s="303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375" t="s">
        <v>231</v>
      </c>
      <c r="P23" s="279"/>
      <c r="Q23" s="279"/>
      <c r="R23" s="279"/>
      <c r="S23" s="279"/>
      <c r="T23" s="277"/>
      <c r="U23" s="277"/>
      <c r="V23" s="277"/>
      <c r="W23" s="358" t="s">
        <v>226</v>
      </c>
      <c r="X23" s="358"/>
      <c r="Y23" s="358"/>
      <c r="Z23" s="358"/>
      <c r="AA23" s="358"/>
      <c r="AB23" s="358"/>
      <c r="AC23" s="359" t="s">
        <v>229</v>
      </c>
      <c r="AD23" s="359">
        <f>SUM(AD24:AD25)</f>
        <v>17280000</v>
      </c>
      <c r="AE23" s="360" t="s">
        <v>220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9" t="s">
        <v>575</v>
      </c>
      <c r="P24" s="279"/>
      <c r="Q24" s="279"/>
      <c r="R24" s="279"/>
      <c r="S24" s="279"/>
      <c r="T24" s="277"/>
      <c r="U24" s="277"/>
      <c r="V24" s="277"/>
      <c r="W24" s="277"/>
      <c r="X24" s="277"/>
      <c r="Y24" s="277"/>
      <c r="Z24" s="277"/>
      <c r="AA24" s="277"/>
      <c r="AB24" s="277" t="s">
        <v>558</v>
      </c>
      <c r="AC24" s="280"/>
      <c r="AD24" s="280">
        <v>14400000</v>
      </c>
      <c r="AE24" s="303" t="s">
        <v>220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9" t="s">
        <v>230</v>
      </c>
      <c r="P25" s="279"/>
      <c r="Q25" s="279"/>
      <c r="R25" s="279"/>
      <c r="S25" s="279"/>
      <c r="T25" s="277"/>
      <c r="U25" s="277"/>
      <c r="V25" s="277"/>
      <c r="W25" s="277"/>
      <c r="X25" s="277"/>
      <c r="Y25" s="277"/>
      <c r="Z25" s="277"/>
      <c r="AA25" s="277"/>
      <c r="AB25" s="277" t="s">
        <v>559</v>
      </c>
      <c r="AC25" s="280"/>
      <c r="AD25" s="280">
        <v>2880000</v>
      </c>
      <c r="AE25" s="303" t="s">
        <v>220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9"/>
      <c r="P26" s="279"/>
      <c r="Q26" s="279"/>
      <c r="R26" s="279"/>
      <c r="S26" s="279"/>
      <c r="T26" s="277"/>
      <c r="U26" s="277"/>
      <c r="V26" s="277"/>
      <c r="W26" s="277"/>
      <c r="X26" s="277"/>
      <c r="Y26" s="277"/>
      <c r="Z26" s="277"/>
      <c r="AA26" s="277"/>
      <c r="AB26" s="277"/>
      <c r="AC26" s="280"/>
      <c r="AD26" s="280"/>
      <c r="AE26" s="303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375" t="s">
        <v>232</v>
      </c>
      <c r="P27" s="279"/>
      <c r="Q27" s="279"/>
      <c r="R27" s="279"/>
      <c r="S27" s="279"/>
      <c r="T27" s="277"/>
      <c r="U27" s="277"/>
      <c r="V27" s="277"/>
      <c r="W27" s="358" t="s">
        <v>226</v>
      </c>
      <c r="X27" s="358"/>
      <c r="Y27" s="358"/>
      <c r="Z27" s="358"/>
      <c r="AA27" s="358"/>
      <c r="AB27" s="358"/>
      <c r="AC27" s="359" t="s">
        <v>229</v>
      </c>
      <c r="AD27" s="359">
        <f>ROUND(SUM(AD28:AD30),-3)</f>
        <v>270431000</v>
      </c>
      <c r="AE27" s="360" t="s">
        <v>220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9" t="s">
        <v>602</v>
      </c>
      <c r="P28" s="279"/>
      <c r="Q28" s="279"/>
      <c r="R28" s="279"/>
      <c r="S28" s="279"/>
      <c r="T28" s="277"/>
      <c r="U28" s="277"/>
      <c r="V28" s="277"/>
      <c r="W28" s="277"/>
      <c r="X28" s="277"/>
      <c r="Y28" s="277"/>
      <c r="Z28" s="277"/>
      <c r="AA28" s="277"/>
      <c r="AB28" s="277" t="s">
        <v>558</v>
      </c>
      <c r="AC28" s="280"/>
      <c r="AD28" s="280">
        <v>235584000</v>
      </c>
      <c r="AE28" s="303" t="s">
        <v>220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9" t="s">
        <v>230</v>
      </c>
      <c r="P29" s="279"/>
      <c r="Q29" s="279"/>
      <c r="R29" s="279"/>
      <c r="S29" s="279"/>
      <c r="T29" s="277"/>
      <c r="U29" s="277"/>
      <c r="V29" s="277"/>
      <c r="W29" s="277"/>
      <c r="X29" s="277"/>
      <c r="Y29" s="277"/>
      <c r="Z29" s="277"/>
      <c r="AA29" s="277"/>
      <c r="AB29" s="277" t="s">
        <v>559</v>
      </c>
      <c r="AC29" s="280"/>
      <c r="AD29" s="280">
        <v>16291000</v>
      </c>
      <c r="AE29" s="303" t="s">
        <v>220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9" t="s">
        <v>647</v>
      </c>
      <c r="P30" s="279"/>
      <c r="Q30" s="279"/>
      <c r="R30" s="279"/>
      <c r="S30" s="279"/>
      <c r="T30" s="277"/>
      <c r="U30" s="277"/>
      <c r="V30" s="277"/>
      <c r="W30" s="277"/>
      <c r="X30" s="277"/>
      <c r="Y30" s="277"/>
      <c r="Z30" s="277"/>
      <c r="AA30" s="277"/>
      <c r="AB30" s="277" t="s">
        <v>648</v>
      </c>
      <c r="AC30" s="280"/>
      <c r="AD30" s="280">
        <v>18556000</v>
      </c>
      <c r="AE30" s="303" t="s">
        <v>649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9"/>
      <c r="P31" s="279"/>
      <c r="Q31" s="279"/>
      <c r="R31" s="279"/>
      <c r="S31" s="277"/>
      <c r="T31" s="339"/>
      <c r="U31" s="380"/>
      <c r="V31" s="339"/>
      <c r="W31" s="381"/>
      <c r="X31" s="381"/>
      <c r="Y31" s="277"/>
      <c r="Z31" s="277"/>
      <c r="AA31" s="277"/>
      <c r="AB31" s="277"/>
      <c r="AC31" s="277"/>
      <c r="AD31" s="277"/>
      <c r="AE31" s="303"/>
      <c r="AF31" s="17"/>
    </row>
    <row r="32" spans="1:32" s="11" customFormat="1" ht="21" customHeight="1">
      <c r="A32" s="45"/>
      <c r="B32" s="46"/>
      <c r="C32" s="36" t="s">
        <v>9</v>
      </c>
      <c r="D32" s="153">
        <v>124492</v>
      </c>
      <c r="E32" s="108">
        <f>ROUND(AD32/1000,0)</f>
        <v>124492</v>
      </c>
      <c r="F32" s="108">
        <f>SUMIF($AB$33:$AB$39,"보조",$AD$33:$AD$39)/1000</f>
        <v>115062</v>
      </c>
      <c r="G32" s="108">
        <f>SUMIF($AB$33:$AB$39,"7종",$AD$33:$AD$39)/1000</f>
        <v>7883</v>
      </c>
      <c r="H32" s="108">
        <f>SUMIF($AB$33:$AB$39,"4종",$AD$33:$AD$39)/1000</f>
        <v>0</v>
      </c>
      <c r="I32" s="108">
        <f>SUMIF($AB$33:$AB$39,"후원",$AD$33:$AD$39)/1000</f>
        <v>0</v>
      </c>
      <c r="J32" s="108">
        <f>SUMIF($AB$33:$AB$39,"입소",$AD$33:$AD$39)/1000</f>
        <v>0</v>
      </c>
      <c r="K32" s="108">
        <f>SUMIF($AB$33:$AB$39,"법인",$AD$33:$AD$39)/1000</f>
        <v>1547</v>
      </c>
      <c r="L32" s="108">
        <f>SUMIF($AB$33:$AB$39,"잡수",$AD$33:$AD$39)/1000</f>
        <v>0</v>
      </c>
      <c r="M32" s="107">
        <f>E32-D32</f>
        <v>0</v>
      </c>
      <c r="N32" s="115">
        <f>IF(D32=0,0,M32/D32)</f>
        <v>0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4" t="s">
        <v>189</v>
      </c>
      <c r="X32" s="274"/>
      <c r="Y32" s="274"/>
      <c r="Z32" s="274"/>
      <c r="AA32" s="274"/>
      <c r="AB32" s="274"/>
      <c r="AC32" s="171" t="s">
        <v>190</v>
      </c>
      <c r="AD32" s="171">
        <f>SUM(AD33,AD35,AD37)</f>
        <v>124492000</v>
      </c>
      <c r="AE32" s="170" t="s">
        <v>191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375" t="s">
        <v>576</v>
      </c>
      <c r="P33" s="279"/>
      <c r="Q33" s="279"/>
      <c r="R33" s="279"/>
      <c r="S33" s="279"/>
      <c r="T33" s="277"/>
      <c r="U33" s="277"/>
      <c r="V33" s="277"/>
      <c r="W33" s="358" t="s">
        <v>226</v>
      </c>
      <c r="X33" s="358"/>
      <c r="Y33" s="358"/>
      <c r="Z33" s="358"/>
      <c r="AA33" s="358"/>
      <c r="AB33" s="358"/>
      <c r="AC33" s="359"/>
      <c r="AD33" s="359">
        <f>ROUNDUP(AD34,-3)</f>
        <v>115062000</v>
      </c>
      <c r="AE33" s="360" t="s">
        <v>220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9"/>
      <c r="P34" s="279"/>
      <c r="Q34" s="279"/>
      <c r="R34" s="279"/>
      <c r="S34" s="277">
        <f>SUM(AD9,AD20,AD24,AD28)</f>
        <v>1380737000</v>
      </c>
      <c r="T34" s="336" t="s">
        <v>220</v>
      </c>
      <c r="U34" s="336" t="s">
        <v>233</v>
      </c>
      <c r="V34" s="382">
        <v>12</v>
      </c>
      <c r="W34" s="333" t="s">
        <v>221</v>
      </c>
      <c r="X34" s="277"/>
      <c r="Y34" s="277"/>
      <c r="Z34" s="277"/>
      <c r="AA34" s="277" t="s">
        <v>224</v>
      </c>
      <c r="AB34" s="277" t="s">
        <v>558</v>
      </c>
      <c r="AC34" s="280"/>
      <c r="AD34" s="280">
        <f>ROUNDUP(S34/V34,-3)</f>
        <v>115062000</v>
      </c>
      <c r="AE34" s="303" t="s">
        <v>220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375" t="s">
        <v>234</v>
      </c>
      <c r="P35" s="279"/>
      <c r="Q35" s="279"/>
      <c r="R35" s="279"/>
      <c r="S35" s="279"/>
      <c r="T35" s="277"/>
      <c r="U35" s="277"/>
      <c r="V35" s="277"/>
      <c r="W35" s="358" t="s">
        <v>226</v>
      </c>
      <c r="X35" s="358"/>
      <c r="Y35" s="358"/>
      <c r="Z35" s="358"/>
      <c r="AA35" s="358"/>
      <c r="AB35" s="358"/>
      <c r="AC35" s="359" t="s">
        <v>229</v>
      </c>
      <c r="AD35" s="359">
        <f>ROUND(AD36,-3)</f>
        <v>7883000</v>
      </c>
      <c r="AE35" s="360" t="s">
        <v>220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9"/>
      <c r="P36" s="279"/>
      <c r="Q36" s="279"/>
      <c r="R36" s="279"/>
      <c r="S36" s="277">
        <f>SUM(AD11,AD21,AD25,AD29)</f>
        <v>94585000</v>
      </c>
      <c r="T36" s="336" t="s">
        <v>220</v>
      </c>
      <c r="U36" s="336" t="s">
        <v>233</v>
      </c>
      <c r="V36" s="382">
        <v>12</v>
      </c>
      <c r="W36" s="333" t="s">
        <v>221</v>
      </c>
      <c r="X36" s="277"/>
      <c r="Y36" s="277"/>
      <c r="Z36" s="277"/>
      <c r="AA36" s="277" t="s">
        <v>224</v>
      </c>
      <c r="AB36" s="277" t="s">
        <v>559</v>
      </c>
      <c r="AC36" s="280"/>
      <c r="AD36" s="280">
        <f>ROUNDUP(S36/V36,-3)</f>
        <v>7883000</v>
      </c>
      <c r="AE36" s="303" t="s">
        <v>220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375" t="s">
        <v>235</v>
      </c>
      <c r="P37" s="279"/>
      <c r="Q37" s="279"/>
      <c r="R37" s="279"/>
      <c r="S37" s="279"/>
      <c r="T37" s="277"/>
      <c r="U37" s="277"/>
      <c r="V37" s="277"/>
      <c r="W37" s="358" t="s">
        <v>226</v>
      </c>
      <c r="X37" s="358"/>
      <c r="Y37" s="358"/>
      <c r="Z37" s="358"/>
      <c r="AA37" s="358"/>
      <c r="AB37" s="358"/>
      <c r="AC37" s="359" t="s">
        <v>229</v>
      </c>
      <c r="AD37" s="359">
        <f>SUM(AD38:AD38)</f>
        <v>1547000</v>
      </c>
      <c r="AE37" s="360" t="s">
        <v>220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631" t="s">
        <v>771</v>
      </c>
      <c r="P38" s="590"/>
      <c r="Q38" s="590"/>
      <c r="R38" s="590"/>
      <c r="S38" s="589">
        <f>AD30</f>
        <v>18556000</v>
      </c>
      <c r="T38" s="560" t="s">
        <v>650</v>
      </c>
      <c r="U38" s="560" t="s">
        <v>665</v>
      </c>
      <c r="V38" s="596">
        <v>12</v>
      </c>
      <c r="W38" s="389" t="s">
        <v>659</v>
      </c>
      <c r="X38" s="589"/>
      <c r="Y38" s="589"/>
      <c r="Z38" s="589"/>
      <c r="AA38" s="589" t="s">
        <v>654</v>
      </c>
      <c r="AB38" s="676" t="s">
        <v>887</v>
      </c>
      <c r="AC38" s="130"/>
      <c r="AD38" s="130">
        <f>ROUNDUP(S38/V38,-3)</f>
        <v>1547000</v>
      </c>
      <c r="AE38" s="131" t="s">
        <v>650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71</v>
      </c>
      <c r="D40" s="153">
        <v>141604</v>
      </c>
      <c r="E40" s="108">
        <f>ROUND(AD40/1000,0)</f>
        <v>141604</v>
      </c>
      <c r="F40" s="108">
        <f>SUMIF($AB$41:$AB$61,"보조",$AD$41:$AD$61)/1000</f>
        <v>132522</v>
      </c>
      <c r="G40" s="108">
        <f>SUMIF($AB$41:$AB$61,"7종",$AD$41:$AD$61)/1000</f>
        <v>9082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0</v>
      </c>
      <c r="L40" s="108">
        <f>SUMIF($AB$41:$AB$61,"잡수",$AD$41:$AD$61)/1000</f>
        <v>0</v>
      </c>
      <c r="M40" s="117">
        <f>E40-D40</f>
        <v>0</v>
      </c>
      <c r="N40" s="115">
        <f>IF(D40=0,0,M40/D40)</f>
        <v>0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125</v>
      </c>
      <c r="X40" s="169"/>
      <c r="Y40" s="169"/>
      <c r="Z40" s="169"/>
      <c r="AA40" s="169"/>
      <c r="AB40" s="169"/>
      <c r="AC40" s="171"/>
      <c r="AD40" s="171">
        <f>SUM(AD42,AD46,AD50,AD54,AD58)</f>
        <v>141604000</v>
      </c>
      <c r="AE40" s="170" t="s">
        <v>25</v>
      </c>
    </row>
    <row r="41" spans="1:32" s="11" customFormat="1" ht="21" customHeight="1">
      <c r="A41" s="45"/>
      <c r="B41" s="46"/>
      <c r="C41" s="46" t="s">
        <v>126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375" t="s">
        <v>239</v>
      </c>
      <c r="P42" s="279"/>
      <c r="Q42" s="279"/>
      <c r="R42" s="279"/>
      <c r="S42" s="279"/>
      <c r="T42" s="277"/>
      <c r="U42" s="277"/>
      <c r="V42" s="277"/>
      <c r="W42" s="358" t="s">
        <v>226</v>
      </c>
      <c r="X42" s="358"/>
      <c r="Y42" s="358"/>
      <c r="Z42" s="358"/>
      <c r="AA42" s="358"/>
      <c r="AB42" s="358"/>
      <c r="AC42" s="359"/>
      <c r="AD42" s="359">
        <f>ROUND(SUM(AD43:AD44),-3)</f>
        <v>66391000</v>
      </c>
      <c r="AE42" s="360" t="s">
        <v>220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9" t="s">
        <v>577</v>
      </c>
      <c r="P43" s="279"/>
      <c r="Q43" s="279"/>
      <c r="R43" s="279"/>
      <c r="S43" s="277">
        <f>S34</f>
        <v>1380737000</v>
      </c>
      <c r="T43" s="336" t="s">
        <v>220</v>
      </c>
      <c r="U43" s="333" t="s">
        <v>223</v>
      </c>
      <c r="V43" s="383">
        <v>0.09</v>
      </c>
      <c r="W43" s="336" t="s">
        <v>233</v>
      </c>
      <c r="X43" s="384">
        <v>2</v>
      </c>
      <c r="Y43" s="338"/>
      <c r="Z43" s="338"/>
      <c r="AA43" s="336" t="s">
        <v>224</v>
      </c>
      <c r="AB43" s="277" t="s">
        <v>558</v>
      </c>
      <c r="AC43" s="280"/>
      <c r="AD43" s="280">
        <f>ROUNDUP(S43*V43/X43,-3)</f>
        <v>62134000</v>
      </c>
      <c r="AE43" s="303" t="s">
        <v>220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9" t="s">
        <v>240</v>
      </c>
      <c r="P44" s="279"/>
      <c r="Q44" s="279"/>
      <c r="R44" s="279"/>
      <c r="S44" s="277">
        <f>S36</f>
        <v>94585000</v>
      </c>
      <c r="T44" s="336" t="s">
        <v>220</v>
      </c>
      <c r="U44" s="333" t="s">
        <v>223</v>
      </c>
      <c r="V44" s="383">
        <v>0.09</v>
      </c>
      <c r="W44" s="336" t="s">
        <v>233</v>
      </c>
      <c r="X44" s="384">
        <v>2</v>
      </c>
      <c r="Y44" s="338"/>
      <c r="Z44" s="338"/>
      <c r="AA44" s="336" t="s">
        <v>224</v>
      </c>
      <c r="AB44" s="277" t="s">
        <v>559</v>
      </c>
      <c r="AC44" s="280"/>
      <c r="AD44" s="280">
        <f>ROUNDUP(S44*V44/X44,-3)</f>
        <v>4257000</v>
      </c>
      <c r="AE44" s="303" t="s">
        <v>220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9"/>
      <c r="P45" s="279"/>
      <c r="Q45" s="279"/>
      <c r="R45" s="279"/>
      <c r="S45" s="279"/>
      <c r="T45" s="277"/>
      <c r="U45" s="277"/>
      <c r="V45" s="277"/>
      <c r="W45" s="277"/>
      <c r="X45" s="277"/>
      <c r="Y45" s="277"/>
      <c r="Z45" s="277"/>
      <c r="AA45" s="277"/>
      <c r="AB45" s="277"/>
      <c r="AC45" s="280"/>
      <c r="AD45" s="280"/>
      <c r="AE45" s="303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375" t="s">
        <v>242</v>
      </c>
      <c r="P46" s="279"/>
      <c r="Q46" s="279"/>
      <c r="R46" s="279"/>
      <c r="S46" s="279"/>
      <c r="T46" s="277"/>
      <c r="U46" s="277"/>
      <c r="V46" s="277"/>
      <c r="W46" s="358" t="s">
        <v>225</v>
      </c>
      <c r="X46" s="358"/>
      <c r="Y46" s="358"/>
      <c r="Z46" s="358"/>
      <c r="AA46" s="358"/>
      <c r="AB46" s="358"/>
      <c r="AC46" s="359" t="s">
        <v>238</v>
      </c>
      <c r="AD46" s="359">
        <f>ROUND(SUM(AD47:AD48),-3)</f>
        <v>47654000</v>
      </c>
      <c r="AE46" s="360" t="s">
        <v>222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9" t="s">
        <v>577</v>
      </c>
      <c r="P47" s="279"/>
      <c r="Q47" s="279"/>
      <c r="R47" s="279"/>
      <c r="S47" s="277">
        <f>S43</f>
        <v>1380737000</v>
      </c>
      <c r="T47" s="336" t="s">
        <v>222</v>
      </c>
      <c r="U47" s="333" t="s">
        <v>241</v>
      </c>
      <c r="V47" s="385">
        <v>6.4600000000000005E-2</v>
      </c>
      <c r="W47" s="336" t="s">
        <v>236</v>
      </c>
      <c r="X47" s="386">
        <v>2</v>
      </c>
      <c r="Y47" s="338"/>
      <c r="Z47" s="338"/>
      <c r="AA47" s="336" t="s">
        <v>237</v>
      </c>
      <c r="AB47" s="277" t="s">
        <v>558</v>
      </c>
      <c r="AC47" s="280"/>
      <c r="AD47" s="280">
        <f>ROUND(S47*V47/X47,-3)</f>
        <v>44598000</v>
      </c>
      <c r="AE47" s="303" t="s">
        <v>222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9" t="s">
        <v>243</v>
      </c>
      <c r="P48" s="279"/>
      <c r="Q48" s="279"/>
      <c r="R48" s="279"/>
      <c r="S48" s="277">
        <f>S44</f>
        <v>94585000</v>
      </c>
      <c r="T48" s="277" t="s">
        <v>25</v>
      </c>
      <c r="U48" s="336" t="s">
        <v>26</v>
      </c>
      <c r="V48" s="385">
        <v>6.4600000000000005E-2</v>
      </c>
      <c r="W48" s="277" t="s">
        <v>133</v>
      </c>
      <c r="X48" s="336">
        <v>2</v>
      </c>
      <c r="Y48" s="277"/>
      <c r="Z48" s="277"/>
      <c r="AA48" s="277" t="s">
        <v>27</v>
      </c>
      <c r="AB48" s="277" t="s">
        <v>559</v>
      </c>
      <c r="AC48" s="280"/>
      <c r="AD48" s="280">
        <f>ROUNDUP(S48*V48/X48,-3)</f>
        <v>3056000</v>
      </c>
      <c r="AE48" s="303" t="s">
        <v>222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9"/>
      <c r="P49" s="279"/>
      <c r="Q49" s="279"/>
      <c r="R49" s="279"/>
      <c r="S49" s="279"/>
      <c r="T49" s="277"/>
      <c r="U49" s="277"/>
      <c r="V49" s="277"/>
      <c r="W49" s="277"/>
      <c r="X49" s="277"/>
      <c r="Y49" s="277"/>
      <c r="Z49" s="277"/>
      <c r="AA49" s="277"/>
      <c r="AB49" s="277"/>
      <c r="AC49" s="280"/>
      <c r="AD49" s="280"/>
      <c r="AE49" s="303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375" t="s">
        <v>244</v>
      </c>
      <c r="P50" s="279"/>
      <c r="Q50" s="279"/>
      <c r="R50" s="279"/>
      <c r="S50" s="279"/>
      <c r="T50" s="277"/>
      <c r="U50" s="277"/>
      <c r="V50" s="277"/>
      <c r="W50" s="358" t="s">
        <v>225</v>
      </c>
      <c r="X50" s="358"/>
      <c r="Y50" s="358"/>
      <c r="Z50" s="358"/>
      <c r="AA50" s="358"/>
      <c r="AB50" s="358"/>
      <c r="AC50" s="359" t="s">
        <v>238</v>
      </c>
      <c r="AD50" s="359">
        <f>ROUND(SUM(AD51:AD52),-3)</f>
        <v>4056000</v>
      </c>
      <c r="AE50" s="360" t="s">
        <v>222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9" t="s">
        <v>297</v>
      </c>
      <c r="P51" s="279"/>
      <c r="Q51" s="279"/>
      <c r="R51" s="279"/>
      <c r="S51" s="387">
        <f>AD47</f>
        <v>44598000</v>
      </c>
      <c r="T51" s="336" t="s">
        <v>222</v>
      </c>
      <c r="U51" s="333" t="s">
        <v>241</v>
      </c>
      <c r="V51" s="385">
        <v>8.5099999999999995E-2</v>
      </c>
      <c r="W51" s="333"/>
      <c r="X51" s="337"/>
      <c r="Y51" s="338"/>
      <c r="Z51" s="338"/>
      <c r="AA51" s="336" t="s">
        <v>237</v>
      </c>
      <c r="AB51" s="277" t="s">
        <v>558</v>
      </c>
      <c r="AC51" s="280"/>
      <c r="AD51" s="280">
        <f>ROUND(S51*V51,-3)</f>
        <v>3795000</v>
      </c>
      <c r="AE51" s="303" t="s">
        <v>222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9" t="s">
        <v>243</v>
      </c>
      <c r="P52" s="279"/>
      <c r="Q52" s="279"/>
      <c r="R52" s="279"/>
      <c r="S52" s="387">
        <f>AD48</f>
        <v>3056000</v>
      </c>
      <c r="T52" s="336" t="s">
        <v>222</v>
      </c>
      <c r="U52" s="333" t="s">
        <v>241</v>
      </c>
      <c r="V52" s="385">
        <v>8.5099999999999995E-2</v>
      </c>
      <c r="W52" s="333"/>
      <c r="X52" s="337"/>
      <c r="Y52" s="338"/>
      <c r="Z52" s="338"/>
      <c r="AA52" s="336" t="s">
        <v>237</v>
      </c>
      <c r="AB52" s="277" t="s">
        <v>559</v>
      </c>
      <c r="AC52" s="280"/>
      <c r="AD52" s="280">
        <f>ROUNDUP(S52*V52,-3)</f>
        <v>261000</v>
      </c>
      <c r="AE52" s="303" t="s">
        <v>222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9"/>
      <c r="P53" s="279"/>
      <c r="Q53" s="279"/>
      <c r="R53" s="279"/>
      <c r="S53" s="279"/>
      <c r="T53" s="277"/>
      <c r="U53" s="277"/>
      <c r="V53" s="277"/>
      <c r="W53" s="277"/>
      <c r="X53" s="277"/>
      <c r="Y53" s="277"/>
      <c r="Z53" s="277"/>
      <c r="AA53" s="277"/>
      <c r="AB53" s="277"/>
      <c r="AC53" s="280"/>
      <c r="AD53" s="280"/>
      <c r="AE53" s="303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375" t="s">
        <v>245</v>
      </c>
      <c r="P54" s="279"/>
      <c r="Q54" s="279"/>
      <c r="R54" s="279"/>
      <c r="S54" s="279"/>
      <c r="T54" s="277"/>
      <c r="U54" s="277"/>
      <c r="V54" s="277"/>
      <c r="W54" s="358" t="s">
        <v>225</v>
      </c>
      <c r="X54" s="358"/>
      <c r="Y54" s="358"/>
      <c r="Z54" s="358"/>
      <c r="AA54" s="358"/>
      <c r="AB54" s="358"/>
      <c r="AC54" s="359" t="s">
        <v>238</v>
      </c>
      <c r="AD54" s="359">
        <f>ROUND(SUM(AD55:AD56),-3)</f>
        <v>13279000</v>
      </c>
      <c r="AE54" s="360" t="s">
        <v>222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9" t="s">
        <v>297</v>
      </c>
      <c r="P55" s="279"/>
      <c r="Q55" s="279"/>
      <c r="R55" s="279"/>
      <c r="S55" s="277">
        <f>S47</f>
        <v>1380737000</v>
      </c>
      <c r="T55" s="336" t="s">
        <v>222</v>
      </c>
      <c r="U55" s="333" t="s">
        <v>241</v>
      </c>
      <c r="V55" s="385">
        <v>8.9999999999999993E-3</v>
      </c>
      <c r="W55" s="333"/>
      <c r="X55" s="337"/>
      <c r="Y55" s="338"/>
      <c r="Z55" s="338"/>
      <c r="AA55" s="336" t="s">
        <v>237</v>
      </c>
      <c r="AB55" s="277" t="s">
        <v>558</v>
      </c>
      <c r="AC55" s="280"/>
      <c r="AD55" s="280">
        <f>ROUNDUP(S55*V55,-3)</f>
        <v>12427000</v>
      </c>
      <c r="AE55" s="303" t="s">
        <v>222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9" t="s">
        <v>243</v>
      </c>
      <c r="P56" s="279"/>
      <c r="Q56" s="279"/>
      <c r="R56" s="279"/>
      <c r="S56" s="277">
        <f>S48</f>
        <v>94585000</v>
      </c>
      <c r="T56" s="336" t="s">
        <v>222</v>
      </c>
      <c r="U56" s="333" t="s">
        <v>241</v>
      </c>
      <c r="V56" s="385">
        <v>8.9999999999999993E-3</v>
      </c>
      <c r="W56" s="333"/>
      <c r="X56" s="337"/>
      <c r="Y56" s="338"/>
      <c r="Z56" s="338"/>
      <c r="AA56" s="336" t="s">
        <v>237</v>
      </c>
      <c r="AB56" s="277" t="s">
        <v>559</v>
      </c>
      <c r="AC56" s="280"/>
      <c r="AD56" s="280">
        <f>ROUNDUP(S56*V56,-3)</f>
        <v>852000</v>
      </c>
      <c r="AE56" s="303" t="s">
        <v>222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279"/>
      <c r="P57" s="279"/>
      <c r="Q57" s="279"/>
      <c r="R57" s="279"/>
      <c r="S57" s="279"/>
      <c r="T57" s="277"/>
      <c r="U57" s="277"/>
      <c r="V57" s="277"/>
      <c r="W57" s="277"/>
      <c r="X57" s="277"/>
      <c r="Y57" s="277"/>
      <c r="Z57" s="277"/>
      <c r="AA57" s="277"/>
      <c r="AB57" s="277"/>
      <c r="AC57" s="280"/>
      <c r="AD57" s="280"/>
      <c r="AE57" s="303"/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375" t="s">
        <v>246</v>
      </c>
      <c r="P58" s="279"/>
      <c r="Q58" s="279"/>
      <c r="R58" s="279"/>
      <c r="S58" s="279"/>
      <c r="T58" s="277"/>
      <c r="U58" s="277"/>
      <c r="V58" s="277"/>
      <c r="W58" s="358" t="s">
        <v>225</v>
      </c>
      <c r="X58" s="358"/>
      <c r="Y58" s="358"/>
      <c r="Z58" s="358"/>
      <c r="AA58" s="358"/>
      <c r="AB58" s="358"/>
      <c r="AC58" s="359" t="s">
        <v>238</v>
      </c>
      <c r="AD58" s="359">
        <f>ROUND(SUM(AD59:AD60),-3)</f>
        <v>10224000</v>
      </c>
      <c r="AE58" s="360" t="s">
        <v>222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9" t="s">
        <v>297</v>
      </c>
      <c r="P59" s="279"/>
      <c r="Q59" s="279"/>
      <c r="R59" s="279"/>
      <c r="S59" s="277">
        <f>S55</f>
        <v>1380737000</v>
      </c>
      <c r="T59" s="336" t="s">
        <v>222</v>
      </c>
      <c r="U59" s="333" t="s">
        <v>241</v>
      </c>
      <c r="V59" s="388">
        <v>6.9300000000000004E-3</v>
      </c>
      <c r="W59" s="333"/>
      <c r="X59" s="337"/>
      <c r="Y59" s="338"/>
      <c r="Z59" s="338"/>
      <c r="AA59" s="336" t="s">
        <v>237</v>
      </c>
      <c r="AB59" s="277" t="s">
        <v>558</v>
      </c>
      <c r="AC59" s="280"/>
      <c r="AD59" s="280">
        <f>ROUNDDOWN(S59*V59,-3)</f>
        <v>9568000</v>
      </c>
      <c r="AE59" s="303" t="s">
        <v>222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9" t="s">
        <v>243</v>
      </c>
      <c r="P60" s="279"/>
      <c r="Q60" s="279"/>
      <c r="R60" s="279"/>
      <c r="S60" s="277">
        <f>S56</f>
        <v>94585000</v>
      </c>
      <c r="T60" s="336" t="s">
        <v>222</v>
      </c>
      <c r="U60" s="333" t="s">
        <v>241</v>
      </c>
      <c r="V60" s="388">
        <v>6.9300000000000004E-3</v>
      </c>
      <c r="W60" s="333"/>
      <c r="X60" s="337"/>
      <c r="Y60" s="338"/>
      <c r="Z60" s="338"/>
      <c r="AA60" s="336" t="s">
        <v>237</v>
      </c>
      <c r="AB60" s="277" t="s">
        <v>559</v>
      </c>
      <c r="AC60" s="280"/>
      <c r="AD60" s="280">
        <f>ROUNDUP(S60*V60,-3)</f>
        <v>656000</v>
      </c>
      <c r="AE60" s="303" t="s">
        <v>222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9"/>
      <c r="P61" s="279"/>
      <c r="Q61" s="279"/>
      <c r="R61" s="279"/>
      <c r="S61" s="279"/>
      <c r="T61" s="277"/>
      <c r="U61" s="277"/>
      <c r="V61" s="277"/>
      <c r="W61" s="277"/>
      <c r="X61" s="277"/>
      <c r="Y61" s="277"/>
      <c r="Z61" s="277"/>
      <c r="AA61" s="277"/>
      <c r="AB61" s="277"/>
      <c r="AC61" s="280"/>
      <c r="AD61" s="280"/>
      <c r="AE61" s="303"/>
      <c r="AF61" s="2"/>
    </row>
    <row r="62" spans="1:32" s="11" customFormat="1" ht="21" customHeight="1">
      <c r="A62" s="45"/>
      <c r="B62" s="46"/>
      <c r="C62" s="36" t="s">
        <v>72</v>
      </c>
      <c r="D62" s="153">
        <v>23876</v>
      </c>
      <c r="E62" s="108">
        <f>ROUND(AD62/1000,0)</f>
        <v>24748</v>
      </c>
      <c r="F62" s="108">
        <f>SUMIF($AB$63:$AB$76,"보조",$AD$63:$AD$76)/1000</f>
        <v>0</v>
      </c>
      <c r="G62" s="108">
        <f>SUMIF($AB$63:$AB$76,"7종",$AD$63:$AD$76)/1000</f>
        <v>6000</v>
      </c>
      <c r="H62" s="108">
        <f>SUMIF($AB$63:$AB$76,"4종",$AD$63:$AD$76)/1000</f>
        <v>0</v>
      </c>
      <c r="I62" s="108">
        <f>SUMIF($AB$63:$AB$76,"후원",$AD$63:$AD$76)/1000</f>
        <v>5356</v>
      </c>
      <c r="J62" s="108">
        <f>SUMIF($AB$63:$AB$76,"입소",$AD$63:$AD$76)/1000</f>
        <v>0</v>
      </c>
      <c r="K62" s="108">
        <f>SUMIF($AB$63:$AB$76,"법인",$AD$63:$AD$76)/1000</f>
        <v>10052</v>
      </c>
      <c r="L62" s="108">
        <f>SUMIF($AB$63:$AB$76,"잡수",$AD$63:$AD$76)/1000</f>
        <v>3340</v>
      </c>
      <c r="M62" s="107">
        <f>E62-D62</f>
        <v>872</v>
      </c>
      <c r="N62" s="115">
        <f>IF(D62=0,0,M62/D62)</f>
        <v>3.6522030490869495E-2</v>
      </c>
      <c r="O62" s="95" t="s">
        <v>73</v>
      </c>
      <c r="P62" s="168"/>
      <c r="Q62" s="91"/>
      <c r="R62" s="91"/>
      <c r="S62" s="91"/>
      <c r="T62" s="87"/>
      <c r="U62" s="87"/>
      <c r="V62" s="87"/>
      <c r="W62" s="169" t="s">
        <v>125</v>
      </c>
      <c r="X62" s="169"/>
      <c r="Y62" s="169"/>
      <c r="Z62" s="169"/>
      <c r="AA62" s="169"/>
      <c r="AB62" s="169"/>
      <c r="AC62" s="171"/>
      <c r="AD62" s="171">
        <f>SUM(AD63:AD76)</f>
        <v>24748000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128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377" t="s">
        <v>247</v>
      </c>
      <c r="P63" s="377"/>
      <c r="Q63" s="376"/>
      <c r="R63" s="376"/>
      <c r="S63" s="376">
        <v>20000</v>
      </c>
      <c r="T63" s="376" t="s">
        <v>248</v>
      </c>
      <c r="U63" s="389" t="s">
        <v>249</v>
      </c>
      <c r="V63" s="376">
        <v>39</v>
      </c>
      <c r="W63" s="376" t="s">
        <v>250</v>
      </c>
      <c r="X63" s="376"/>
      <c r="Y63" s="376"/>
      <c r="Z63" s="376"/>
      <c r="AA63" s="376" t="s">
        <v>251</v>
      </c>
      <c r="AB63" s="376" t="s">
        <v>252</v>
      </c>
      <c r="AC63" s="130"/>
      <c r="AD63" s="130">
        <f>S63*V63</f>
        <v>780000</v>
      </c>
      <c r="AE63" s="131" t="s">
        <v>56</v>
      </c>
      <c r="AF63" s="605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590" t="s">
        <v>661</v>
      </c>
      <c r="P64" s="590"/>
      <c r="Q64" s="589"/>
      <c r="R64" s="589"/>
      <c r="S64" s="589">
        <v>30000</v>
      </c>
      <c r="T64" s="589" t="s">
        <v>56</v>
      </c>
      <c r="U64" s="389" t="s">
        <v>57</v>
      </c>
      <c r="V64" s="589">
        <v>39</v>
      </c>
      <c r="W64" s="589" t="s">
        <v>55</v>
      </c>
      <c r="X64" s="389" t="s">
        <v>57</v>
      </c>
      <c r="Y64" s="589">
        <v>2</v>
      </c>
      <c r="Z64" s="589" t="s">
        <v>66</v>
      </c>
      <c r="AA64" s="589" t="s">
        <v>53</v>
      </c>
      <c r="AB64" s="589" t="s">
        <v>666</v>
      </c>
      <c r="AC64" s="130"/>
      <c r="AD64" s="589">
        <f>S64*V64*Y64</f>
        <v>2340000</v>
      </c>
      <c r="AE64" s="131" t="s">
        <v>56</v>
      </c>
      <c r="AF64" s="605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658" t="s">
        <v>825</v>
      </c>
      <c r="P65" s="658"/>
      <c r="Q65" s="657"/>
      <c r="R65" s="657"/>
      <c r="S65" s="657">
        <v>80000</v>
      </c>
      <c r="T65" s="657" t="s">
        <v>805</v>
      </c>
      <c r="U65" s="389" t="s">
        <v>806</v>
      </c>
      <c r="V65" s="657">
        <v>39</v>
      </c>
      <c r="W65" s="657" t="s">
        <v>807</v>
      </c>
      <c r="X65" s="657"/>
      <c r="Y65" s="657"/>
      <c r="Z65" s="657"/>
      <c r="AA65" s="657" t="s">
        <v>808</v>
      </c>
      <c r="AB65" s="657" t="s">
        <v>820</v>
      </c>
      <c r="AC65" s="660"/>
      <c r="AD65" s="660">
        <f>S65*V65</f>
        <v>3120000</v>
      </c>
      <c r="AE65" s="131" t="s">
        <v>805</v>
      </c>
      <c r="AF65" s="605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658" t="s">
        <v>826</v>
      </c>
      <c r="P66" s="658"/>
      <c r="Q66" s="658"/>
      <c r="R66" s="658"/>
      <c r="S66" s="657">
        <v>20000</v>
      </c>
      <c r="T66" s="657" t="s">
        <v>805</v>
      </c>
      <c r="U66" s="389" t="s">
        <v>806</v>
      </c>
      <c r="V66" s="657">
        <v>39</v>
      </c>
      <c r="W66" s="657" t="s">
        <v>807</v>
      </c>
      <c r="X66" s="389" t="s">
        <v>806</v>
      </c>
      <c r="Y66" s="657">
        <v>3</v>
      </c>
      <c r="Z66" s="657" t="s">
        <v>811</v>
      </c>
      <c r="AA66" s="657" t="s">
        <v>808</v>
      </c>
      <c r="AB66" s="657" t="s">
        <v>824</v>
      </c>
      <c r="AC66" s="390"/>
      <c r="AD66" s="657">
        <f>ROUNDDOWN(S66*V66*Y66,-3)</f>
        <v>2340000</v>
      </c>
      <c r="AE66" s="391" t="s">
        <v>25</v>
      </c>
      <c r="AF66" s="605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658" t="s">
        <v>827</v>
      </c>
      <c r="P67" s="658"/>
      <c r="Q67" s="658"/>
      <c r="R67" s="658"/>
      <c r="S67" s="657"/>
      <c r="T67" s="657"/>
      <c r="U67" s="389"/>
      <c r="V67" s="657"/>
      <c r="W67" s="657"/>
      <c r="X67" s="389"/>
      <c r="Y67" s="657"/>
      <c r="Z67" s="657"/>
      <c r="AA67" s="657"/>
      <c r="AB67" s="657" t="s">
        <v>824</v>
      </c>
      <c r="AC67" s="390"/>
      <c r="AD67" s="657">
        <v>500000</v>
      </c>
      <c r="AE67" s="391" t="s">
        <v>805</v>
      </c>
      <c r="AF67" s="605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658" t="s">
        <v>828</v>
      </c>
      <c r="P68" s="658"/>
      <c r="Q68" s="658"/>
      <c r="R68" s="658"/>
      <c r="S68" s="657">
        <v>400000</v>
      </c>
      <c r="T68" s="657" t="s">
        <v>805</v>
      </c>
      <c r="U68" s="389" t="s">
        <v>806</v>
      </c>
      <c r="V68" s="657">
        <v>2</v>
      </c>
      <c r="W68" s="657" t="s">
        <v>807</v>
      </c>
      <c r="X68" s="657"/>
      <c r="Y68" s="657"/>
      <c r="Z68" s="657"/>
      <c r="AA68" s="657" t="s">
        <v>808</v>
      </c>
      <c r="AB68" s="657" t="s">
        <v>822</v>
      </c>
      <c r="AC68" s="660"/>
      <c r="AD68" s="660">
        <f>S68*V68</f>
        <v>800000</v>
      </c>
      <c r="AE68" s="131" t="s">
        <v>805</v>
      </c>
      <c r="AF68" s="605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436" t="s">
        <v>870</v>
      </c>
      <c r="P69" s="436"/>
      <c r="Q69" s="378"/>
      <c r="R69" s="378"/>
      <c r="S69" s="378">
        <v>16000</v>
      </c>
      <c r="T69" s="624" t="s">
        <v>865</v>
      </c>
      <c r="U69" s="534" t="s">
        <v>871</v>
      </c>
      <c r="V69" s="624">
        <v>37</v>
      </c>
      <c r="W69" s="378" t="s">
        <v>872</v>
      </c>
      <c r="X69" s="534"/>
      <c r="Y69" s="624"/>
      <c r="Z69" s="624"/>
      <c r="AA69" s="663" t="s">
        <v>873</v>
      </c>
      <c r="AB69" s="624" t="s">
        <v>874</v>
      </c>
      <c r="AC69" s="624"/>
      <c r="AD69" s="378">
        <f>S69*V69</f>
        <v>592000</v>
      </c>
      <c r="AE69" s="625" t="s">
        <v>865</v>
      </c>
      <c r="AF69" s="605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658" t="s">
        <v>829</v>
      </c>
      <c r="P70" s="658"/>
      <c r="Q70" s="658"/>
      <c r="R70" s="658"/>
      <c r="S70" s="657"/>
      <c r="T70" s="390"/>
      <c r="U70" s="390"/>
      <c r="V70" s="390"/>
      <c r="W70" s="657"/>
      <c r="X70" s="657"/>
      <c r="Y70" s="390"/>
      <c r="Z70" s="390"/>
      <c r="AA70" s="390"/>
      <c r="AB70" s="390" t="s">
        <v>822</v>
      </c>
      <c r="AC70" s="390"/>
      <c r="AD70" s="657">
        <v>860000</v>
      </c>
      <c r="AE70" s="391" t="s">
        <v>805</v>
      </c>
      <c r="AF70" s="605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658" t="s">
        <v>830</v>
      </c>
      <c r="P71" s="658"/>
      <c r="Q71" s="658"/>
      <c r="R71" s="658"/>
      <c r="S71" s="657">
        <v>300000</v>
      </c>
      <c r="T71" s="659" t="s">
        <v>805</v>
      </c>
      <c r="U71" s="389" t="s">
        <v>806</v>
      </c>
      <c r="V71" s="392">
        <v>20</v>
      </c>
      <c r="W71" s="389" t="s">
        <v>807</v>
      </c>
      <c r="X71" s="393"/>
      <c r="Y71" s="74"/>
      <c r="Z71" s="74"/>
      <c r="AA71" s="659" t="s">
        <v>808</v>
      </c>
      <c r="AB71" s="657" t="s">
        <v>831</v>
      </c>
      <c r="AC71" s="660"/>
      <c r="AD71" s="660">
        <f>ROUNDUP(S71*V71,-3)</f>
        <v>6000000</v>
      </c>
      <c r="AE71" s="131" t="s">
        <v>805</v>
      </c>
      <c r="AF71" s="605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658" t="s">
        <v>832</v>
      </c>
      <c r="P72" s="658"/>
      <c r="Q72" s="658"/>
      <c r="R72" s="658"/>
      <c r="S72" s="657"/>
      <c r="T72" s="659"/>
      <c r="U72" s="389"/>
      <c r="V72" s="392"/>
      <c r="W72" s="389"/>
      <c r="X72" s="393"/>
      <c r="Y72" s="74"/>
      <c r="Z72" s="74"/>
      <c r="AA72" s="659"/>
      <c r="AB72" s="657" t="s">
        <v>820</v>
      </c>
      <c r="AC72" s="660"/>
      <c r="AD72" s="660">
        <v>668000</v>
      </c>
      <c r="AE72" s="131" t="s">
        <v>805</v>
      </c>
      <c r="AF72" s="605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658" t="s">
        <v>833</v>
      </c>
      <c r="P73" s="658"/>
      <c r="Q73" s="658"/>
      <c r="R73" s="658"/>
      <c r="S73" s="657">
        <v>40000</v>
      </c>
      <c r="T73" s="659" t="s">
        <v>805</v>
      </c>
      <c r="U73" s="389" t="s">
        <v>806</v>
      </c>
      <c r="V73" s="392">
        <v>39</v>
      </c>
      <c r="W73" s="389" t="s">
        <v>807</v>
      </c>
      <c r="X73" s="393"/>
      <c r="Y73" s="74"/>
      <c r="Z73" s="74"/>
      <c r="AA73" s="659" t="s">
        <v>808</v>
      </c>
      <c r="AB73" s="390" t="s">
        <v>820</v>
      </c>
      <c r="AC73" s="390"/>
      <c r="AD73" s="660">
        <f>ROUNDUP(S73*V73,-3)</f>
        <v>1560000</v>
      </c>
      <c r="AE73" s="391" t="s">
        <v>805</v>
      </c>
      <c r="AF73" s="605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436" t="s">
        <v>879</v>
      </c>
      <c r="P74" s="436"/>
      <c r="Q74" s="436"/>
      <c r="R74" s="436"/>
      <c r="S74" s="378">
        <v>120000</v>
      </c>
      <c r="T74" s="532" t="s">
        <v>865</v>
      </c>
      <c r="U74" s="534" t="s">
        <v>871</v>
      </c>
      <c r="V74" s="553">
        <v>39</v>
      </c>
      <c r="W74" s="534" t="s">
        <v>872</v>
      </c>
      <c r="X74" s="554"/>
      <c r="Y74" s="555"/>
      <c r="Z74" s="555"/>
      <c r="AA74" s="532" t="s">
        <v>873</v>
      </c>
      <c r="AB74" s="624" t="s">
        <v>874</v>
      </c>
      <c r="AC74" s="624"/>
      <c r="AD74" s="533">
        <f>ROUNDUP(S74*V74,-3)</f>
        <v>4680000</v>
      </c>
      <c r="AE74" s="625" t="s">
        <v>865</v>
      </c>
      <c r="AF74" s="605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429" t="s">
        <v>295</v>
      </c>
      <c r="P75" s="377"/>
      <c r="Q75" s="376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B75" s="390" t="s">
        <v>753</v>
      </c>
      <c r="AC75" s="130"/>
      <c r="AD75" s="130">
        <v>500000</v>
      </c>
      <c r="AE75" s="131" t="s">
        <v>56</v>
      </c>
      <c r="AF75" s="605"/>
    </row>
    <row r="76" spans="1:32" s="11" customFormat="1" ht="21" customHeight="1">
      <c r="A76" s="45"/>
      <c r="B76" s="59"/>
      <c r="C76" s="59"/>
      <c r="D76" s="152"/>
      <c r="E76" s="105"/>
      <c r="F76" s="105"/>
      <c r="G76" s="105"/>
      <c r="H76" s="105"/>
      <c r="I76" s="105"/>
      <c r="J76" s="105"/>
      <c r="K76" s="105"/>
      <c r="L76" s="105"/>
      <c r="M76" s="105"/>
      <c r="N76" s="82"/>
      <c r="O76" s="614" t="s">
        <v>257</v>
      </c>
      <c r="P76" s="614"/>
      <c r="Q76" s="613"/>
      <c r="R76" s="613"/>
      <c r="S76" s="613"/>
      <c r="T76" s="613"/>
      <c r="U76" s="613"/>
      <c r="V76" s="613"/>
      <c r="W76" s="376"/>
      <c r="X76" s="376"/>
      <c r="Y76" s="376"/>
      <c r="Z76" s="376"/>
      <c r="AA76" s="376"/>
      <c r="AB76" s="390" t="s">
        <v>152</v>
      </c>
      <c r="AC76" s="130"/>
      <c r="AD76" s="130">
        <v>8000</v>
      </c>
      <c r="AE76" s="131" t="s">
        <v>56</v>
      </c>
      <c r="AF76" s="605"/>
    </row>
    <row r="77" spans="1:32" s="11" customFormat="1" ht="21" customHeight="1">
      <c r="A77" s="45"/>
      <c r="B77" s="36" t="s">
        <v>127</v>
      </c>
      <c r="C77" s="36" t="s">
        <v>5</v>
      </c>
      <c r="D77" s="107">
        <f>SUM(D78,D81,D83)</f>
        <v>1480</v>
      </c>
      <c r="E77" s="107">
        <f>SUM(E78,E81,E83)</f>
        <v>1468</v>
      </c>
      <c r="F77" s="107">
        <f t="shared" ref="F77:L77" si="3">SUM(F78,F81,F83)</f>
        <v>0</v>
      </c>
      <c r="G77" s="107">
        <f t="shared" si="3"/>
        <v>0</v>
      </c>
      <c r="H77" s="107">
        <f t="shared" si="3"/>
        <v>0</v>
      </c>
      <c r="I77" s="107">
        <f t="shared" si="3"/>
        <v>0</v>
      </c>
      <c r="J77" s="107">
        <f t="shared" si="3"/>
        <v>0</v>
      </c>
      <c r="K77" s="107">
        <f t="shared" si="3"/>
        <v>1468</v>
      </c>
      <c r="L77" s="107">
        <f t="shared" si="3"/>
        <v>0</v>
      </c>
      <c r="M77" s="107">
        <f>E77-D77</f>
        <v>-12</v>
      </c>
      <c r="N77" s="115">
        <f>IF(D77=0,0,M77/D77)</f>
        <v>-8.1081081081081086E-3</v>
      </c>
      <c r="O77" s="180" t="s">
        <v>135</v>
      </c>
      <c r="P77" s="180"/>
      <c r="Q77" s="180"/>
      <c r="R77" s="180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92"/>
      <c r="AD77" s="92">
        <f>SUM(AD78,AD81,AD83)</f>
        <v>1468000</v>
      </c>
      <c r="AE77" s="93" t="s">
        <v>25</v>
      </c>
      <c r="AF77" s="5"/>
    </row>
    <row r="78" spans="1:32" s="11" customFormat="1" ht="21" customHeight="1">
      <c r="A78" s="45"/>
      <c r="B78" s="46" t="s">
        <v>134</v>
      </c>
      <c r="C78" s="36" t="s">
        <v>10</v>
      </c>
      <c r="D78" s="153">
        <v>400</v>
      </c>
      <c r="E78" s="107">
        <f>AD78/1000</f>
        <v>400</v>
      </c>
      <c r="F78" s="108">
        <f>SUMIF($AB$79:$AB$80,"보조",$AD$79:$AD$80)/1000</f>
        <v>0</v>
      </c>
      <c r="G78" s="108">
        <f>SUMIF($AB$79:$AB$80,"7종",$AD$79:$AD$80)/1000</f>
        <v>0</v>
      </c>
      <c r="H78" s="108">
        <f>SUMIF($AB$79:$AB$80,"4종",$AD$79:$AD$80)/1000</f>
        <v>0</v>
      </c>
      <c r="I78" s="108">
        <f>SUMIF($AB$79:$AB$80,"후원",$AD$79:$AD$80)/1000</f>
        <v>0</v>
      </c>
      <c r="J78" s="108">
        <f>SUMIF($AB$79:$AB$80,"입소",$AD$79:$AD$80)/1000</f>
        <v>0</v>
      </c>
      <c r="K78" s="108">
        <f>SUMIF($AB$79:$AB$80,"법인",$AD$79:$AD$80)/1000</f>
        <v>400</v>
      </c>
      <c r="L78" s="108">
        <f>SUMIF($AB$79:$AB$80,"잡수",$AD$79:$AD$80)/1000</f>
        <v>0</v>
      </c>
      <c r="M78" s="107">
        <f>E78-D78</f>
        <v>0</v>
      </c>
      <c r="N78" s="115">
        <f>IF(D78=0,0,M78/D78)</f>
        <v>0</v>
      </c>
      <c r="O78" s="95" t="s">
        <v>37</v>
      </c>
      <c r="P78" s="142"/>
      <c r="Q78" s="157"/>
      <c r="R78" s="157"/>
      <c r="S78" s="157"/>
      <c r="T78" s="86"/>
      <c r="U78" s="86"/>
      <c r="V78" s="86"/>
      <c r="W78" s="86"/>
      <c r="X78" s="86"/>
      <c r="Y78" s="169" t="s">
        <v>137</v>
      </c>
      <c r="Z78" s="169"/>
      <c r="AA78" s="169"/>
      <c r="AB78" s="169"/>
      <c r="AC78" s="171"/>
      <c r="AD78" s="171">
        <f>AD79</f>
        <v>400000</v>
      </c>
      <c r="AE78" s="170" t="s">
        <v>25</v>
      </c>
    </row>
    <row r="79" spans="1:32" s="11" customFormat="1" ht="21" customHeight="1">
      <c r="A79" s="45"/>
      <c r="B79" s="46"/>
      <c r="C79" s="46"/>
      <c r="D79" s="151"/>
      <c r="E79" s="103"/>
      <c r="F79" s="103"/>
      <c r="G79" s="103"/>
      <c r="H79" s="103"/>
      <c r="I79" s="103"/>
      <c r="J79" s="103"/>
      <c r="K79" s="103"/>
      <c r="L79" s="103"/>
      <c r="M79" s="103"/>
      <c r="N79" s="68"/>
      <c r="O79" s="695" t="s">
        <v>911</v>
      </c>
      <c r="P79" s="377"/>
      <c r="Q79" s="377"/>
      <c r="R79" s="377"/>
      <c r="S79" s="376"/>
      <c r="T79" s="297"/>
      <c r="U79" s="297"/>
      <c r="V79" s="376"/>
      <c r="W79" s="377"/>
      <c r="X79" s="376"/>
      <c r="Y79" s="376"/>
      <c r="Z79" s="376"/>
      <c r="AA79" s="376"/>
      <c r="AB79" s="630" t="s">
        <v>772</v>
      </c>
      <c r="AC79" s="376"/>
      <c r="AD79" s="434">
        <v>400000</v>
      </c>
      <c r="AE79" s="131" t="s">
        <v>258</v>
      </c>
      <c r="AF79" s="2"/>
    </row>
    <row r="80" spans="1:32" s="11" customFormat="1" ht="21" customHeight="1">
      <c r="A80" s="45"/>
      <c r="B80" s="46"/>
      <c r="C80" s="59"/>
      <c r="D80" s="152"/>
      <c r="E80" s="105"/>
      <c r="F80" s="105"/>
      <c r="G80" s="105"/>
      <c r="H80" s="105"/>
      <c r="I80" s="105"/>
      <c r="J80" s="105"/>
      <c r="K80" s="105"/>
      <c r="L80" s="105"/>
      <c r="M80" s="105"/>
      <c r="N80" s="82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118"/>
      <c r="AF80" s="1"/>
    </row>
    <row r="81" spans="1:34" s="11" customFormat="1" ht="21" customHeight="1">
      <c r="A81" s="45"/>
      <c r="B81" s="46"/>
      <c r="C81" s="46" t="s">
        <v>11</v>
      </c>
      <c r="D81" s="151">
        <v>0</v>
      </c>
      <c r="E81" s="103">
        <f>AD81/1000</f>
        <v>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0</v>
      </c>
      <c r="L81" s="108">
        <f>SUMIF($AB$82:$AB$82,"잡수",$AD$82:$AD$82)/1000</f>
        <v>0</v>
      </c>
      <c r="M81" s="103">
        <f>E81-D81</f>
        <v>0</v>
      </c>
      <c r="N81" s="68">
        <f>IF(D81=0,0,M81/D81)</f>
        <v>0</v>
      </c>
      <c r="O81" s="95" t="s">
        <v>136</v>
      </c>
      <c r="P81" s="168"/>
      <c r="Q81" s="32"/>
      <c r="R81" s="32"/>
      <c r="S81" s="32"/>
      <c r="T81" s="33"/>
      <c r="U81" s="33"/>
      <c r="V81" s="33"/>
      <c r="W81" s="33"/>
      <c r="X81" s="33"/>
      <c r="Y81" s="169" t="s">
        <v>137</v>
      </c>
      <c r="Z81" s="169"/>
      <c r="AA81" s="169"/>
      <c r="AB81" s="169"/>
      <c r="AC81" s="171"/>
      <c r="AD81" s="171">
        <v>0</v>
      </c>
      <c r="AE81" s="170" t="s">
        <v>25</v>
      </c>
      <c r="AF81" s="1"/>
    </row>
    <row r="82" spans="1:34" s="11" customFormat="1" ht="21" customHeight="1">
      <c r="A82" s="45"/>
      <c r="B82" s="46"/>
      <c r="C82" s="59"/>
      <c r="D82" s="152"/>
      <c r="E82" s="105"/>
      <c r="F82" s="105"/>
      <c r="G82" s="105"/>
      <c r="H82" s="105"/>
      <c r="I82" s="105"/>
      <c r="J82" s="105"/>
      <c r="K82" s="105"/>
      <c r="L82" s="105"/>
      <c r="M82" s="105"/>
      <c r="N82" s="82"/>
      <c r="O82" s="146"/>
      <c r="P82" s="79"/>
      <c r="Q82" s="79"/>
      <c r="R82" s="79"/>
      <c r="S82" s="78"/>
      <c r="T82" s="83"/>
      <c r="U82" s="83"/>
      <c r="V82" s="78"/>
      <c r="W82" s="79"/>
      <c r="X82" s="78"/>
      <c r="Y82" s="78"/>
      <c r="Z82" s="78"/>
      <c r="AA82" s="78"/>
      <c r="AB82" s="78"/>
      <c r="AC82" s="78"/>
      <c r="AD82" s="78"/>
      <c r="AE82" s="71"/>
      <c r="AF82" s="1"/>
    </row>
    <row r="83" spans="1:34" s="11" customFormat="1" ht="21" customHeight="1">
      <c r="A83" s="45"/>
      <c r="B83" s="46"/>
      <c r="C83" s="46" t="s">
        <v>74</v>
      </c>
      <c r="D83" s="151">
        <v>1080</v>
      </c>
      <c r="E83" s="103">
        <f>AD83/1000</f>
        <v>1068</v>
      </c>
      <c r="F83" s="108">
        <f>SUMIF($AB$84:$AB$86,"보조",$AD$84:$AD$86)/1000</f>
        <v>0</v>
      </c>
      <c r="G83" s="108">
        <f>SUMIF($AB$84:$AB$86,"7종",$AD$84:$AD$86)/1000</f>
        <v>0</v>
      </c>
      <c r="H83" s="108">
        <f>SUMIF($AB$84:$AB$86,"4종",$AD$84:$AD$86)/1000</f>
        <v>0</v>
      </c>
      <c r="I83" s="108">
        <f>SUMIF($AB$84:$AB$86,"후원",$AD$84:$AD$86)/1000</f>
        <v>0</v>
      </c>
      <c r="J83" s="108">
        <f>SUMIF($AB$84:$AB$86,"입소",$AD$84:$AD$86)/1000</f>
        <v>0</v>
      </c>
      <c r="K83" s="108">
        <f>SUMIF($AB$84:$AB$86,"법인",$AD$84:$AD$86)/1000</f>
        <v>1068</v>
      </c>
      <c r="L83" s="108">
        <f>SUMIF($AB$84:$AB$86,"잡수",$AD$84:$AD$86)/1000</f>
        <v>0</v>
      </c>
      <c r="M83" s="103">
        <f>E83-D83</f>
        <v>-12</v>
      </c>
      <c r="N83" s="68">
        <f>IF(D83=0,0,M83/D83)</f>
        <v>-1.1111111111111112E-2</v>
      </c>
      <c r="O83" s="110" t="s">
        <v>38</v>
      </c>
      <c r="P83" s="32"/>
      <c r="Q83" s="32"/>
      <c r="R83" s="32"/>
      <c r="S83" s="32"/>
      <c r="T83" s="33"/>
      <c r="U83" s="33"/>
      <c r="V83" s="33"/>
      <c r="W83" s="33"/>
      <c r="X83" s="33"/>
      <c r="Y83" s="169" t="s">
        <v>137</v>
      </c>
      <c r="Z83" s="169"/>
      <c r="AA83" s="169"/>
      <c r="AB83" s="169"/>
      <c r="AC83" s="171"/>
      <c r="AD83" s="171">
        <f>SUM(AD84:AD86)</f>
        <v>1068000</v>
      </c>
      <c r="AE83" s="170" t="s">
        <v>25</v>
      </c>
      <c r="AF83" s="1"/>
    </row>
    <row r="84" spans="1:34" s="14" customFormat="1" ht="21" customHeight="1">
      <c r="A84" s="45"/>
      <c r="B84" s="46"/>
      <c r="C84" s="46"/>
      <c r="D84" s="151"/>
      <c r="E84" s="103"/>
      <c r="F84" s="103"/>
      <c r="G84" s="103"/>
      <c r="H84" s="103"/>
      <c r="I84" s="103"/>
      <c r="J84" s="103"/>
      <c r="K84" s="103"/>
      <c r="L84" s="103"/>
      <c r="M84" s="103"/>
      <c r="N84" s="68"/>
      <c r="O84" s="279" t="s">
        <v>207</v>
      </c>
      <c r="P84" s="279"/>
      <c r="Q84" s="279"/>
      <c r="R84" s="279"/>
      <c r="S84" s="277"/>
      <c r="T84" s="339"/>
      <c r="U84" s="339"/>
      <c r="V84" s="277"/>
      <c r="W84" s="279"/>
      <c r="X84" s="277"/>
      <c r="Y84" s="277"/>
      <c r="Z84" s="277"/>
      <c r="AA84" s="277"/>
      <c r="AB84" s="589" t="s">
        <v>666</v>
      </c>
      <c r="AC84" s="589"/>
      <c r="AD84" s="378">
        <v>268000</v>
      </c>
      <c r="AE84" s="131" t="s">
        <v>650</v>
      </c>
      <c r="AF84" s="4"/>
    </row>
    <row r="85" spans="1:34" s="14" customFormat="1" ht="21" customHeight="1">
      <c r="A85" s="45"/>
      <c r="B85" s="46"/>
      <c r="C85" s="46"/>
      <c r="D85" s="151"/>
      <c r="E85" s="103"/>
      <c r="F85" s="103"/>
      <c r="G85" s="103"/>
      <c r="H85" s="103"/>
      <c r="I85" s="103"/>
      <c r="J85" s="103"/>
      <c r="K85" s="103"/>
      <c r="L85" s="103"/>
      <c r="M85" s="103"/>
      <c r="N85" s="68"/>
      <c r="O85" s="377" t="s">
        <v>259</v>
      </c>
      <c r="P85" s="377"/>
      <c r="Q85" s="377"/>
      <c r="R85" s="377"/>
      <c r="S85" s="376">
        <v>50000</v>
      </c>
      <c r="T85" s="376" t="s">
        <v>258</v>
      </c>
      <c r="U85" s="377" t="s">
        <v>260</v>
      </c>
      <c r="V85" s="376">
        <v>4</v>
      </c>
      <c r="W85" s="376" t="s">
        <v>261</v>
      </c>
      <c r="X85" s="377" t="s">
        <v>260</v>
      </c>
      <c r="Y85" s="298">
        <v>4</v>
      </c>
      <c r="Z85" s="536" t="s">
        <v>551</v>
      </c>
      <c r="AA85" s="291" t="s">
        <v>263</v>
      </c>
      <c r="AB85" s="560" t="s">
        <v>666</v>
      </c>
      <c r="AC85" s="590"/>
      <c r="AD85" s="589">
        <f>S85*V85*Y85</f>
        <v>800000</v>
      </c>
      <c r="AE85" s="131" t="s">
        <v>650</v>
      </c>
      <c r="AF85" s="4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377"/>
      <c r="P86" s="377"/>
      <c r="Q86" s="377"/>
      <c r="R86" s="377"/>
      <c r="S86" s="376"/>
      <c r="T86" s="297"/>
      <c r="U86" s="297"/>
      <c r="V86" s="376"/>
      <c r="W86" s="377"/>
      <c r="X86" s="376"/>
      <c r="Y86" s="376"/>
      <c r="Z86" s="376"/>
      <c r="AA86" s="376"/>
      <c r="AB86" s="589"/>
      <c r="AC86" s="589"/>
      <c r="AD86" s="589"/>
      <c r="AE86" s="131" t="s">
        <v>650</v>
      </c>
      <c r="AF86" s="4"/>
    </row>
    <row r="87" spans="1:34" s="11" customFormat="1" ht="21" customHeight="1">
      <c r="A87" s="45"/>
      <c r="B87" s="36" t="s">
        <v>12</v>
      </c>
      <c r="C87" s="165" t="s">
        <v>5</v>
      </c>
      <c r="D87" s="166">
        <f t="shared" ref="D87:L87" si="4">SUM(D88,D91,D114,D123,D138,D144)</f>
        <v>91420</v>
      </c>
      <c r="E87" s="166">
        <f t="shared" si="4"/>
        <v>103430</v>
      </c>
      <c r="F87" s="166">
        <f t="shared" si="4"/>
        <v>58182</v>
      </c>
      <c r="G87" s="166">
        <f t="shared" si="4"/>
        <v>3600</v>
      </c>
      <c r="H87" s="166">
        <f t="shared" si="4"/>
        <v>0</v>
      </c>
      <c r="I87" s="166">
        <f t="shared" si="4"/>
        <v>26562</v>
      </c>
      <c r="J87" s="166">
        <f t="shared" si="4"/>
        <v>0</v>
      </c>
      <c r="K87" s="166">
        <f t="shared" si="4"/>
        <v>9900</v>
      </c>
      <c r="L87" s="166">
        <f t="shared" si="4"/>
        <v>5186</v>
      </c>
      <c r="M87" s="166">
        <f>E87-D87</f>
        <v>12010</v>
      </c>
      <c r="N87" s="167">
        <f>IF(D87=0,0,M87/D87)</f>
        <v>0.13137169109604024</v>
      </c>
      <c r="O87" s="168" t="s">
        <v>138</v>
      </c>
      <c r="P87" s="168"/>
      <c r="Q87" s="168"/>
      <c r="R87" s="168"/>
      <c r="S87" s="169"/>
      <c r="T87" s="181"/>
      <c r="U87" s="169"/>
      <c r="V87" s="748"/>
      <c r="W87" s="749"/>
      <c r="X87" s="169"/>
      <c r="Y87" s="169"/>
      <c r="Z87" s="169"/>
      <c r="AA87" s="169"/>
      <c r="AB87" s="169"/>
      <c r="AC87" s="169"/>
      <c r="AD87" s="169">
        <f>SUM(AD88,AD91,AD114,AD123,AD138,AD144)</f>
        <v>103430000</v>
      </c>
      <c r="AE87" s="170" t="s">
        <v>25</v>
      </c>
      <c r="AF87" s="1"/>
    </row>
    <row r="88" spans="1:34" s="11" customFormat="1" ht="21" customHeight="1">
      <c r="A88" s="45"/>
      <c r="B88" s="46"/>
      <c r="C88" s="46" t="s">
        <v>75</v>
      </c>
      <c r="D88" s="151">
        <v>1000</v>
      </c>
      <c r="E88" s="103">
        <f>AD88/1000</f>
        <v>1000</v>
      </c>
      <c r="F88" s="108">
        <f>SUMIF($AB$89:$AB$90,"보조",$AD$89:$AD$90)/1000</f>
        <v>0</v>
      </c>
      <c r="G88" s="108">
        <f>SUMIF($AB$89:$AB$90,"7종",$AD$89:$AD$90)/1000</f>
        <v>0</v>
      </c>
      <c r="H88" s="108">
        <f>SUMIF($AB$89:$AB$90,"4종",$AD$89:$AD$90)/1000</f>
        <v>0</v>
      </c>
      <c r="I88" s="108">
        <f>SUMIF($AB$89:$AB$90,"후원",$AD$89:$AD$90)/1000</f>
        <v>1000</v>
      </c>
      <c r="J88" s="108">
        <f>SUMIF($AB$89:$AB$90,"입소",$AD$89:$AD$90)/1000</f>
        <v>0</v>
      </c>
      <c r="K88" s="108">
        <f>SUMIF($AB$89:$AB$90,"법인",$AD$89:$AD$90)/1000</f>
        <v>0</v>
      </c>
      <c r="L88" s="108">
        <f>SUMIF($AB$89:$AB$90,"잡수",$AD$89:$AD$90)/1000</f>
        <v>0</v>
      </c>
      <c r="M88" s="103">
        <f>E88-D88</f>
        <v>0</v>
      </c>
      <c r="N88" s="68">
        <f>IF(D88=0,0,M88/D88)</f>
        <v>0</v>
      </c>
      <c r="O88" s="110" t="s">
        <v>40</v>
      </c>
      <c r="P88" s="32"/>
      <c r="Q88" s="32"/>
      <c r="R88" s="32"/>
      <c r="S88" s="32"/>
      <c r="T88" s="33"/>
      <c r="U88" s="33"/>
      <c r="V88" s="33"/>
      <c r="W88" s="33"/>
      <c r="X88" s="33"/>
      <c r="Y88" s="362" t="s">
        <v>137</v>
      </c>
      <c r="Z88" s="362"/>
      <c r="AA88" s="362"/>
      <c r="AB88" s="362"/>
      <c r="AC88" s="171"/>
      <c r="AD88" s="171">
        <f>SUM(AD89:AD89)</f>
        <v>1000000</v>
      </c>
      <c r="AE88" s="170" t="s">
        <v>25</v>
      </c>
      <c r="AF88" s="20"/>
      <c r="AG88" s="19"/>
      <c r="AH88" s="19"/>
    </row>
    <row r="89" spans="1:34" s="11" customFormat="1" ht="21" customHeight="1">
      <c r="A89" s="45"/>
      <c r="B89" s="46"/>
      <c r="C89" s="46"/>
      <c r="D89" s="151"/>
      <c r="E89" s="103"/>
      <c r="F89" s="103"/>
      <c r="G89" s="103"/>
      <c r="H89" s="103"/>
      <c r="I89" s="103"/>
      <c r="J89" s="103"/>
      <c r="K89" s="103"/>
      <c r="L89" s="103"/>
      <c r="M89" s="103"/>
      <c r="N89" s="68"/>
      <c r="O89" s="279" t="s">
        <v>219</v>
      </c>
      <c r="P89" s="279"/>
      <c r="Q89" s="279"/>
      <c r="R89" s="279"/>
      <c r="S89" s="589">
        <v>20000</v>
      </c>
      <c r="T89" s="297" t="s">
        <v>25</v>
      </c>
      <c r="U89" s="297" t="s">
        <v>26</v>
      </c>
      <c r="V89" s="589">
        <v>25</v>
      </c>
      <c r="W89" s="297" t="s">
        <v>139</v>
      </c>
      <c r="X89" s="589" t="s">
        <v>26</v>
      </c>
      <c r="Y89" s="640">
        <v>2</v>
      </c>
      <c r="Z89" s="589" t="s">
        <v>653</v>
      </c>
      <c r="AA89" s="589" t="s">
        <v>27</v>
      </c>
      <c r="AB89" s="589" t="s">
        <v>671</v>
      </c>
      <c r="AC89" s="589"/>
      <c r="AD89" s="589">
        <f>S89*V89*Y89</f>
        <v>1000000</v>
      </c>
      <c r="AE89" s="131" t="s">
        <v>650</v>
      </c>
      <c r="AF89" s="2"/>
    </row>
    <row r="90" spans="1:34" s="11" customFormat="1" ht="21" customHeight="1">
      <c r="A90" s="45"/>
      <c r="B90" s="46"/>
      <c r="C90" s="46"/>
      <c r="D90" s="151"/>
      <c r="E90" s="103"/>
      <c r="F90" s="103"/>
      <c r="G90" s="103"/>
      <c r="H90" s="103"/>
      <c r="I90" s="103"/>
      <c r="J90" s="103"/>
      <c r="K90" s="103"/>
      <c r="L90" s="103"/>
      <c r="M90" s="103"/>
      <c r="N90" s="68"/>
      <c r="O90" s="178"/>
      <c r="P90" s="50"/>
      <c r="Q90" s="50"/>
      <c r="R90" s="50"/>
      <c r="S90" s="51"/>
      <c r="T90" s="55"/>
      <c r="U90" s="55"/>
      <c r="V90" s="51"/>
      <c r="W90" s="55"/>
      <c r="X90" s="51"/>
      <c r="Y90" s="51"/>
      <c r="Z90" s="177"/>
      <c r="AA90" s="51"/>
      <c r="AB90" s="177"/>
      <c r="AC90" s="51"/>
      <c r="AD90" s="51"/>
      <c r="AE90" s="57" t="s">
        <v>62</v>
      </c>
      <c r="AF90" s="2"/>
    </row>
    <row r="91" spans="1:34" s="11" customFormat="1" ht="21" customHeight="1">
      <c r="A91" s="45"/>
      <c r="B91" s="46"/>
      <c r="C91" s="36" t="s">
        <v>41</v>
      </c>
      <c r="D91" s="153">
        <v>23635</v>
      </c>
      <c r="E91" s="107">
        <f>ROUND(AD91/1000,0)</f>
        <v>32229</v>
      </c>
      <c r="F91" s="108">
        <f>SUMIF($AB$92:$AB$110,"보조",$AD$92:$AD$110)/1000</f>
        <v>19887</v>
      </c>
      <c r="G91" s="108">
        <f>SUMIF($AB$92:$AB$110,"7종",$AD$92:$AD$110)/1000</f>
        <v>0</v>
      </c>
      <c r="H91" s="108">
        <f>SUMIF($AB$92:$AB$110,"4종",$AD$92:$AD$110)/1000</f>
        <v>0</v>
      </c>
      <c r="I91" s="108">
        <f>SUMIF($AB$92:$AB$110,"후원",$AD$92:$AD$110)/1000</f>
        <v>10528</v>
      </c>
      <c r="J91" s="108">
        <f>SUMIF($AB$92:$AB$110,"입소",$AD$92:$AD$110)/1000</f>
        <v>0</v>
      </c>
      <c r="K91" s="108">
        <f>SUMIF($AB$92:$AB$110,"법인",$AD$92:$AD$110)/1000</f>
        <v>0</v>
      </c>
      <c r="L91" s="108">
        <f>SUMIF($AB$92:$AB$110,"잡수",$AD$92:$AD$110)/1000</f>
        <v>1814</v>
      </c>
      <c r="M91" s="107">
        <f>E91-D91</f>
        <v>8594</v>
      </c>
      <c r="N91" s="115">
        <f>IF(D91=0,0,M91/D91)</f>
        <v>0.36361328538184895</v>
      </c>
      <c r="O91" s="304" t="s">
        <v>42</v>
      </c>
      <c r="P91" s="305"/>
      <c r="Q91" s="305"/>
      <c r="R91" s="305"/>
      <c r="S91" s="305"/>
      <c r="T91" s="306"/>
      <c r="U91" s="306"/>
      <c r="V91" s="306"/>
      <c r="W91" s="306"/>
      <c r="X91" s="306"/>
      <c r="Y91" s="307" t="s">
        <v>28</v>
      </c>
      <c r="Z91" s="307"/>
      <c r="AA91" s="307"/>
      <c r="AB91" s="307"/>
      <c r="AC91" s="308"/>
      <c r="AD91" s="308">
        <f>SUM(AD92:AD110)</f>
        <v>32229000</v>
      </c>
      <c r="AE91" s="170" t="s">
        <v>25</v>
      </c>
      <c r="AF91" s="1"/>
    </row>
    <row r="92" spans="1:34" s="11" customFormat="1" ht="21" customHeight="1">
      <c r="A92" s="45"/>
      <c r="B92" s="46"/>
      <c r="C92" s="46" t="s">
        <v>143</v>
      </c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309" t="s">
        <v>265</v>
      </c>
      <c r="P92" s="377"/>
      <c r="Q92" s="377"/>
      <c r="R92" s="377"/>
      <c r="S92" s="376"/>
      <c r="T92" s="297"/>
      <c r="U92" s="376"/>
      <c r="V92" s="310">
        <v>205000</v>
      </c>
      <c r="W92" s="311" t="s">
        <v>56</v>
      </c>
      <c r="X92" s="311" t="s">
        <v>26</v>
      </c>
      <c r="Y92" s="310">
        <v>8</v>
      </c>
      <c r="Z92" s="312" t="s">
        <v>29</v>
      </c>
      <c r="AA92" s="310" t="s">
        <v>27</v>
      </c>
      <c r="AB92" s="293" t="s">
        <v>266</v>
      </c>
      <c r="AC92" s="293"/>
      <c r="AD92" s="432">
        <f t="shared" ref="AD92:AD99" si="5">V92*Y92</f>
        <v>1640000</v>
      </c>
      <c r="AE92" s="397" t="s">
        <v>25</v>
      </c>
      <c r="AF92" s="1"/>
    </row>
    <row r="93" spans="1:34" s="11" customFormat="1" ht="21" customHeight="1">
      <c r="A93" s="45"/>
      <c r="B93" s="46"/>
      <c r="C93" s="46"/>
      <c r="D93" s="151"/>
      <c r="E93" s="103"/>
      <c r="F93" s="103"/>
      <c r="G93" s="103"/>
      <c r="H93" s="103"/>
      <c r="I93" s="103"/>
      <c r="J93" s="103"/>
      <c r="K93" s="103"/>
      <c r="L93" s="103"/>
      <c r="M93" s="103"/>
      <c r="N93" s="68"/>
      <c r="O93" s="377" t="s">
        <v>267</v>
      </c>
      <c r="P93" s="377"/>
      <c r="Q93" s="377"/>
      <c r="R93" s="377"/>
      <c r="S93" s="376"/>
      <c r="T93" s="297"/>
      <c r="U93" s="297"/>
      <c r="V93" s="310">
        <v>218000</v>
      </c>
      <c r="W93" s="311" t="s">
        <v>56</v>
      </c>
      <c r="X93" s="311" t="s">
        <v>26</v>
      </c>
      <c r="Y93" s="310">
        <v>8</v>
      </c>
      <c r="Z93" s="312" t="s">
        <v>29</v>
      </c>
      <c r="AA93" s="310" t="s">
        <v>27</v>
      </c>
      <c r="AB93" s="432" t="s">
        <v>298</v>
      </c>
      <c r="AC93" s="432"/>
      <c r="AD93" s="622">
        <f t="shared" si="5"/>
        <v>1744000</v>
      </c>
      <c r="AE93" s="131" t="s">
        <v>750</v>
      </c>
      <c r="AF93" s="20"/>
    </row>
    <row r="94" spans="1:34" s="11" customFormat="1" ht="21" customHeight="1">
      <c r="A94" s="45"/>
      <c r="B94" s="46"/>
      <c r="C94" s="46"/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442" t="s">
        <v>337</v>
      </c>
      <c r="P94" s="442"/>
      <c r="Q94" s="442"/>
      <c r="R94" s="442"/>
      <c r="S94" s="441"/>
      <c r="T94" s="297"/>
      <c r="U94" s="297"/>
      <c r="V94" s="310">
        <v>170000</v>
      </c>
      <c r="W94" s="311" t="s">
        <v>56</v>
      </c>
      <c r="X94" s="311" t="s">
        <v>26</v>
      </c>
      <c r="Y94" s="310">
        <v>12</v>
      </c>
      <c r="Z94" s="312" t="s">
        <v>29</v>
      </c>
      <c r="AA94" s="310" t="s">
        <v>27</v>
      </c>
      <c r="AB94" s="441" t="s">
        <v>76</v>
      </c>
      <c r="AC94" s="441"/>
      <c r="AD94" s="622">
        <f t="shared" ref="AD94:AD95" si="6">V94*Y94</f>
        <v>2040000</v>
      </c>
      <c r="AE94" s="131" t="s">
        <v>750</v>
      </c>
      <c r="AF94" s="20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550" t="s">
        <v>589</v>
      </c>
      <c r="P95" s="550"/>
      <c r="Q95" s="550"/>
      <c r="R95" s="550"/>
      <c r="S95" s="549"/>
      <c r="T95" s="297"/>
      <c r="U95" s="297"/>
      <c r="V95" s="310">
        <v>50000</v>
      </c>
      <c r="W95" s="311" t="s">
        <v>578</v>
      </c>
      <c r="X95" s="311" t="s">
        <v>26</v>
      </c>
      <c r="Y95" s="310">
        <v>12</v>
      </c>
      <c r="Z95" s="312" t="s">
        <v>29</v>
      </c>
      <c r="AA95" s="310" t="s">
        <v>27</v>
      </c>
      <c r="AB95" s="549" t="s">
        <v>585</v>
      </c>
      <c r="AC95" s="549"/>
      <c r="AD95" s="622">
        <f t="shared" si="6"/>
        <v>600000</v>
      </c>
      <c r="AE95" s="131" t="s">
        <v>750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442" t="s">
        <v>338</v>
      </c>
      <c r="P96" s="377"/>
      <c r="Q96" s="377"/>
      <c r="R96" s="377"/>
      <c r="S96" s="376"/>
      <c r="T96" s="297"/>
      <c r="U96" s="297"/>
      <c r="V96" s="310">
        <v>200000</v>
      </c>
      <c r="W96" s="311" t="s">
        <v>56</v>
      </c>
      <c r="X96" s="311" t="s">
        <v>26</v>
      </c>
      <c r="Y96" s="310">
        <v>6</v>
      </c>
      <c r="Z96" s="312" t="s">
        <v>29</v>
      </c>
      <c r="AA96" s="310" t="s">
        <v>27</v>
      </c>
      <c r="AB96" s="376" t="s">
        <v>266</v>
      </c>
      <c r="AC96" s="376"/>
      <c r="AD96" s="622">
        <f t="shared" si="5"/>
        <v>1200000</v>
      </c>
      <c r="AE96" s="131" t="s">
        <v>750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654"/>
      <c r="P97" s="654"/>
      <c r="Q97" s="654"/>
      <c r="R97" s="654"/>
      <c r="S97" s="653"/>
      <c r="T97" s="297"/>
      <c r="U97" s="297"/>
      <c r="V97" s="310"/>
      <c r="W97" s="311"/>
      <c r="X97" s="311"/>
      <c r="Y97" s="310"/>
      <c r="Z97" s="312"/>
      <c r="AA97" s="310"/>
      <c r="AB97" s="378" t="s">
        <v>886</v>
      </c>
      <c r="AC97" s="378"/>
      <c r="AD97" s="378">
        <v>1230000</v>
      </c>
      <c r="AE97" s="619" t="s">
        <v>865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641"/>
      <c r="P98" s="641"/>
      <c r="Q98" s="641"/>
      <c r="R98" s="641"/>
      <c r="S98" s="640"/>
      <c r="T98" s="297"/>
      <c r="U98" s="297"/>
      <c r="V98" s="310"/>
      <c r="W98" s="311"/>
      <c r="X98" s="311"/>
      <c r="Y98" s="310"/>
      <c r="Z98" s="312"/>
      <c r="AA98" s="310"/>
      <c r="AB98" s="676" t="s">
        <v>76</v>
      </c>
      <c r="AC98" s="640"/>
      <c r="AD98" s="640">
        <v>780000</v>
      </c>
      <c r="AE98" s="131" t="s">
        <v>795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442" t="s">
        <v>339</v>
      </c>
      <c r="P99" s="377"/>
      <c r="Q99" s="377"/>
      <c r="R99" s="377"/>
      <c r="S99" s="376"/>
      <c r="T99" s="297"/>
      <c r="U99" s="297"/>
      <c r="V99" s="310">
        <v>101000</v>
      </c>
      <c r="W99" s="311" t="s">
        <v>56</v>
      </c>
      <c r="X99" s="311" t="s">
        <v>26</v>
      </c>
      <c r="Y99" s="310">
        <v>12</v>
      </c>
      <c r="Z99" s="312" t="s">
        <v>29</v>
      </c>
      <c r="AA99" s="310" t="s">
        <v>27</v>
      </c>
      <c r="AB99" s="432" t="s">
        <v>76</v>
      </c>
      <c r="AC99" s="432"/>
      <c r="AD99" s="622">
        <f t="shared" si="5"/>
        <v>1212000</v>
      </c>
      <c r="AE99" s="131" t="s">
        <v>750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442" t="s">
        <v>340</v>
      </c>
      <c r="P100" s="377"/>
      <c r="Q100" s="377"/>
      <c r="R100" s="377"/>
      <c r="S100" s="376"/>
      <c r="T100" s="297"/>
      <c r="U100" s="297"/>
      <c r="V100" s="310">
        <v>170000</v>
      </c>
      <c r="W100" s="311" t="s">
        <v>56</v>
      </c>
      <c r="X100" s="311" t="s">
        <v>26</v>
      </c>
      <c r="Y100" s="310">
        <v>12</v>
      </c>
      <c r="Z100" s="312" t="s">
        <v>29</v>
      </c>
      <c r="AA100" s="310" t="s">
        <v>27</v>
      </c>
      <c r="AB100" s="432" t="s">
        <v>76</v>
      </c>
      <c r="AC100" s="432"/>
      <c r="AD100" s="622">
        <f>V100*Y100</f>
        <v>2040000</v>
      </c>
      <c r="AE100" s="131" t="s">
        <v>750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442" t="s">
        <v>341</v>
      </c>
      <c r="P101" s="433"/>
      <c r="Q101" s="433"/>
      <c r="R101" s="433"/>
      <c r="S101" s="432"/>
      <c r="T101" s="297"/>
      <c r="U101" s="297"/>
      <c r="V101" s="310"/>
      <c r="W101" s="311" t="s">
        <v>56</v>
      </c>
      <c r="X101" s="311" t="s">
        <v>26</v>
      </c>
      <c r="Y101" s="310"/>
      <c r="Z101" s="312" t="s">
        <v>29</v>
      </c>
      <c r="AA101" s="310" t="s">
        <v>27</v>
      </c>
      <c r="AB101" s="432" t="s">
        <v>76</v>
      </c>
      <c r="AC101" s="432"/>
      <c r="AD101" s="432">
        <v>1980000</v>
      </c>
      <c r="AE101" s="131" t="s">
        <v>56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531" t="s">
        <v>544</v>
      </c>
      <c r="P102" s="531"/>
      <c r="Q102" s="531"/>
      <c r="R102" s="531"/>
      <c r="S102" s="530"/>
      <c r="T102" s="297"/>
      <c r="U102" s="530"/>
      <c r="V102" s="758"/>
      <c r="W102" s="759"/>
      <c r="X102" s="530"/>
      <c r="Y102" s="530"/>
      <c r="Z102" s="530"/>
      <c r="AA102" s="530"/>
      <c r="AB102" s="530" t="s">
        <v>76</v>
      </c>
      <c r="AC102" s="530"/>
      <c r="AD102" s="530">
        <v>2837000</v>
      </c>
      <c r="AE102" s="131" t="s">
        <v>25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550"/>
      <c r="P103" s="550"/>
      <c r="Q103" s="550"/>
      <c r="R103" s="550"/>
      <c r="S103" s="549"/>
      <c r="T103" s="297"/>
      <c r="U103" s="549"/>
      <c r="V103" s="549"/>
      <c r="W103" s="550"/>
      <c r="X103" s="549"/>
      <c r="Y103" s="549"/>
      <c r="Z103" s="549"/>
      <c r="AA103" s="549"/>
      <c r="AB103" s="549" t="s">
        <v>152</v>
      </c>
      <c r="AC103" s="549"/>
      <c r="AD103" s="549">
        <v>1500000</v>
      </c>
      <c r="AE103" s="131" t="s">
        <v>579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531" t="s">
        <v>545</v>
      </c>
      <c r="P104" s="531"/>
      <c r="Q104" s="531"/>
      <c r="R104" s="531"/>
      <c r="S104" s="530"/>
      <c r="T104" s="297"/>
      <c r="U104" s="297"/>
      <c r="V104" s="530"/>
      <c r="W104" s="531"/>
      <c r="X104" s="530"/>
      <c r="Y104" s="530"/>
      <c r="Z104" s="530"/>
      <c r="AA104" s="530"/>
      <c r="AB104" s="530" t="s">
        <v>76</v>
      </c>
      <c r="AC104" s="530"/>
      <c r="AD104" s="530">
        <v>430000</v>
      </c>
      <c r="AE104" s="131" t="s">
        <v>25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550" t="s">
        <v>590</v>
      </c>
      <c r="P105" s="550"/>
      <c r="Q105" s="550"/>
      <c r="R105" s="550"/>
      <c r="S105" s="549"/>
      <c r="T105" s="297"/>
      <c r="U105" s="297"/>
      <c r="V105" s="310">
        <v>282000</v>
      </c>
      <c r="W105" s="311" t="s">
        <v>578</v>
      </c>
      <c r="X105" s="311" t="s">
        <v>26</v>
      </c>
      <c r="Y105" s="310">
        <v>12</v>
      </c>
      <c r="Z105" s="312" t="s">
        <v>29</v>
      </c>
      <c r="AA105" s="310" t="s">
        <v>27</v>
      </c>
      <c r="AB105" s="549" t="s">
        <v>585</v>
      </c>
      <c r="AC105" s="549"/>
      <c r="AD105" s="549">
        <f>V105*Y105</f>
        <v>3384000</v>
      </c>
      <c r="AE105" s="131" t="s">
        <v>733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550"/>
      <c r="P106" s="550"/>
      <c r="Q106" s="550"/>
      <c r="R106" s="550"/>
      <c r="S106" s="549"/>
      <c r="T106" s="297"/>
      <c r="U106" s="297"/>
      <c r="V106" s="549"/>
      <c r="W106" s="549"/>
      <c r="X106" s="549"/>
      <c r="Y106" s="549"/>
      <c r="Z106" s="549"/>
      <c r="AA106" s="549"/>
      <c r="AB106" s="549" t="s">
        <v>584</v>
      </c>
      <c r="AC106" s="549"/>
      <c r="AD106" s="657">
        <v>326000</v>
      </c>
      <c r="AE106" s="131" t="s">
        <v>805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677" t="s">
        <v>883</v>
      </c>
      <c r="P107" s="550"/>
      <c r="Q107" s="550"/>
      <c r="R107" s="550"/>
      <c r="S107" s="549"/>
      <c r="T107" s="297"/>
      <c r="U107" s="297"/>
      <c r="V107" s="549"/>
      <c r="W107" s="549"/>
      <c r="X107" s="549"/>
      <c r="Y107" s="549"/>
      <c r="Z107" s="549"/>
      <c r="AA107" s="549"/>
      <c r="AB107" s="657" t="s">
        <v>824</v>
      </c>
      <c r="AC107" s="549"/>
      <c r="AD107" s="549">
        <v>584000</v>
      </c>
      <c r="AE107" s="131" t="s">
        <v>733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562" t="s">
        <v>610</v>
      </c>
      <c r="P108" s="562"/>
      <c r="Q108" s="562"/>
      <c r="R108" s="562"/>
      <c r="S108" s="561">
        <v>150000</v>
      </c>
      <c r="T108" s="297" t="s">
        <v>605</v>
      </c>
      <c r="U108" s="297" t="s">
        <v>26</v>
      </c>
      <c r="V108" s="561">
        <v>6</v>
      </c>
      <c r="W108" s="561" t="s">
        <v>606</v>
      </c>
      <c r="X108" s="560" t="s">
        <v>27</v>
      </c>
      <c r="Y108" s="561"/>
      <c r="Z108" s="561"/>
      <c r="AA108" s="560"/>
      <c r="AB108" s="561" t="s">
        <v>609</v>
      </c>
      <c r="AC108" s="561"/>
      <c r="AD108" s="561">
        <v>300000</v>
      </c>
      <c r="AE108" s="404" t="s">
        <v>733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436" t="s">
        <v>885</v>
      </c>
      <c r="P109" s="436"/>
      <c r="Q109" s="436"/>
      <c r="R109" s="436"/>
      <c r="S109" s="378"/>
      <c r="T109" s="284"/>
      <c r="U109" s="284"/>
      <c r="V109" s="378"/>
      <c r="W109" s="436"/>
      <c r="X109" s="378"/>
      <c r="Y109" s="378"/>
      <c r="Z109" s="378"/>
      <c r="AA109" s="378"/>
      <c r="AB109" s="378" t="s">
        <v>881</v>
      </c>
      <c r="AC109" s="378"/>
      <c r="AD109" s="378">
        <v>7364000</v>
      </c>
      <c r="AE109" s="619" t="s">
        <v>865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544" t="s">
        <v>552</v>
      </c>
      <c r="P110" s="377"/>
      <c r="Q110" s="377"/>
      <c r="R110" s="377"/>
      <c r="S110" s="376"/>
      <c r="T110" s="297"/>
      <c r="U110" s="376"/>
      <c r="V110" s="376"/>
      <c r="W110" s="377"/>
      <c r="X110" s="376"/>
      <c r="Y110" s="376"/>
      <c r="Z110" s="376"/>
      <c r="AA110" s="376"/>
      <c r="AB110" s="376" t="s">
        <v>152</v>
      </c>
      <c r="AC110" s="376"/>
      <c r="AD110" s="376">
        <f>SUM(AD111:AD113)</f>
        <v>1038000</v>
      </c>
      <c r="AE110" s="131" t="s">
        <v>248</v>
      </c>
      <c r="AF110" s="1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312" t="s">
        <v>611</v>
      </c>
      <c r="P111" s="312"/>
      <c r="Q111" s="312"/>
      <c r="R111" s="312"/>
      <c r="S111" s="310">
        <v>44000</v>
      </c>
      <c r="T111" s="311" t="s">
        <v>608</v>
      </c>
      <c r="U111" s="311" t="s">
        <v>26</v>
      </c>
      <c r="V111" s="310">
        <v>12</v>
      </c>
      <c r="W111" s="312" t="s">
        <v>29</v>
      </c>
      <c r="X111" s="310" t="s">
        <v>27</v>
      </c>
      <c r="Y111" s="310"/>
      <c r="Z111" s="310"/>
      <c r="AA111" s="310"/>
      <c r="AB111" s="310"/>
      <c r="AC111" s="310"/>
      <c r="AD111" s="561">
        <f>S111*V111</f>
        <v>528000</v>
      </c>
      <c r="AE111" s="404" t="s">
        <v>608</v>
      </c>
      <c r="AF111" s="1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312" t="s">
        <v>612</v>
      </c>
      <c r="P112" s="312"/>
      <c r="Q112" s="312"/>
      <c r="R112" s="312"/>
      <c r="S112" s="310">
        <v>40000</v>
      </c>
      <c r="T112" s="311" t="s">
        <v>608</v>
      </c>
      <c r="U112" s="311" t="s">
        <v>26</v>
      </c>
      <c r="V112" s="310">
        <v>12</v>
      </c>
      <c r="W112" s="312" t="s">
        <v>29</v>
      </c>
      <c r="X112" s="310" t="s">
        <v>27</v>
      </c>
      <c r="Y112" s="310"/>
      <c r="Z112" s="310"/>
      <c r="AA112" s="310"/>
      <c r="AB112" s="310"/>
      <c r="AC112" s="310"/>
      <c r="AD112" s="561">
        <f>S112*V112</f>
        <v>480000</v>
      </c>
      <c r="AE112" s="404" t="s">
        <v>608</v>
      </c>
      <c r="AF112" s="1"/>
    </row>
    <row r="113" spans="1:32" s="11" customFormat="1" ht="21" customHeight="1">
      <c r="A113" s="45"/>
      <c r="B113" s="46"/>
      <c r="C113" s="59"/>
      <c r="D113" s="152"/>
      <c r="E113" s="105"/>
      <c r="F113" s="105"/>
      <c r="G113" s="105"/>
      <c r="H113" s="105"/>
      <c r="I113" s="105"/>
      <c r="J113" s="105"/>
      <c r="K113" s="105"/>
      <c r="L113" s="105"/>
      <c r="M113" s="105"/>
      <c r="N113" s="82"/>
      <c r="O113" s="566" t="s">
        <v>613</v>
      </c>
      <c r="P113" s="566"/>
      <c r="Q113" s="566"/>
      <c r="R113" s="566"/>
      <c r="S113" s="566"/>
      <c r="T113" s="566"/>
      <c r="U113" s="566"/>
      <c r="V113" s="566"/>
      <c r="W113" s="566"/>
      <c r="X113" s="566"/>
      <c r="Y113" s="566"/>
      <c r="Z113" s="566"/>
      <c r="AA113" s="566"/>
      <c r="AB113" s="566"/>
      <c r="AC113" s="566"/>
      <c r="AD113" s="567">
        <v>30000</v>
      </c>
      <c r="AE113" s="568" t="s">
        <v>608</v>
      </c>
      <c r="AF113" s="1"/>
    </row>
    <row r="114" spans="1:32" s="11" customFormat="1" ht="21" customHeight="1">
      <c r="A114" s="45"/>
      <c r="B114" s="46"/>
      <c r="C114" s="46" t="s">
        <v>39</v>
      </c>
      <c r="D114" s="151">
        <v>31477</v>
      </c>
      <c r="E114" s="103">
        <f>ROUND(AD114/1000,0)</f>
        <v>33393</v>
      </c>
      <c r="F114" s="108">
        <f>SUMIF($AB$115:$AB$122,"보조",$AD$115:$AD$122)/1000</f>
        <v>28415</v>
      </c>
      <c r="G114" s="108">
        <f>SUMIF($AB$115:$AB$122,"7종",$AD$115:$AD$122)/1000</f>
        <v>0</v>
      </c>
      <c r="H114" s="108">
        <f>SUMIF($AB$115:$AB$122,"4종",$AD$115:$AD$122)/1000</f>
        <v>0</v>
      </c>
      <c r="I114" s="108">
        <f>SUMIF($AB$115:$AB$122,"후원",$AD$115:$AD$122)/1000</f>
        <v>3336</v>
      </c>
      <c r="J114" s="108">
        <f>SUMIF($AB$115:$AB$122,"입소",$AD$115:$AD$122)/1000</f>
        <v>0</v>
      </c>
      <c r="K114" s="108">
        <f>SUMIF($AB$115:$AB$122,"법인",$AD$115:$AD$122)/1000</f>
        <v>0</v>
      </c>
      <c r="L114" s="108">
        <f>SUMIF($AB$115:$AB$122,"잡수",$AD$115:$AD$122)/1000</f>
        <v>1642</v>
      </c>
      <c r="M114" s="103">
        <f>E114-D114</f>
        <v>1916</v>
      </c>
      <c r="N114" s="68">
        <f>IF(D114=0,0,M114/D114)</f>
        <v>6.0869841471550654E-2</v>
      </c>
      <c r="O114" s="340" t="s">
        <v>43</v>
      </c>
      <c r="P114" s="341"/>
      <c r="Q114" s="341"/>
      <c r="R114" s="341"/>
      <c r="S114" s="341"/>
      <c r="T114" s="342"/>
      <c r="U114" s="342"/>
      <c r="V114" s="342"/>
      <c r="W114" s="342"/>
      <c r="X114" s="342"/>
      <c r="Y114" s="343" t="s">
        <v>208</v>
      </c>
      <c r="Z114" s="343"/>
      <c r="AA114" s="343"/>
      <c r="AB114" s="343"/>
      <c r="AC114" s="344"/>
      <c r="AD114" s="344">
        <f>ROUND(SUM(AD115:AD121),-3)</f>
        <v>33393000</v>
      </c>
      <c r="AE114" s="345" t="s">
        <v>25</v>
      </c>
      <c r="AF114" s="1"/>
    </row>
    <row r="115" spans="1:32" s="11" customFormat="1" ht="21" customHeight="1">
      <c r="A115" s="45"/>
      <c r="B115" s="46"/>
      <c r="C115" s="46"/>
      <c r="D115" s="151"/>
      <c r="E115" s="103"/>
      <c r="F115" s="103"/>
      <c r="G115" s="103"/>
      <c r="H115" s="103"/>
      <c r="I115" s="103"/>
      <c r="J115" s="103"/>
      <c r="K115" s="103"/>
      <c r="L115" s="103"/>
      <c r="M115" s="103"/>
      <c r="N115" s="68"/>
      <c r="O115" s="346" t="s">
        <v>300</v>
      </c>
      <c r="P115" s="279"/>
      <c r="Q115" s="279"/>
      <c r="R115" s="279"/>
      <c r="S115" s="277">
        <v>100000</v>
      </c>
      <c r="T115" s="348" t="s">
        <v>25</v>
      </c>
      <c r="U115" s="348" t="s">
        <v>26</v>
      </c>
      <c r="V115" s="347">
        <v>12</v>
      </c>
      <c r="W115" s="349" t="s">
        <v>29</v>
      </c>
      <c r="X115" s="347" t="s">
        <v>27</v>
      </c>
      <c r="Y115" s="277"/>
      <c r="Z115" s="277"/>
      <c r="AA115" s="277"/>
      <c r="AB115" s="277" t="s">
        <v>215</v>
      </c>
      <c r="AC115" s="277"/>
      <c r="AD115" s="277">
        <f t="shared" ref="AD115:AD117" si="7">S115*V115</f>
        <v>1200000</v>
      </c>
      <c r="AE115" s="303" t="s">
        <v>25</v>
      </c>
      <c r="AF115" s="1"/>
    </row>
    <row r="116" spans="1:32" s="11" customFormat="1" ht="21" customHeight="1">
      <c r="A116" s="45"/>
      <c r="B116" s="46"/>
      <c r="C116" s="46"/>
      <c r="D116" s="151"/>
      <c r="E116" s="103"/>
      <c r="F116" s="103"/>
      <c r="G116" s="103"/>
      <c r="H116" s="103"/>
      <c r="I116" s="103"/>
      <c r="J116" s="103"/>
      <c r="K116" s="103"/>
      <c r="L116" s="103"/>
      <c r="M116" s="103"/>
      <c r="N116" s="68"/>
      <c r="O116" s="279" t="s">
        <v>299</v>
      </c>
      <c r="P116" s="279"/>
      <c r="Q116" s="279"/>
      <c r="R116" s="279"/>
      <c r="S116" s="277">
        <v>1250000</v>
      </c>
      <c r="T116" s="339" t="s">
        <v>200</v>
      </c>
      <c r="U116" s="339" t="s">
        <v>26</v>
      </c>
      <c r="V116" s="277">
        <v>12</v>
      </c>
      <c r="W116" s="279" t="s">
        <v>205</v>
      </c>
      <c r="X116" s="277" t="s">
        <v>27</v>
      </c>
      <c r="Y116" s="277"/>
      <c r="Z116" s="277"/>
      <c r="AA116" s="277"/>
      <c r="AB116" s="277" t="s">
        <v>215</v>
      </c>
      <c r="AC116" s="277"/>
      <c r="AD116" s="277">
        <f t="shared" si="7"/>
        <v>15000000</v>
      </c>
      <c r="AE116" s="303" t="s">
        <v>25</v>
      </c>
      <c r="AF116" s="1"/>
    </row>
    <row r="117" spans="1:32" s="14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279" t="s">
        <v>294</v>
      </c>
      <c r="P117" s="279"/>
      <c r="Q117" s="279"/>
      <c r="R117" s="279"/>
      <c r="S117" s="277">
        <v>750000</v>
      </c>
      <c r="T117" s="339" t="s">
        <v>200</v>
      </c>
      <c r="U117" s="339" t="s">
        <v>26</v>
      </c>
      <c r="V117" s="277">
        <v>11</v>
      </c>
      <c r="W117" s="279" t="s">
        <v>205</v>
      </c>
      <c r="X117" s="277" t="s">
        <v>27</v>
      </c>
      <c r="Y117" s="277"/>
      <c r="Z117" s="277"/>
      <c r="AA117" s="277"/>
      <c r="AB117" s="277" t="s">
        <v>215</v>
      </c>
      <c r="AC117" s="277"/>
      <c r="AD117" s="277">
        <f t="shared" si="7"/>
        <v>8250000</v>
      </c>
      <c r="AE117" s="303" t="s">
        <v>25</v>
      </c>
      <c r="AF117" s="4"/>
    </row>
    <row r="118" spans="1:32" s="14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9" t="s">
        <v>301</v>
      </c>
      <c r="P118" s="377"/>
      <c r="Q118" s="377"/>
      <c r="R118" s="377"/>
      <c r="S118" s="277">
        <v>60500</v>
      </c>
      <c r="T118" s="339" t="s">
        <v>56</v>
      </c>
      <c r="U118" s="339" t="s">
        <v>26</v>
      </c>
      <c r="V118" s="277">
        <v>12</v>
      </c>
      <c r="W118" s="279" t="s">
        <v>157</v>
      </c>
      <c r="X118" s="277" t="s">
        <v>27</v>
      </c>
      <c r="Y118" s="277"/>
      <c r="Z118" s="277"/>
      <c r="AA118" s="277"/>
      <c r="AB118" s="277" t="s">
        <v>76</v>
      </c>
      <c r="AC118" s="277"/>
      <c r="AD118" s="277">
        <f>S118*V118-1000</f>
        <v>725000</v>
      </c>
      <c r="AE118" s="303" t="s">
        <v>25</v>
      </c>
      <c r="AF118" s="4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550" t="s">
        <v>586</v>
      </c>
      <c r="P119" s="550"/>
      <c r="Q119" s="550"/>
      <c r="R119" s="550"/>
      <c r="S119" s="310">
        <v>270000</v>
      </c>
      <c r="T119" s="311" t="s">
        <v>587</v>
      </c>
      <c r="U119" s="311" t="s">
        <v>26</v>
      </c>
      <c r="V119" s="310">
        <v>12</v>
      </c>
      <c r="W119" s="312" t="s">
        <v>29</v>
      </c>
      <c r="X119" s="310" t="s">
        <v>27</v>
      </c>
      <c r="Y119" s="310"/>
      <c r="Z119" s="312"/>
      <c r="AA119" s="310"/>
      <c r="AB119" s="549" t="s">
        <v>588</v>
      </c>
      <c r="AC119" s="549"/>
      <c r="AD119" s="549">
        <f>S119*V119</f>
        <v>3240000</v>
      </c>
      <c r="AE119" s="131" t="s">
        <v>587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576" t="s">
        <v>624</v>
      </c>
      <c r="P120" s="576"/>
      <c r="Q120" s="576"/>
      <c r="R120" s="576"/>
      <c r="S120" s="310"/>
      <c r="T120" s="311"/>
      <c r="U120" s="311"/>
      <c r="V120" s="310"/>
      <c r="W120" s="312"/>
      <c r="X120" s="310"/>
      <c r="Y120" s="310"/>
      <c r="Z120" s="312"/>
      <c r="AA120" s="310"/>
      <c r="AB120" s="657" t="s">
        <v>824</v>
      </c>
      <c r="AC120" s="657"/>
      <c r="AD120" s="657">
        <v>1642000</v>
      </c>
      <c r="AE120" s="131" t="s">
        <v>805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436" t="s">
        <v>892</v>
      </c>
      <c r="P121" s="436"/>
      <c r="Q121" s="436"/>
      <c r="R121" s="436"/>
      <c r="S121" s="378"/>
      <c r="T121" s="284"/>
      <c r="U121" s="284"/>
      <c r="V121" s="378"/>
      <c r="W121" s="436"/>
      <c r="X121" s="378"/>
      <c r="Y121" s="378"/>
      <c r="Z121" s="378"/>
      <c r="AA121" s="378"/>
      <c r="AB121" s="378" t="s">
        <v>891</v>
      </c>
      <c r="AC121" s="378"/>
      <c r="AD121" s="378">
        <v>3336000</v>
      </c>
      <c r="AE121" s="619" t="s">
        <v>889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114"/>
      <c r="P122" s="50"/>
      <c r="Q122" s="50"/>
      <c r="R122" s="50"/>
      <c r="S122" s="51"/>
      <c r="T122" s="55"/>
      <c r="U122" s="55"/>
      <c r="V122" s="51"/>
      <c r="W122" s="50"/>
      <c r="X122" s="51"/>
      <c r="Y122" s="51"/>
      <c r="Z122" s="51"/>
      <c r="AA122" s="51"/>
      <c r="AB122" s="136"/>
      <c r="AC122" s="51"/>
      <c r="AD122" s="51"/>
      <c r="AE122" s="57"/>
      <c r="AF122" s="4"/>
    </row>
    <row r="123" spans="1:32" ht="21" customHeight="1">
      <c r="A123" s="45"/>
      <c r="B123" s="46"/>
      <c r="C123" s="36" t="s">
        <v>15</v>
      </c>
      <c r="D123" s="153">
        <v>8060</v>
      </c>
      <c r="E123" s="107">
        <f>ROUND(AD123/1000,0)</f>
        <v>8060</v>
      </c>
      <c r="F123" s="108">
        <f>SUMIF($AB$124:$AB$137,"보조",$AD$124:$AD$137)/1000</f>
        <v>7280</v>
      </c>
      <c r="G123" s="108">
        <f>SUMIF($AB$124:$AB$137,"7종",$AD$124:$AD$137)/1000</f>
        <v>0</v>
      </c>
      <c r="H123" s="108">
        <f>SUMIF($AB$124:$AB$137,"4종",$AD$124:$AD$137)/1000</f>
        <v>0</v>
      </c>
      <c r="I123" s="108">
        <f>SUMIF($AB$124:$AB$137,"후원",$AD$124:$AD$137)/1000</f>
        <v>780</v>
      </c>
      <c r="J123" s="108">
        <f>SUMIF($AB$124:$AB$137,"입소",$AD$124:$AD$137)/1000</f>
        <v>0</v>
      </c>
      <c r="K123" s="108">
        <f>SUMIF($AB$124:$AB$137,"법인",$AD$124:$AD$137)/1000</f>
        <v>0</v>
      </c>
      <c r="L123" s="108">
        <f>SUMIF($AB$124:$AB$137,"잡수",$AD$124:$AD$137)/1000</f>
        <v>0</v>
      </c>
      <c r="M123" s="182">
        <f>E123-D123</f>
        <v>0</v>
      </c>
      <c r="N123" s="115">
        <f>IF(D123=0,0,M123/D123)</f>
        <v>0</v>
      </c>
      <c r="O123" s="350" t="s">
        <v>44</v>
      </c>
      <c r="P123" s="351"/>
      <c r="Q123" s="351"/>
      <c r="R123" s="351"/>
      <c r="S123" s="351"/>
      <c r="T123" s="352"/>
      <c r="U123" s="352"/>
      <c r="V123" s="352"/>
      <c r="W123" s="352"/>
      <c r="X123" s="352"/>
      <c r="Y123" s="343" t="s">
        <v>208</v>
      </c>
      <c r="Z123" s="343"/>
      <c r="AA123" s="343"/>
      <c r="AB123" s="343"/>
      <c r="AC123" s="344"/>
      <c r="AD123" s="344">
        <f>SUM(AD125:AD136)</f>
        <v>8060000</v>
      </c>
      <c r="AE123" s="345" t="s">
        <v>25</v>
      </c>
    </row>
    <row r="124" spans="1:32" s="11" customFormat="1" ht="21" customHeight="1">
      <c r="A124" s="45"/>
      <c r="B124" s="46"/>
      <c r="C124" s="46"/>
      <c r="D124" s="151"/>
      <c r="E124" s="103"/>
      <c r="F124" s="103"/>
      <c r="G124" s="103"/>
      <c r="H124" s="103"/>
      <c r="I124" s="103"/>
      <c r="J124" s="103"/>
      <c r="K124" s="103"/>
      <c r="L124" s="103"/>
      <c r="M124" s="103"/>
      <c r="N124" s="68"/>
      <c r="O124" s="279" t="s">
        <v>209</v>
      </c>
      <c r="P124" s="279"/>
      <c r="Q124" s="279"/>
      <c r="R124" s="279"/>
      <c r="S124" s="279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280"/>
      <c r="AD124" s="280"/>
      <c r="AE124" s="303"/>
      <c r="AF124" s="1"/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9" t="s">
        <v>210</v>
      </c>
      <c r="P125" s="353"/>
      <c r="Q125" s="353"/>
      <c r="R125" s="353"/>
      <c r="S125" s="277">
        <v>120000</v>
      </c>
      <c r="T125" s="339" t="s">
        <v>200</v>
      </c>
      <c r="U125" s="339" t="s">
        <v>26</v>
      </c>
      <c r="V125" s="277">
        <v>12</v>
      </c>
      <c r="W125" s="279" t="s">
        <v>205</v>
      </c>
      <c r="X125" s="277" t="s">
        <v>27</v>
      </c>
      <c r="Y125" s="277"/>
      <c r="Z125" s="277"/>
      <c r="AA125" s="277"/>
      <c r="AB125" s="277" t="s">
        <v>298</v>
      </c>
      <c r="AC125" s="277"/>
      <c r="AD125" s="277">
        <f>S125*V125</f>
        <v>1440000</v>
      </c>
      <c r="AE125" s="131" t="s">
        <v>25</v>
      </c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9" t="s">
        <v>211</v>
      </c>
      <c r="P126" s="353"/>
      <c r="Q126" s="353"/>
      <c r="R126" s="353"/>
      <c r="S126" s="277">
        <v>120000</v>
      </c>
      <c r="T126" s="339" t="s">
        <v>56</v>
      </c>
      <c r="U126" s="339" t="s">
        <v>26</v>
      </c>
      <c r="V126" s="277">
        <v>12</v>
      </c>
      <c r="W126" s="279" t="s">
        <v>157</v>
      </c>
      <c r="X126" s="277" t="s">
        <v>27</v>
      </c>
      <c r="Y126" s="277"/>
      <c r="Z126" s="277"/>
      <c r="AA126" s="277"/>
      <c r="AB126" s="277" t="s">
        <v>298</v>
      </c>
      <c r="AC126" s="277"/>
      <c r="AD126" s="277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9" t="s">
        <v>302</v>
      </c>
      <c r="P127" s="353"/>
      <c r="Q127" s="353"/>
      <c r="R127" s="353"/>
      <c r="S127" s="277">
        <v>100000</v>
      </c>
      <c r="T127" s="339" t="s">
        <v>200</v>
      </c>
      <c r="U127" s="339" t="s">
        <v>26</v>
      </c>
      <c r="V127" s="277">
        <v>1</v>
      </c>
      <c r="W127" s="279" t="s">
        <v>205</v>
      </c>
      <c r="X127" s="277" t="s">
        <v>27</v>
      </c>
      <c r="Y127" s="277"/>
      <c r="Z127" s="277"/>
      <c r="AA127" s="277"/>
      <c r="AB127" s="277" t="s">
        <v>76</v>
      </c>
      <c r="AC127" s="277"/>
      <c r="AD127" s="432">
        <f>S127*V127</f>
        <v>100000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9"/>
      <c r="P128" s="353"/>
      <c r="Q128" s="353"/>
      <c r="R128" s="353"/>
      <c r="S128" s="353"/>
      <c r="T128" s="280"/>
      <c r="U128" s="354"/>
      <c r="V128" s="279"/>
      <c r="W128" s="339"/>
      <c r="X128" s="277"/>
      <c r="Y128" s="277"/>
      <c r="Z128" s="277"/>
      <c r="AA128" s="279"/>
      <c r="AB128" s="279"/>
      <c r="AC128" s="277"/>
      <c r="AD128" s="277"/>
      <c r="AE128" s="131"/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750" t="s">
        <v>212</v>
      </c>
      <c r="P129" s="750"/>
      <c r="Q129" s="750"/>
      <c r="R129" s="750"/>
      <c r="S129" s="750"/>
      <c r="T129" s="279"/>
      <c r="U129" s="277"/>
      <c r="V129" s="279"/>
      <c r="W129" s="339"/>
      <c r="X129" s="277"/>
      <c r="Y129" s="277"/>
      <c r="Z129" s="277"/>
      <c r="AA129" s="279"/>
      <c r="AB129" s="279"/>
      <c r="AC129" s="277"/>
      <c r="AD129" s="277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562" t="s">
        <v>614</v>
      </c>
      <c r="P130" s="398"/>
      <c r="Q130" s="398"/>
      <c r="R130" s="398"/>
      <c r="S130" s="562"/>
      <c r="T130" s="130"/>
      <c r="U130" s="399"/>
      <c r="V130" s="562"/>
      <c r="W130" s="297"/>
      <c r="X130" s="561"/>
      <c r="Y130" s="561"/>
      <c r="Z130" s="561"/>
      <c r="AA130" s="562"/>
      <c r="AB130" s="562" t="s">
        <v>615</v>
      </c>
      <c r="AC130" s="561"/>
      <c r="AD130" s="561">
        <v>3600000</v>
      </c>
      <c r="AE130" s="131" t="s">
        <v>25</v>
      </c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562" t="s">
        <v>616</v>
      </c>
      <c r="P131" s="569"/>
      <c r="Q131" s="569"/>
      <c r="R131" s="569"/>
      <c r="S131" s="569"/>
      <c r="T131" s="569"/>
      <c r="U131" s="569"/>
      <c r="V131" s="569"/>
      <c r="W131" s="569"/>
      <c r="X131" s="569"/>
      <c r="Y131" s="561"/>
      <c r="Z131" s="561"/>
      <c r="AA131" s="562"/>
      <c r="AB131" s="562" t="s">
        <v>615</v>
      </c>
      <c r="AC131" s="561"/>
      <c r="AD131" s="561">
        <v>700000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590" t="s">
        <v>672</v>
      </c>
      <c r="P132" s="398"/>
      <c r="Q132" s="398"/>
      <c r="R132" s="398"/>
      <c r="S132" s="590"/>
      <c r="T132" s="130"/>
      <c r="U132" s="399"/>
      <c r="V132" s="590"/>
      <c r="W132" s="297"/>
      <c r="X132" s="589"/>
      <c r="Y132" s="589"/>
      <c r="Z132" s="589"/>
      <c r="AA132" s="590"/>
      <c r="AB132" s="590" t="s">
        <v>671</v>
      </c>
      <c r="AC132" s="589"/>
      <c r="AD132" s="589">
        <v>0</v>
      </c>
      <c r="AE132" s="131" t="s">
        <v>733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658" t="s">
        <v>823</v>
      </c>
      <c r="P133" s="398"/>
      <c r="Q133" s="398"/>
      <c r="R133" s="398"/>
      <c r="S133" s="658"/>
      <c r="T133" s="660"/>
      <c r="U133" s="399"/>
      <c r="V133" s="658"/>
      <c r="W133" s="297"/>
      <c r="X133" s="657"/>
      <c r="Y133" s="657"/>
      <c r="Z133" s="657"/>
      <c r="AA133" s="658"/>
      <c r="AB133" s="658" t="s">
        <v>820</v>
      </c>
      <c r="AC133" s="657"/>
      <c r="AD133" s="657">
        <v>300000</v>
      </c>
      <c r="AE133" s="131" t="s">
        <v>25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590" t="s">
        <v>673</v>
      </c>
      <c r="P134" s="398"/>
      <c r="Q134" s="398"/>
      <c r="R134" s="398"/>
      <c r="S134" s="590"/>
      <c r="T134" s="130"/>
      <c r="U134" s="399"/>
      <c r="V134" s="590"/>
      <c r="W134" s="297"/>
      <c r="X134" s="589"/>
      <c r="Y134" s="589"/>
      <c r="Z134" s="589"/>
      <c r="AA134" s="590"/>
      <c r="AB134" s="590" t="s">
        <v>671</v>
      </c>
      <c r="AC134" s="589"/>
      <c r="AD134" s="589"/>
      <c r="AE134" s="131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590"/>
      <c r="P135" s="398"/>
      <c r="Q135" s="398"/>
      <c r="R135" s="398"/>
      <c r="S135" s="590"/>
      <c r="T135" s="130"/>
      <c r="U135" s="399"/>
      <c r="V135" s="590"/>
      <c r="W135" s="297"/>
      <c r="X135" s="589"/>
      <c r="Y135" s="589"/>
      <c r="Z135" s="589"/>
      <c r="AA135" s="590"/>
      <c r="AB135" s="590"/>
      <c r="AC135" s="589"/>
      <c r="AD135" s="589"/>
      <c r="AE135" s="131"/>
      <c r="AF135" s="1"/>
    </row>
    <row r="136" spans="1:32" s="11" customFormat="1" ht="21" customHeight="1">
      <c r="A136" s="45"/>
      <c r="B136" s="46"/>
      <c r="C136" s="46"/>
      <c r="D136" s="151"/>
      <c r="E136" s="103"/>
      <c r="F136" s="103"/>
      <c r="G136" s="103"/>
      <c r="H136" s="103"/>
      <c r="I136" s="103"/>
      <c r="J136" s="103"/>
      <c r="K136" s="103"/>
      <c r="L136" s="103"/>
      <c r="M136" s="103"/>
      <c r="N136" s="68"/>
      <c r="O136" s="590" t="s">
        <v>674</v>
      </c>
      <c r="P136" s="398"/>
      <c r="Q136" s="398"/>
      <c r="R136" s="398"/>
      <c r="S136" s="590"/>
      <c r="T136" s="130"/>
      <c r="U136" s="399"/>
      <c r="V136" s="590"/>
      <c r="W136" s="297"/>
      <c r="X136" s="589"/>
      <c r="Y136" s="589"/>
      <c r="Z136" s="589"/>
      <c r="AA136" s="590"/>
      <c r="AB136" s="590" t="s">
        <v>671</v>
      </c>
      <c r="AC136" s="589"/>
      <c r="AD136" s="589">
        <v>480000</v>
      </c>
      <c r="AE136" s="131" t="s">
        <v>650</v>
      </c>
      <c r="AF136" s="1"/>
    </row>
    <row r="137" spans="1:32" s="11" customFormat="1" ht="21" customHeight="1">
      <c r="A137" s="45"/>
      <c r="B137" s="46"/>
      <c r="C137" s="46"/>
      <c r="D137" s="151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120"/>
      <c r="P137" s="121"/>
      <c r="Q137" s="121"/>
      <c r="R137" s="121"/>
      <c r="S137" s="121"/>
      <c r="T137" s="121"/>
      <c r="U137" s="121"/>
      <c r="V137" s="121"/>
      <c r="W137" s="121"/>
      <c r="X137" s="121"/>
      <c r="Y137" s="73"/>
      <c r="Z137" s="73"/>
      <c r="AA137" s="73"/>
      <c r="AB137" s="73"/>
      <c r="AC137" s="73"/>
      <c r="AD137" s="51"/>
      <c r="AE137" s="57"/>
      <c r="AF137" s="1"/>
    </row>
    <row r="138" spans="1:32" s="11" customFormat="1" ht="21" customHeight="1">
      <c r="A138" s="45"/>
      <c r="B138" s="46"/>
      <c r="C138" s="36" t="s">
        <v>45</v>
      </c>
      <c r="D138" s="153">
        <v>6460</v>
      </c>
      <c r="E138" s="107">
        <f>ROUND(AD138/1000,0)</f>
        <v>6460</v>
      </c>
      <c r="F138" s="108">
        <f>SUMIF($AB$139:$AB$143,"보조",$AD$139:$AD$143)/1000</f>
        <v>1800</v>
      </c>
      <c r="G138" s="108">
        <f>SUMIF($AB$139:$AB$143,"7종",$AD$139:$AD$143)/1000</f>
        <v>3600</v>
      </c>
      <c r="H138" s="108">
        <f>SUMIF($AB$139:$AB$143,"4종",$AD$139:$AD$143)/1000</f>
        <v>0</v>
      </c>
      <c r="I138" s="108">
        <f>SUMIF($AB$139:$AB$143,"후원",$AD$139:$AD$143)/1000</f>
        <v>1060</v>
      </c>
      <c r="J138" s="108">
        <f>SUMIF($AB$139:$AB$143,"입소",$AD$139:$AD$143)/1000</f>
        <v>0</v>
      </c>
      <c r="K138" s="108">
        <f>SUMIF($AB$139:$AB$143,"법인",$AD$139:$AD$143)/1000</f>
        <v>0</v>
      </c>
      <c r="L138" s="108">
        <f>SUMIF($AB$139:$AB$143,"잡수",$AD$139:$AD$143)/1000</f>
        <v>0</v>
      </c>
      <c r="M138" s="107">
        <f>E138-D138</f>
        <v>0</v>
      </c>
      <c r="N138" s="115">
        <f>IF(D138=0,0,M138/D138)</f>
        <v>0</v>
      </c>
      <c r="O138" s="95" t="s">
        <v>46</v>
      </c>
      <c r="P138" s="91"/>
      <c r="Q138" s="91"/>
      <c r="R138" s="91"/>
      <c r="S138" s="91"/>
      <c r="T138" s="87"/>
      <c r="U138" s="87"/>
      <c r="V138" s="87"/>
      <c r="W138" s="87"/>
      <c r="X138" s="87"/>
      <c r="Y138" s="169" t="s">
        <v>137</v>
      </c>
      <c r="Z138" s="169"/>
      <c r="AA138" s="169"/>
      <c r="AB138" s="169"/>
      <c r="AC138" s="171"/>
      <c r="AD138" s="171">
        <f>SUM(AD139:AD142)</f>
        <v>6460000</v>
      </c>
      <c r="AE138" s="170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590" t="s">
        <v>675</v>
      </c>
      <c r="P139" s="377"/>
      <c r="Q139" s="377"/>
      <c r="R139" s="377"/>
      <c r="S139" s="376">
        <v>150000</v>
      </c>
      <c r="T139" s="297" t="s">
        <v>258</v>
      </c>
      <c r="U139" s="297" t="s">
        <v>26</v>
      </c>
      <c r="V139" s="376">
        <v>12</v>
      </c>
      <c r="W139" s="377" t="s">
        <v>262</v>
      </c>
      <c r="X139" s="376" t="s">
        <v>27</v>
      </c>
      <c r="Y139" s="376"/>
      <c r="Z139" s="376"/>
      <c r="AA139" s="376"/>
      <c r="AB139" s="376" t="s">
        <v>266</v>
      </c>
      <c r="AC139" s="376"/>
      <c r="AD139" s="376">
        <f>S139*V139</f>
        <v>1800000</v>
      </c>
      <c r="AE139" s="131" t="s">
        <v>25</v>
      </c>
      <c r="AF139" s="1"/>
    </row>
    <row r="140" spans="1:32" s="11" customFormat="1" ht="21" customHeight="1">
      <c r="A140" s="45"/>
      <c r="B140" s="46"/>
      <c r="C140" s="46"/>
      <c r="D140" s="104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557" t="s">
        <v>603</v>
      </c>
      <c r="P140" s="557"/>
      <c r="Q140" s="557"/>
      <c r="R140" s="557"/>
      <c r="S140" s="556">
        <v>300000</v>
      </c>
      <c r="T140" s="297" t="s">
        <v>600</v>
      </c>
      <c r="U140" s="297" t="s">
        <v>26</v>
      </c>
      <c r="V140" s="556">
        <v>12</v>
      </c>
      <c r="W140" s="557" t="s">
        <v>604</v>
      </c>
      <c r="X140" s="556" t="s">
        <v>27</v>
      </c>
      <c r="Y140" s="556"/>
      <c r="Z140" s="556"/>
      <c r="AA140" s="556"/>
      <c r="AB140" s="556" t="s">
        <v>601</v>
      </c>
      <c r="AC140" s="556"/>
      <c r="AD140" s="556">
        <f>S140*V140</f>
        <v>3600000</v>
      </c>
      <c r="AE140" s="131" t="s">
        <v>25</v>
      </c>
      <c r="AF140" s="1"/>
    </row>
    <row r="141" spans="1:32" s="11" customFormat="1" ht="21" customHeight="1">
      <c r="A141" s="45"/>
      <c r="B141" s="46"/>
      <c r="C141" s="46"/>
      <c r="D141" s="104"/>
      <c r="E141" s="103"/>
      <c r="F141" s="103"/>
      <c r="G141" s="103"/>
      <c r="H141" s="103"/>
      <c r="I141" s="103"/>
      <c r="J141" s="103"/>
      <c r="K141" s="103"/>
      <c r="L141" s="103"/>
      <c r="M141" s="103"/>
      <c r="N141" s="68"/>
      <c r="O141" s="377" t="s">
        <v>268</v>
      </c>
      <c r="P141" s="377"/>
      <c r="Q141" s="377"/>
      <c r="R141" s="377"/>
      <c r="S141" s="376">
        <v>100000</v>
      </c>
      <c r="T141" s="297" t="s">
        <v>248</v>
      </c>
      <c r="U141" s="297" t="s">
        <v>26</v>
      </c>
      <c r="V141" s="376">
        <v>10</v>
      </c>
      <c r="W141" s="377" t="s">
        <v>269</v>
      </c>
      <c r="X141" s="376" t="s">
        <v>27</v>
      </c>
      <c r="Y141" s="376"/>
      <c r="Z141" s="376"/>
      <c r="AA141" s="376"/>
      <c r="AB141" s="543" t="s">
        <v>554</v>
      </c>
      <c r="AC141" s="376"/>
      <c r="AD141" s="630">
        <f>S141*V141</f>
        <v>1000000</v>
      </c>
      <c r="AE141" s="131" t="s">
        <v>25</v>
      </c>
      <c r="AF141" s="1"/>
    </row>
    <row r="142" spans="1:32" ht="21" customHeight="1">
      <c r="A142" s="45"/>
      <c r="B142" s="46"/>
      <c r="C142" s="46"/>
      <c r="D142" s="151"/>
      <c r="E142" s="103"/>
      <c r="F142" s="103"/>
      <c r="G142" s="103"/>
      <c r="H142" s="103"/>
      <c r="I142" s="103"/>
      <c r="J142" s="103"/>
      <c r="K142" s="103"/>
      <c r="L142" s="103"/>
      <c r="M142" s="103"/>
      <c r="N142" s="68"/>
      <c r="O142" s="544" t="s">
        <v>553</v>
      </c>
      <c r="P142" s="377"/>
      <c r="Q142" s="377"/>
      <c r="R142" s="377"/>
      <c r="S142" s="376"/>
      <c r="T142" s="297"/>
      <c r="U142" s="297"/>
      <c r="V142" s="376"/>
      <c r="W142" s="377"/>
      <c r="X142" s="376"/>
      <c r="Y142" s="376"/>
      <c r="Z142" s="376"/>
      <c r="AA142" s="376"/>
      <c r="AB142" s="434" t="s">
        <v>304</v>
      </c>
      <c r="AC142" s="376"/>
      <c r="AD142" s="376">
        <v>60000</v>
      </c>
      <c r="AE142" s="131" t="s">
        <v>25</v>
      </c>
    </row>
    <row r="143" spans="1:32" s="11" customFormat="1" ht="21" customHeight="1">
      <c r="A143" s="45"/>
      <c r="B143" s="46"/>
      <c r="C143" s="59"/>
      <c r="D143" s="122"/>
      <c r="E143" s="105"/>
      <c r="F143" s="105"/>
      <c r="G143" s="105"/>
      <c r="H143" s="105"/>
      <c r="I143" s="105"/>
      <c r="J143" s="105"/>
      <c r="K143" s="105"/>
      <c r="L143" s="105"/>
      <c r="M143" s="105"/>
      <c r="N143" s="82"/>
      <c r="O143" s="289"/>
      <c r="P143" s="289"/>
      <c r="Q143" s="289"/>
      <c r="R143" s="289"/>
      <c r="S143" s="396"/>
      <c r="T143" s="400"/>
      <c r="U143" s="396"/>
      <c r="V143" s="746"/>
      <c r="W143" s="747"/>
      <c r="X143" s="396"/>
      <c r="Y143" s="396"/>
      <c r="Z143" s="396"/>
      <c r="AA143" s="396"/>
      <c r="AB143" s="396"/>
      <c r="AC143" s="396"/>
      <c r="AD143" s="396"/>
      <c r="AE143" s="401"/>
      <c r="AF143" s="1"/>
    </row>
    <row r="144" spans="1:32" s="11" customFormat="1" ht="21" customHeight="1">
      <c r="A144" s="45"/>
      <c r="B144" s="46"/>
      <c r="C144" s="36" t="s">
        <v>77</v>
      </c>
      <c r="D144" s="123">
        <v>20788</v>
      </c>
      <c r="E144" s="107">
        <f>ROUND(AD144/1000,0)</f>
        <v>22288</v>
      </c>
      <c r="F144" s="108">
        <f>SUMIF($AB$146:$AB$167,"보조",$AD$146:$AD$167)/1000</f>
        <v>800</v>
      </c>
      <c r="G144" s="108">
        <f>SUMIF($AB$146:$AB$167,"7종",$AD$146:$AD$167)/1000</f>
        <v>0</v>
      </c>
      <c r="H144" s="108">
        <f>SUMIF($AB$146:$AB$167,"4종",$AD$146:$AD$167)/1000</f>
        <v>0</v>
      </c>
      <c r="I144" s="108">
        <f>SUMIF($AB$146:$AB$167,"후원",$AD$146:$AD$167)/1000</f>
        <v>9858</v>
      </c>
      <c r="J144" s="108">
        <f>SUMIF($AB$146:$AB$167,"입소",$AD$146:$AD$167)/1000</f>
        <v>0</v>
      </c>
      <c r="K144" s="108">
        <f>SUMIF($AB$146:$AB$167,"법인",$AD$146:$AD$167)/1000</f>
        <v>9900</v>
      </c>
      <c r="L144" s="108">
        <f>SUMIF($AB$146:$AB$167,"잡수",$AD$146:$AD$167)/1000</f>
        <v>1730</v>
      </c>
      <c r="M144" s="117">
        <f>E144-D144</f>
        <v>1500</v>
      </c>
      <c r="N144" s="115">
        <f>IF(D144=0,0,M144/D144)</f>
        <v>7.2157013661727915E-2</v>
      </c>
      <c r="O144" s="110" t="s">
        <v>760</v>
      </c>
      <c r="P144" s="91"/>
      <c r="Q144" s="91"/>
      <c r="R144" s="91"/>
      <c r="S144" s="91"/>
      <c r="T144" s="87"/>
      <c r="U144" s="87"/>
      <c r="V144" s="87"/>
      <c r="W144" s="87"/>
      <c r="X144" s="87"/>
      <c r="Y144" s="621" t="s">
        <v>761</v>
      </c>
      <c r="Z144" s="169"/>
      <c r="AA144" s="169"/>
      <c r="AB144" s="169"/>
      <c r="AC144" s="171"/>
      <c r="AD144" s="171">
        <f>SUM(AD145,AD163)</f>
        <v>22288000</v>
      </c>
      <c r="AE144" s="170" t="s">
        <v>25</v>
      </c>
      <c r="AF144" s="1"/>
    </row>
    <row r="145" spans="1:32" s="11" customFormat="1" ht="21" customHeight="1">
      <c r="A145" s="45"/>
      <c r="B145" s="46"/>
      <c r="C145" s="46"/>
      <c r="D145" s="124"/>
      <c r="E145" s="103"/>
      <c r="F145" s="632"/>
      <c r="G145" s="632"/>
      <c r="H145" s="632"/>
      <c r="I145" s="632"/>
      <c r="J145" s="632"/>
      <c r="K145" s="632"/>
      <c r="L145" s="632"/>
      <c r="M145" s="103"/>
      <c r="N145" s="68"/>
      <c r="O145" s="110" t="s">
        <v>78</v>
      </c>
      <c r="P145" s="176"/>
      <c r="Q145" s="176"/>
      <c r="R145" s="176"/>
      <c r="S145" s="176"/>
      <c r="T145" s="149"/>
      <c r="U145" s="149"/>
      <c r="V145" s="149"/>
      <c r="W145" s="149"/>
      <c r="X145" s="149"/>
      <c r="Y145" s="621" t="s">
        <v>137</v>
      </c>
      <c r="Z145" s="621"/>
      <c r="AA145" s="621"/>
      <c r="AB145" s="621"/>
      <c r="AC145" s="171"/>
      <c r="AD145" s="171">
        <f>SUM(AD147:AD162)</f>
        <v>20558000</v>
      </c>
      <c r="AE145" s="170" t="s">
        <v>25</v>
      </c>
      <c r="AF145" s="1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148" t="s">
        <v>92</v>
      </c>
      <c r="P146" s="120"/>
      <c r="Q146" s="120"/>
      <c r="R146" s="120"/>
      <c r="S146" s="111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66"/>
      <c r="AD146" s="66"/>
      <c r="AE146" s="57"/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9" t="s">
        <v>676</v>
      </c>
      <c r="P147" s="279"/>
      <c r="Q147" s="279"/>
      <c r="R147" s="279"/>
      <c r="S147" s="738">
        <v>100000</v>
      </c>
      <c r="T147" s="736" t="s">
        <v>650</v>
      </c>
      <c r="U147" s="737" t="s">
        <v>57</v>
      </c>
      <c r="V147" s="738">
        <v>39</v>
      </c>
      <c r="W147" s="736" t="s">
        <v>652</v>
      </c>
      <c r="X147" s="389"/>
      <c r="Y147" s="589"/>
      <c r="Z147" s="589"/>
      <c r="AA147" s="589" t="s">
        <v>654</v>
      </c>
      <c r="AB147" s="589" t="s">
        <v>670</v>
      </c>
      <c r="AC147" s="130"/>
      <c r="AD147" s="130">
        <v>800000</v>
      </c>
      <c r="AE147" s="131" t="s">
        <v>733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9"/>
      <c r="P148" s="279"/>
      <c r="Q148" s="279"/>
      <c r="R148" s="279"/>
      <c r="S148" s="738"/>
      <c r="T148" s="736"/>
      <c r="U148" s="737"/>
      <c r="V148" s="738"/>
      <c r="W148" s="736"/>
      <c r="X148" s="333"/>
      <c r="Y148" s="277" t="s">
        <v>562</v>
      </c>
      <c r="Z148" s="277"/>
      <c r="AA148" s="277"/>
      <c r="AB148" s="277" t="s">
        <v>152</v>
      </c>
      <c r="AC148" s="280"/>
      <c r="AD148" s="130">
        <v>3100000</v>
      </c>
      <c r="AE148" s="131" t="s">
        <v>733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9" t="s">
        <v>677</v>
      </c>
      <c r="P149" s="279"/>
      <c r="Q149" s="279"/>
      <c r="R149" s="279"/>
      <c r="S149" s="277">
        <v>100000</v>
      </c>
      <c r="T149" s="277" t="s">
        <v>56</v>
      </c>
      <c r="U149" s="333" t="s">
        <v>57</v>
      </c>
      <c r="V149" s="277">
        <v>10</v>
      </c>
      <c r="W149" s="277" t="s">
        <v>55</v>
      </c>
      <c r="X149" s="333"/>
      <c r="Y149" s="277"/>
      <c r="Z149" s="277"/>
      <c r="AA149" s="277" t="s">
        <v>53</v>
      </c>
      <c r="AB149" s="277" t="s">
        <v>152</v>
      </c>
      <c r="AC149" s="280"/>
      <c r="AD149" s="130">
        <f>S149*V149</f>
        <v>1000000</v>
      </c>
      <c r="AE149" s="131" t="s">
        <v>733</v>
      </c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279" t="s">
        <v>678</v>
      </c>
      <c r="P150" s="279"/>
      <c r="Q150" s="279"/>
      <c r="R150" s="279"/>
      <c r="S150" s="277">
        <v>100000</v>
      </c>
      <c r="T150" s="277" t="s">
        <v>56</v>
      </c>
      <c r="U150" s="333" t="s">
        <v>57</v>
      </c>
      <c r="V150" s="277">
        <v>15</v>
      </c>
      <c r="W150" s="277" t="s">
        <v>55</v>
      </c>
      <c r="X150" s="333"/>
      <c r="Y150" s="277"/>
      <c r="Z150" s="277"/>
      <c r="AA150" s="277" t="s">
        <v>53</v>
      </c>
      <c r="AB150" s="277" t="s">
        <v>152</v>
      </c>
      <c r="AC150" s="280"/>
      <c r="AD150" s="627">
        <f>S150*V150</f>
        <v>1500000</v>
      </c>
      <c r="AE150" s="131" t="s">
        <v>733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279"/>
      <c r="P151" s="279"/>
      <c r="Q151" s="279"/>
      <c r="R151" s="279"/>
      <c r="S151" s="355"/>
      <c r="T151" s="277"/>
      <c r="U151" s="277"/>
      <c r="V151" s="277"/>
      <c r="W151" s="277"/>
      <c r="X151" s="277"/>
      <c r="Y151" s="277"/>
      <c r="Z151" s="277"/>
      <c r="AA151" s="277"/>
      <c r="AB151" s="277"/>
      <c r="AC151" s="280"/>
      <c r="AD151" s="280"/>
      <c r="AE151" s="303"/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9" t="s">
        <v>679</v>
      </c>
      <c r="P152" s="279"/>
      <c r="Q152" s="279"/>
      <c r="R152" s="279"/>
      <c r="S152" s="355"/>
      <c r="T152" s="277"/>
      <c r="U152" s="277"/>
      <c r="V152" s="277"/>
      <c r="W152" s="277"/>
      <c r="X152" s="277"/>
      <c r="Y152" s="277"/>
      <c r="Z152" s="277"/>
      <c r="AA152" s="277"/>
      <c r="AB152" s="277"/>
      <c r="AC152" s="280"/>
      <c r="AD152" s="280"/>
      <c r="AE152" s="303"/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436" t="s">
        <v>903</v>
      </c>
      <c r="P153" s="436"/>
      <c r="Q153" s="436"/>
      <c r="R153" s="436"/>
      <c r="S153" s="378">
        <v>2200000</v>
      </c>
      <c r="T153" s="378" t="s">
        <v>904</v>
      </c>
      <c r="U153" s="534" t="s">
        <v>905</v>
      </c>
      <c r="V153" s="378">
        <v>1</v>
      </c>
      <c r="W153" s="378" t="s">
        <v>906</v>
      </c>
      <c r="X153" s="534"/>
      <c r="Y153" s="378"/>
      <c r="Z153" s="378"/>
      <c r="AA153" s="378" t="s">
        <v>907</v>
      </c>
      <c r="AB153" s="378" t="s">
        <v>908</v>
      </c>
      <c r="AC153" s="533"/>
      <c r="AD153" s="533">
        <v>2200000</v>
      </c>
      <c r="AE153" s="619" t="s">
        <v>904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436" t="s">
        <v>909</v>
      </c>
      <c r="P154" s="436"/>
      <c r="Q154" s="436"/>
      <c r="R154" s="436"/>
      <c r="S154" s="378"/>
      <c r="T154" s="378" t="s">
        <v>904</v>
      </c>
      <c r="U154" s="534" t="s">
        <v>905</v>
      </c>
      <c r="V154" s="378"/>
      <c r="W154" s="378" t="s">
        <v>906</v>
      </c>
      <c r="X154" s="534"/>
      <c r="Y154" s="378"/>
      <c r="Z154" s="378"/>
      <c r="AA154" s="378" t="s">
        <v>907</v>
      </c>
      <c r="AB154" s="378" t="s">
        <v>908</v>
      </c>
      <c r="AC154" s="533"/>
      <c r="AD154" s="533">
        <v>1780000</v>
      </c>
      <c r="AE154" s="619" t="s">
        <v>904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279" t="s">
        <v>680</v>
      </c>
      <c r="P155" s="279"/>
      <c r="Q155" s="279"/>
      <c r="R155" s="279"/>
      <c r="S155" s="277"/>
      <c r="T155" s="277" t="s">
        <v>200</v>
      </c>
      <c r="U155" s="333" t="s">
        <v>214</v>
      </c>
      <c r="V155" s="277"/>
      <c r="W155" s="277" t="s">
        <v>201</v>
      </c>
      <c r="X155" s="333"/>
      <c r="Y155" s="277"/>
      <c r="Z155" s="277"/>
      <c r="AA155" s="277" t="s">
        <v>206</v>
      </c>
      <c r="AB155" s="277" t="s">
        <v>152</v>
      </c>
      <c r="AC155" s="280"/>
      <c r="AD155" s="280">
        <v>278000</v>
      </c>
      <c r="AE155" s="131" t="s">
        <v>733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279"/>
      <c r="P156" s="279"/>
      <c r="Q156" s="279"/>
      <c r="R156" s="279"/>
      <c r="S156" s="355"/>
      <c r="T156" s="277"/>
      <c r="U156" s="277"/>
      <c r="V156" s="277"/>
      <c r="W156" s="277"/>
      <c r="X156" s="277"/>
      <c r="Y156" s="277"/>
      <c r="Z156" s="277"/>
      <c r="AA156" s="277"/>
      <c r="AB156" s="277"/>
      <c r="AC156" s="280"/>
      <c r="AD156" s="280"/>
      <c r="AE156" s="131"/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590" t="s">
        <v>668</v>
      </c>
      <c r="P157" s="590"/>
      <c r="Q157" s="590"/>
      <c r="R157" s="590"/>
      <c r="S157" s="589">
        <v>35000</v>
      </c>
      <c r="T157" s="297" t="s">
        <v>650</v>
      </c>
      <c r="U157" s="297" t="s">
        <v>26</v>
      </c>
      <c r="V157" s="589">
        <v>14</v>
      </c>
      <c r="W157" s="590" t="s">
        <v>55</v>
      </c>
      <c r="X157" s="589" t="s">
        <v>27</v>
      </c>
      <c r="Y157" s="589"/>
      <c r="Z157" s="589"/>
      <c r="AA157" s="589"/>
      <c r="AB157" s="589" t="s">
        <v>666</v>
      </c>
      <c r="AC157" s="130"/>
      <c r="AD157" s="589">
        <f>S157*V157</f>
        <v>490000</v>
      </c>
      <c r="AE157" s="131" t="s">
        <v>733</v>
      </c>
      <c r="AF157" s="2"/>
    </row>
    <row r="158" spans="1:32" s="11" customFormat="1" ht="20.25" customHeight="1">
      <c r="A158" s="45"/>
      <c r="B158" s="46"/>
      <c r="C158" s="46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590" t="s">
        <v>669</v>
      </c>
      <c r="P158" s="590"/>
      <c r="Q158" s="590"/>
      <c r="R158" s="590"/>
      <c r="S158" s="589">
        <v>20000</v>
      </c>
      <c r="T158" s="297" t="s">
        <v>650</v>
      </c>
      <c r="U158" s="297" t="s">
        <v>26</v>
      </c>
      <c r="V158" s="589">
        <v>14</v>
      </c>
      <c r="W158" s="590" t="s">
        <v>55</v>
      </c>
      <c r="X158" s="389" t="s">
        <v>651</v>
      </c>
      <c r="Y158" s="589">
        <v>2</v>
      </c>
      <c r="Z158" s="589" t="s">
        <v>653</v>
      </c>
      <c r="AA158" s="589" t="s">
        <v>654</v>
      </c>
      <c r="AB158" s="390" t="s">
        <v>666</v>
      </c>
      <c r="AC158" s="390"/>
      <c r="AD158" s="589">
        <f>S158*V158*Y158</f>
        <v>560000</v>
      </c>
      <c r="AE158" s="391" t="s">
        <v>25</v>
      </c>
      <c r="AF158" s="2"/>
    </row>
    <row r="159" spans="1:32" s="11" customFormat="1" ht="20.25" customHeight="1">
      <c r="A159" s="45"/>
      <c r="B159" s="46"/>
      <c r="C159" s="46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436" t="s">
        <v>875</v>
      </c>
      <c r="P159" s="436"/>
      <c r="Q159" s="436"/>
      <c r="R159" s="436"/>
      <c r="S159" s="378">
        <v>1650000</v>
      </c>
      <c r="T159" s="624" t="s">
        <v>865</v>
      </c>
      <c r="U159" s="534" t="s">
        <v>871</v>
      </c>
      <c r="V159" s="624">
        <v>4</v>
      </c>
      <c r="W159" s="378" t="s">
        <v>872</v>
      </c>
      <c r="X159" s="624"/>
      <c r="Y159" s="624">
        <v>1</v>
      </c>
      <c r="Z159" s="624" t="s">
        <v>880</v>
      </c>
      <c r="AA159" s="663" t="s">
        <v>873</v>
      </c>
      <c r="AB159" s="624" t="s">
        <v>874</v>
      </c>
      <c r="AC159" s="624"/>
      <c r="AD159" s="378">
        <f>S159*V159*Y159</f>
        <v>6600000</v>
      </c>
      <c r="AE159" s="625" t="s">
        <v>865</v>
      </c>
      <c r="AF159" s="2"/>
    </row>
    <row r="160" spans="1:32" s="11" customFormat="1" ht="20.25" customHeight="1">
      <c r="A160" s="45"/>
      <c r="B160" s="46"/>
      <c r="C160" s="46"/>
      <c r="D160" s="124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436" t="s">
        <v>876</v>
      </c>
      <c r="P160" s="436"/>
      <c r="Q160" s="436"/>
      <c r="R160" s="436"/>
      <c r="S160" s="378">
        <v>100000</v>
      </c>
      <c r="T160" s="284" t="s">
        <v>865</v>
      </c>
      <c r="U160" s="284" t="s">
        <v>26</v>
      </c>
      <c r="V160" s="378">
        <v>3</v>
      </c>
      <c r="W160" s="436" t="s">
        <v>877</v>
      </c>
      <c r="X160" s="378" t="s">
        <v>27</v>
      </c>
      <c r="Y160" s="694"/>
      <c r="Z160" s="378"/>
      <c r="AA160" s="624"/>
      <c r="AB160" s="678" t="s">
        <v>874</v>
      </c>
      <c r="AC160" s="624"/>
      <c r="AD160" s="378">
        <f>S160*V160</f>
        <v>300000</v>
      </c>
      <c r="AE160" s="625" t="s">
        <v>865</v>
      </c>
      <c r="AF160" s="2"/>
    </row>
    <row r="161" spans="1:32" s="11" customFormat="1" ht="20.25" customHeight="1">
      <c r="A161" s="45"/>
      <c r="B161" s="46"/>
      <c r="C161" s="46"/>
      <c r="D161" s="124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590" t="s">
        <v>667</v>
      </c>
      <c r="P161" s="590"/>
      <c r="Q161" s="590"/>
      <c r="R161" s="590"/>
      <c r="S161" s="589">
        <v>50000</v>
      </c>
      <c r="T161" s="589" t="s">
        <v>650</v>
      </c>
      <c r="U161" s="389" t="s">
        <v>651</v>
      </c>
      <c r="V161" s="589">
        <v>39</v>
      </c>
      <c r="W161" s="589" t="s">
        <v>652</v>
      </c>
      <c r="X161" s="389" t="s">
        <v>651</v>
      </c>
      <c r="Y161" s="589">
        <v>1</v>
      </c>
      <c r="Z161" s="589" t="s">
        <v>653</v>
      </c>
      <c r="AA161" s="589" t="s">
        <v>654</v>
      </c>
      <c r="AB161" s="589" t="s">
        <v>666</v>
      </c>
      <c r="AC161" s="130"/>
      <c r="AD161" s="130">
        <f>S161*V161*Y161</f>
        <v>1950000</v>
      </c>
      <c r="AE161" s="131" t="s">
        <v>733</v>
      </c>
      <c r="AF161" s="2"/>
    </row>
    <row r="162" spans="1:32" s="11" customFormat="1" ht="20.25" customHeight="1">
      <c r="A162" s="45"/>
      <c r="B162" s="46"/>
      <c r="C162" s="47"/>
      <c r="D162" s="124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279"/>
      <c r="P162" s="279"/>
      <c r="Q162" s="279"/>
      <c r="R162" s="279"/>
      <c r="S162" s="277"/>
      <c r="T162" s="339"/>
      <c r="U162" s="339"/>
      <c r="V162" s="277"/>
      <c r="W162" s="279"/>
      <c r="X162" s="277"/>
      <c r="Y162" s="356"/>
      <c r="Z162" s="277"/>
      <c r="AA162" s="334"/>
      <c r="AB162" s="334"/>
      <c r="AC162" s="334"/>
      <c r="AD162" s="277"/>
      <c r="AE162" s="335"/>
      <c r="AF162" s="2"/>
    </row>
    <row r="163" spans="1:32" s="11" customFormat="1" ht="20.25" customHeight="1">
      <c r="A163" s="45"/>
      <c r="B163" s="46"/>
      <c r="C163" s="47"/>
      <c r="D163" s="124"/>
      <c r="E163" s="103"/>
      <c r="F163" s="103"/>
      <c r="G163" s="103"/>
      <c r="H163" s="103"/>
      <c r="I163" s="103"/>
      <c r="J163" s="103"/>
      <c r="K163" s="103"/>
      <c r="L163" s="103"/>
      <c r="M163" s="103"/>
      <c r="N163" s="68"/>
      <c r="O163" s="110" t="s">
        <v>749</v>
      </c>
      <c r="P163" s="279"/>
      <c r="Q163" s="279"/>
      <c r="R163" s="279"/>
      <c r="S163" s="277"/>
      <c r="T163" s="339"/>
      <c r="U163" s="339"/>
      <c r="V163" s="277"/>
      <c r="W163" s="279"/>
      <c r="X163" s="277"/>
      <c r="Y163" s="615" t="s">
        <v>137</v>
      </c>
      <c r="Z163" s="615"/>
      <c r="AA163" s="615"/>
      <c r="AB163" s="615"/>
      <c r="AC163" s="171"/>
      <c r="AD163" s="264">
        <f>SUM(AD164:AD166)</f>
        <v>1730000</v>
      </c>
      <c r="AE163" s="170" t="s">
        <v>25</v>
      </c>
      <c r="AF163" s="2"/>
    </row>
    <row r="164" spans="1:32" s="11" customFormat="1" ht="21" customHeight="1">
      <c r="A164" s="45"/>
      <c r="B164" s="46"/>
      <c r="C164" s="46"/>
      <c r="D164" s="151"/>
      <c r="E164" s="103"/>
      <c r="F164" s="103"/>
      <c r="G164" s="103"/>
      <c r="H164" s="103"/>
      <c r="I164" s="103"/>
      <c r="J164" s="103"/>
      <c r="K164" s="103"/>
      <c r="L164" s="103"/>
      <c r="M164" s="103"/>
      <c r="N164" s="68"/>
      <c r="O164" s="617" t="s">
        <v>256</v>
      </c>
      <c r="P164" s="617"/>
      <c r="Q164" s="616"/>
      <c r="R164" s="616"/>
      <c r="S164" s="616">
        <v>20000</v>
      </c>
      <c r="T164" s="390" t="s">
        <v>56</v>
      </c>
      <c r="U164" s="389" t="s">
        <v>57</v>
      </c>
      <c r="V164" s="394">
        <v>9</v>
      </c>
      <c r="W164" s="616" t="s">
        <v>55</v>
      </c>
      <c r="X164" s="389" t="s">
        <v>57</v>
      </c>
      <c r="Y164" s="390">
        <v>6</v>
      </c>
      <c r="Z164" s="390" t="s">
        <v>66</v>
      </c>
      <c r="AA164" s="395" t="s">
        <v>53</v>
      </c>
      <c r="AB164" s="390" t="s">
        <v>91</v>
      </c>
      <c r="AC164" s="390"/>
      <c r="AD164" s="616">
        <f>S164*V164*Y164</f>
        <v>1080000</v>
      </c>
      <c r="AE164" s="391" t="s">
        <v>56</v>
      </c>
      <c r="AF164" s="605"/>
    </row>
    <row r="165" spans="1:32" s="11" customFormat="1" ht="21" customHeight="1">
      <c r="A165" s="45"/>
      <c r="B165" s="46"/>
      <c r="C165" s="46"/>
      <c r="D165" s="151"/>
      <c r="E165" s="103"/>
      <c r="F165" s="103"/>
      <c r="G165" s="103"/>
      <c r="H165" s="103"/>
      <c r="I165" s="103"/>
      <c r="J165" s="103"/>
      <c r="K165" s="103"/>
      <c r="L165" s="103"/>
      <c r="M165" s="103"/>
      <c r="N165" s="68"/>
      <c r="O165" s="631" t="s">
        <v>777</v>
      </c>
      <c r="P165" s="617"/>
      <c r="Q165" s="616"/>
      <c r="R165" s="616"/>
      <c r="S165" s="616">
        <v>50000</v>
      </c>
      <c r="T165" s="390" t="s">
        <v>56</v>
      </c>
      <c r="U165" s="389" t="s">
        <v>57</v>
      </c>
      <c r="V165" s="394">
        <v>4</v>
      </c>
      <c r="W165" s="616" t="s">
        <v>55</v>
      </c>
      <c r="X165" s="389" t="s">
        <v>57</v>
      </c>
      <c r="Y165" s="390"/>
      <c r="Z165" s="390" t="s">
        <v>66</v>
      </c>
      <c r="AA165" s="395" t="s">
        <v>53</v>
      </c>
      <c r="AB165" s="390" t="s">
        <v>91</v>
      </c>
      <c r="AC165" s="390"/>
      <c r="AD165" s="616">
        <v>400000</v>
      </c>
      <c r="AE165" s="391" t="s">
        <v>56</v>
      </c>
      <c r="AF165" s="605"/>
    </row>
    <row r="166" spans="1:32" s="11" customFormat="1" ht="21" customHeight="1">
      <c r="A166" s="45"/>
      <c r="B166" s="46"/>
      <c r="C166" s="46"/>
      <c r="D166" s="151"/>
      <c r="E166" s="103"/>
      <c r="F166" s="103"/>
      <c r="G166" s="103"/>
      <c r="H166" s="103"/>
      <c r="I166" s="103"/>
      <c r="J166" s="103"/>
      <c r="K166" s="103"/>
      <c r="L166" s="103"/>
      <c r="M166" s="103"/>
      <c r="N166" s="68"/>
      <c r="O166" s="617" t="s">
        <v>731</v>
      </c>
      <c r="P166" s="617"/>
      <c r="Q166" s="617"/>
      <c r="R166" s="617"/>
      <c r="S166" s="616"/>
      <c r="T166" s="390"/>
      <c r="U166" s="390"/>
      <c r="V166" s="390"/>
      <c r="W166" s="616"/>
      <c r="X166" s="390"/>
      <c r="Y166" s="390"/>
      <c r="Z166" s="390"/>
      <c r="AA166" s="616"/>
      <c r="AB166" s="390" t="s">
        <v>91</v>
      </c>
      <c r="AC166" s="390"/>
      <c r="AD166" s="616">
        <v>250000</v>
      </c>
      <c r="AE166" s="131" t="s">
        <v>56</v>
      </c>
      <c r="AF166" s="605"/>
    </row>
    <row r="167" spans="1:32" s="11" customFormat="1" ht="21" customHeight="1">
      <c r="A167" s="45"/>
      <c r="B167" s="59"/>
      <c r="C167" s="514"/>
      <c r="D167" s="152"/>
      <c r="E167" s="105"/>
      <c r="F167" s="105"/>
      <c r="G167" s="105"/>
      <c r="H167" s="105"/>
      <c r="I167" s="105"/>
      <c r="J167" s="105"/>
      <c r="K167" s="105"/>
      <c r="L167" s="105"/>
      <c r="M167" s="105"/>
      <c r="N167" s="82"/>
      <c r="O167" s="361"/>
      <c r="P167" s="361"/>
      <c r="Q167" s="361"/>
      <c r="R167" s="361"/>
      <c r="S167" s="224"/>
      <c r="T167" s="361"/>
      <c r="U167" s="224"/>
      <c r="V167" s="125"/>
      <c r="W167" s="125"/>
      <c r="X167" s="224"/>
      <c r="Y167" s="224"/>
      <c r="Z167" s="224"/>
      <c r="AA167" s="224"/>
      <c r="AB167" s="224"/>
      <c r="AC167" s="224"/>
      <c r="AD167" s="224"/>
      <c r="AE167" s="71"/>
      <c r="AF167" s="2"/>
    </row>
    <row r="168" spans="1:32" s="11" customFormat="1" ht="21" customHeight="1">
      <c r="A168" s="106" t="s">
        <v>47</v>
      </c>
      <c r="B168" s="766" t="s">
        <v>20</v>
      </c>
      <c r="C168" s="766"/>
      <c r="D168" s="185">
        <f>D169</f>
        <v>131898</v>
      </c>
      <c r="E168" s="185">
        <f>E169</f>
        <v>109948</v>
      </c>
      <c r="F168" s="185">
        <f t="shared" ref="F168:L168" si="8">F169</f>
        <v>3312</v>
      </c>
      <c r="G168" s="185">
        <f t="shared" si="8"/>
        <v>5000</v>
      </c>
      <c r="H168" s="185">
        <f t="shared" si="8"/>
        <v>0</v>
      </c>
      <c r="I168" s="185">
        <f t="shared" si="8"/>
        <v>91550</v>
      </c>
      <c r="J168" s="185">
        <f t="shared" si="8"/>
        <v>0</v>
      </c>
      <c r="K168" s="185">
        <f t="shared" si="8"/>
        <v>10086</v>
      </c>
      <c r="L168" s="185">
        <f t="shared" si="8"/>
        <v>0</v>
      </c>
      <c r="M168" s="185">
        <f>E168-D168</f>
        <v>-21950</v>
      </c>
      <c r="N168" s="163">
        <f>IF(D168=0,0,M168/D168)</f>
        <v>-0.16641647333545617</v>
      </c>
      <c r="O168" s="176" t="s">
        <v>140</v>
      </c>
      <c r="P168" s="32"/>
      <c r="Q168" s="32"/>
      <c r="R168" s="32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>
        <f>AD169</f>
        <v>109948000</v>
      </c>
      <c r="AE168" s="34" t="s">
        <v>25</v>
      </c>
      <c r="AF168" s="2"/>
    </row>
    <row r="169" spans="1:32" s="11" customFormat="1" ht="21" customHeight="1">
      <c r="A169" s="184" t="s">
        <v>147</v>
      </c>
      <c r="B169" s="46" t="s">
        <v>17</v>
      </c>
      <c r="C169" s="46" t="s">
        <v>141</v>
      </c>
      <c r="D169" s="103">
        <f t="shared" ref="D169:L169" si="9">SUM(D170,D173,D183)</f>
        <v>131898</v>
      </c>
      <c r="E169" s="103">
        <f t="shared" si="9"/>
        <v>109948</v>
      </c>
      <c r="F169" s="103">
        <f t="shared" si="9"/>
        <v>3312</v>
      </c>
      <c r="G169" s="103">
        <f t="shared" si="9"/>
        <v>5000</v>
      </c>
      <c r="H169" s="103">
        <f t="shared" si="9"/>
        <v>0</v>
      </c>
      <c r="I169" s="103">
        <f t="shared" si="9"/>
        <v>91550</v>
      </c>
      <c r="J169" s="103">
        <f t="shared" si="9"/>
        <v>0</v>
      </c>
      <c r="K169" s="103">
        <f t="shared" si="9"/>
        <v>10086</v>
      </c>
      <c r="L169" s="103">
        <f t="shared" si="9"/>
        <v>0</v>
      </c>
      <c r="M169" s="103">
        <f>E169-D169</f>
        <v>-21950</v>
      </c>
      <c r="N169" s="68">
        <f>IF(D169=0,0,M169/D169)</f>
        <v>-0.16641647333545617</v>
      </c>
      <c r="O169" s="180" t="s">
        <v>142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87"/>
      <c r="Z169" s="87"/>
      <c r="AA169" s="87"/>
      <c r="AB169" s="87"/>
      <c r="AC169" s="92"/>
      <c r="AD169" s="92">
        <f>SUM(AD170,AD173,AD183)</f>
        <v>109948000</v>
      </c>
      <c r="AE169" s="93" t="s">
        <v>25</v>
      </c>
      <c r="AF169" s="1"/>
    </row>
    <row r="170" spans="1:32" s="11" customFormat="1" ht="21" customHeight="1">
      <c r="A170" s="45"/>
      <c r="B170" s="46"/>
      <c r="C170" s="36" t="s">
        <v>142</v>
      </c>
      <c r="D170" s="182">
        <v>0</v>
      </c>
      <c r="E170" s="182">
        <f>ROUND(AD170/1000,0)</f>
        <v>0</v>
      </c>
      <c r="F170" s="108">
        <f>SUMIF($AB$171:$AB$172,"보조",$AD$171:$AD$172)/1000</f>
        <v>0</v>
      </c>
      <c r="G170" s="108">
        <f>SUMIF($AB$171:$AB$172,"7종",$AD$171:$AD$172)/1000</f>
        <v>0</v>
      </c>
      <c r="H170" s="108">
        <f>SUMIF($AB$171:$AB$172,"4종",$AD$171:$AD$172)/1000</f>
        <v>0</v>
      </c>
      <c r="I170" s="108">
        <f>SUMIF($AB$171:$AB$172,"후원",$AD$171:$AD$172)/1000</f>
        <v>0</v>
      </c>
      <c r="J170" s="108">
        <f>SUMIF($AB$171:$AB$172,"입소",$AD$171:$AD$172)/1000</f>
        <v>0</v>
      </c>
      <c r="K170" s="108">
        <f>SUMIF($AB$171:$AB$172,"법인",$AD$171:$AD$172)/1000</f>
        <v>0</v>
      </c>
      <c r="L170" s="108">
        <f>SUMIF($AB$171:$AB$172,"잡수",$AD$171:$AD$172)/1000</f>
        <v>0</v>
      </c>
      <c r="M170" s="182">
        <f>E170-D170</f>
        <v>0</v>
      </c>
      <c r="N170" s="183">
        <f>IF(D170=0,0,M170/D170)</f>
        <v>0</v>
      </c>
      <c r="O170" s="95" t="s">
        <v>48</v>
      </c>
      <c r="P170" s="180"/>
      <c r="Q170" s="180"/>
      <c r="R170" s="180"/>
      <c r="S170" s="180"/>
      <c r="T170" s="179"/>
      <c r="U170" s="179"/>
      <c r="V170" s="179"/>
      <c r="W170" s="179"/>
      <c r="X170" s="179"/>
      <c r="Y170" s="169" t="s">
        <v>137</v>
      </c>
      <c r="Z170" s="169"/>
      <c r="AA170" s="169"/>
      <c r="AB170" s="169"/>
      <c r="AC170" s="171"/>
      <c r="AD170" s="171">
        <f>SUM(AD171:AD171)</f>
        <v>0</v>
      </c>
      <c r="AE170" s="170" t="s">
        <v>25</v>
      </c>
      <c r="AF170" s="1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  <c r="Y171" s="562"/>
      <c r="Z171" s="562"/>
      <c r="AA171" s="562"/>
      <c r="AB171" s="562"/>
      <c r="AC171" s="562"/>
      <c r="AD171" s="561"/>
      <c r="AE171" s="131"/>
      <c r="AF171" s="2"/>
    </row>
    <row r="172" spans="1:32" s="11" customFormat="1" ht="21" customHeight="1">
      <c r="A172" s="45"/>
      <c r="B172" s="46"/>
      <c r="C172" s="46"/>
      <c r="D172" s="151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26"/>
      <c r="AE172" s="118"/>
      <c r="AF172" s="2"/>
    </row>
    <row r="173" spans="1:32" s="11" customFormat="1" ht="21" customHeight="1">
      <c r="A173" s="45"/>
      <c r="B173" s="46"/>
      <c r="C173" s="36" t="s">
        <v>18</v>
      </c>
      <c r="D173" s="153">
        <v>35160</v>
      </c>
      <c r="E173" s="107">
        <f>ROUND(AD173/1000,0)</f>
        <v>41210</v>
      </c>
      <c r="F173" s="108">
        <f>SUMIF($AB$174:$AB$182,"보조",$AD$174:$AD$182)/1000</f>
        <v>0</v>
      </c>
      <c r="G173" s="108">
        <f>SUMIF($AB$174:$AB$182,"7종",$AD$174:$AD$182)/1000</f>
        <v>0</v>
      </c>
      <c r="H173" s="108">
        <f>SUMIF($AB$174:$AB$182,"4종",$AD$174:$AD$182)/1000</f>
        <v>0</v>
      </c>
      <c r="I173" s="108">
        <f>SUMIF($AB$174:$AB$182,"후원",$AD$174:$AD$182)/1000</f>
        <v>41210</v>
      </c>
      <c r="J173" s="108">
        <f>SUMIF($AB$174:$AB$182,"입소",$AD$174:$AD$182)/1000</f>
        <v>0</v>
      </c>
      <c r="K173" s="108">
        <f>SUMIF($AB$174:$AB$182,"법인",$AD$174:$AD$182)/1000</f>
        <v>0</v>
      </c>
      <c r="L173" s="108">
        <f>SUMIF($AB$174:$AB$182,"잡수",$AD$174:$AD$182)/1000</f>
        <v>0</v>
      </c>
      <c r="M173" s="107">
        <f>E173-D173</f>
        <v>6050</v>
      </c>
      <c r="N173" s="115">
        <f>IF(D173=0,0,M173/D173)</f>
        <v>0.17207053469852104</v>
      </c>
      <c r="O173" s="95" t="s">
        <v>49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137</v>
      </c>
      <c r="Z173" s="169"/>
      <c r="AA173" s="169"/>
      <c r="AB173" s="169"/>
      <c r="AC173" s="171"/>
      <c r="AD173" s="171">
        <f>SUM(AD174:AD182)</f>
        <v>41210000</v>
      </c>
      <c r="AE173" s="170" t="s">
        <v>25</v>
      </c>
      <c r="AF173" s="1"/>
    </row>
    <row r="174" spans="1:32" s="11" customFormat="1" ht="21" customHeight="1">
      <c r="A174" s="45"/>
      <c r="B174" s="46"/>
      <c r="C174" s="46"/>
      <c r="D174" s="104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689" t="s">
        <v>888</v>
      </c>
      <c r="P174" s="689"/>
      <c r="Q174" s="689"/>
      <c r="R174" s="689"/>
      <c r="S174" s="688">
        <v>0</v>
      </c>
      <c r="T174" s="297" t="s">
        <v>889</v>
      </c>
      <c r="U174" s="297" t="s">
        <v>26</v>
      </c>
      <c r="V174" s="688">
        <v>6</v>
      </c>
      <c r="W174" s="689" t="s">
        <v>890</v>
      </c>
      <c r="X174" s="688" t="s">
        <v>27</v>
      </c>
      <c r="Y174" s="688"/>
      <c r="Z174" s="688"/>
      <c r="AA174" s="688"/>
      <c r="AB174" s="688" t="s">
        <v>891</v>
      </c>
      <c r="AC174" s="688"/>
      <c r="AD174" s="688">
        <v>6000000</v>
      </c>
      <c r="AE174" s="131" t="s">
        <v>25</v>
      </c>
      <c r="AF174" s="2"/>
    </row>
    <row r="175" spans="1:32" s="11" customFormat="1" ht="21" customHeight="1">
      <c r="A175" s="45"/>
      <c r="B175" s="46"/>
      <c r="C175" s="46"/>
      <c r="D175" s="104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590" t="s">
        <v>685</v>
      </c>
      <c r="P175" s="590"/>
      <c r="Q175" s="590"/>
      <c r="R175" s="590"/>
      <c r="S175" s="589"/>
      <c r="T175" s="297"/>
      <c r="U175" s="297"/>
      <c r="V175" s="589"/>
      <c r="W175" s="590"/>
      <c r="X175" s="589"/>
      <c r="Y175" s="408" t="s">
        <v>562</v>
      </c>
      <c r="Z175" s="589"/>
      <c r="AA175" s="589"/>
      <c r="AB175" s="589" t="s">
        <v>152</v>
      </c>
      <c r="AC175" s="589"/>
      <c r="AD175" s="657">
        <v>23000000</v>
      </c>
      <c r="AE175" s="131" t="s">
        <v>805</v>
      </c>
      <c r="AF175" s="2"/>
    </row>
    <row r="176" spans="1:32" s="11" customFormat="1" ht="21" customHeight="1">
      <c r="A176" s="45"/>
      <c r="B176" s="46"/>
      <c r="C176" s="46"/>
      <c r="D176" s="104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623" t="s">
        <v>759</v>
      </c>
      <c r="P176" s="576"/>
      <c r="Q176" s="402"/>
      <c r="R176" s="402"/>
      <c r="S176" s="402"/>
      <c r="T176" s="403"/>
      <c r="U176" s="403"/>
      <c r="V176" s="403"/>
      <c r="W176" s="403"/>
      <c r="X176" s="403"/>
      <c r="Y176" s="403" t="s">
        <v>758</v>
      </c>
      <c r="Z176" s="403"/>
      <c r="AA176" s="403"/>
      <c r="AB176" s="622" t="s">
        <v>757</v>
      </c>
      <c r="AC176" s="577"/>
      <c r="AD176" s="130">
        <v>5000000</v>
      </c>
      <c r="AE176" s="131" t="s">
        <v>755</v>
      </c>
      <c r="AF176" s="2"/>
    </row>
    <row r="177" spans="1:32" s="11" customFormat="1" ht="21" customHeight="1">
      <c r="A177" s="45"/>
      <c r="B177" s="46"/>
      <c r="C177" s="46"/>
      <c r="D177" s="104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677"/>
      <c r="P177" s="677"/>
      <c r="Q177" s="402"/>
      <c r="R177" s="402"/>
      <c r="S177" s="402"/>
      <c r="T177" s="403"/>
      <c r="U177" s="403"/>
      <c r="V177" s="403"/>
      <c r="W177" s="403"/>
      <c r="X177" s="403"/>
      <c r="Y177" s="403"/>
      <c r="Z177" s="403"/>
      <c r="AA177" s="403"/>
      <c r="AB177" s="378" t="s">
        <v>881</v>
      </c>
      <c r="AC177" s="263"/>
      <c r="AD177" s="533">
        <v>1500000</v>
      </c>
      <c r="AE177" s="619" t="s">
        <v>863</v>
      </c>
      <c r="AF177" s="2"/>
    </row>
    <row r="178" spans="1:32" s="11" customFormat="1" ht="21" customHeight="1">
      <c r="A178" s="45"/>
      <c r="B178" s="46"/>
      <c r="C178" s="46"/>
      <c r="D178" s="104"/>
      <c r="E178" s="103"/>
      <c r="F178" s="103"/>
      <c r="G178" s="103"/>
      <c r="H178" s="103"/>
      <c r="I178" s="103"/>
      <c r="J178" s="103"/>
      <c r="K178" s="103"/>
      <c r="L178" s="103"/>
      <c r="M178" s="103"/>
      <c r="N178" s="68"/>
      <c r="O178" s="296" t="s">
        <v>847</v>
      </c>
      <c r="P178" s="296"/>
      <c r="Q178" s="296"/>
      <c r="R178" s="296"/>
      <c r="S178" s="295"/>
      <c r="T178" s="111"/>
      <c r="U178" s="55"/>
      <c r="V178" s="66"/>
      <c r="W178" s="66"/>
      <c r="X178" s="295"/>
      <c r="Y178" s="295" t="s">
        <v>562</v>
      </c>
      <c r="Z178" s="295"/>
      <c r="AA178" s="295"/>
      <c r="AB178" s="295" t="s">
        <v>152</v>
      </c>
      <c r="AC178" s="295"/>
      <c r="AD178" s="674">
        <v>1160000</v>
      </c>
      <c r="AE178" s="131" t="s">
        <v>56</v>
      </c>
      <c r="AF178" s="2"/>
    </row>
    <row r="179" spans="1:32" s="11" customFormat="1" ht="21" customHeight="1">
      <c r="A179" s="45"/>
      <c r="B179" s="46"/>
      <c r="C179" s="46"/>
      <c r="D179" s="104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296"/>
      <c r="P179" s="296"/>
      <c r="Q179" s="296"/>
      <c r="R179" s="296"/>
      <c r="S179" s="295"/>
      <c r="T179" s="111"/>
      <c r="U179" s="55"/>
      <c r="V179" s="66"/>
      <c r="W179" s="66"/>
      <c r="X179" s="295"/>
      <c r="Y179" s="295"/>
      <c r="Z179" s="295"/>
      <c r="AA179" s="295"/>
      <c r="AB179" s="295"/>
      <c r="AC179" s="295"/>
      <c r="AD179" s="688"/>
      <c r="AE179" s="131"/>
      <c r="AF179" s="2"/>
    </row>
    <row r="180" spans="1:32" s="11" customFormat="1" ht="21" customHeight="1">
      <c r="A180" s="45"/>
      <c r="B180" s="46"/>
      <c r="C180" s="46"/>
      <c r="D180" s="104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436" t="s">
        <v>893</v>
      </c>
      <c r="P180" s="436"/>
      <c r="Q180" s="436"/>
      <c r="R180" s="436"/>
      <c r="S180" s="378"/>
      <c r="T180" s="678"/>
      <c r="U180" s="284"/>
      <c r="V180" s="533"/>
      <c r="W180" s="533"/>
      <c r="X180" s="378"/>
      <c r="Y180" s="378"/>
      <c r="Z180" s="378"/>
      <c r="AA180" s="378"/>
      <c r="AB180" s="378" t="s">
        <v>894</v>
      </c>
      <c r="AC180" s="378"/>
      <c r="AD180" s="378">
        <v>3000000</v>
      </c>
      <c r="AE180" s="619" t="s">
        <v>895</v>
      </c>
      <c r="AF180" s="2"/>
    </row>
    <row r="181" spans="1:32" s="11" customFormat="1" ht="21" customHeight="1">
      <c r="A181" s="45"/>
      <c r="B181" s="46"/>
      <c r="C181" s="46"/>
      <c r="D181" s="104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436" t="s">
        <v>896</v>
      </c>
      <c r="P181" s="436"/>
      <c r="Q181" s="260"/>
      <c r="R181" s="260"/>
      <c r="S181" s="260"/>
      <c r="T181" s="261"/>
      <c r="U181" s="261"/>
      <c r="V181" s="261"/>
      <c r="W181" s="261"/>
      <c r="X181" s="261"/>
      <c r="Y181" s="378"/>
      <c r="Z181" s="378"/>
      <c r="AA181" s="378"/>
      <c r="AB181" s="378"/>
      <c r="AC181" s="378"/>
      <c r="AD181" s="378"/>
      <c r="AE181" s="619"/>
      <c r="AF181" s="2"/>
    </row>
    <row r="182" spans="1:32" s="11" customFormat="1" ht="21" customHeight="1">
      <c r="A182" s="45"/>
      <c r="B182" s="46"/>
      <c r="C182" s="46"/>
      <c r="D182" s="104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436" t="s">
        <v>897</v>
      </c>
      <c r="P182" s="436"/>
      <c r="Q182" s="436"/>
      <c r="R182" s="436"/>
      <c r="S182" s="378"/>
      <c r="T182" s="678"/>
      <c r="U182" s="284"/>
      <c r="V182" s="533"/>
      <c r="W182" s="533"/>
      <c r="X182" s="378"/>
      <c r="Y182" s="378" t="s">
        <v>848</v>
      </c>
      <c r="Z182" s="378"/>
      <c r="AA182" s="378"/>
      <c r="AB182" s="378" t="s">
        <v>849</v>
      </c>
      <c r="AC182" s="378"/>
      <c r="AD182" s="378">
        <v>1550000</v>
      </c>
      <c r="AE182" s="619" t="s">
        <v>843</v>
      </c>
      <c r="AF182" s="2"/>
    </row>
    <row r="183" spans="1:32" s="11" customFormat="1" ht="21" customHeight="1">
      <c r="A183" s="45"/>
      <c r="B183" s="46"/>
      <c r="C183" s="36" t="s">
        <v>50</v>
      </c>
      <c r="D183" s="153">
        <v>96738</v>
      </c>
      <c r="E183" s="107">
        <f>ROUND(AD183/1000,0)</f>
        <v>68738</v>
      </c>
      <c r="F183" s="108">
        <f>SUMIF($AB$184:$AB$195,"보조",$AD$184:$AD$195)/1000</f>
        <v>3312</v>
      </c>
      <c r="G183" s="108">
        <f>SUMIF($AB$184:$AB$195,"7종",$AD$184:$AD$195)/1000</f>
        <v>5000</v>
      </c>
      <c r="H183" s="108">
        <f>SUMIF($AB$184:$AB$195,"4종",$AD$184:$AD$195)/1000</f>
        <v>0</v>
      </c>
      <c r="I183" s="108">
        <f>SUMIF($AB$184:$AB$195,"후원",$AD$184:$AD$195)/1000</f>
        <v>50340</v>
      </c>
      <c r="J183" s="108">
        <f>SUMIF($AB$184:$AB$195,"입소",$AD$184:$AD$195)/1000</f>
        <v>0</v>
      </c>
      <c r="K183" s="108">
        <f>SUMIF($AB$184:$AB$195,"법인",$AD$184:$AD$195)/1000</f>
        <v>10086</v>
      </c>
      <c r="L183" s="108">
        <f>SUMIF($AB$184:$AB$195,"잡수",$AD$184:$AD$195)/1000</f>
        <v>0</v>
      </c>
      <c r="M183" s="117">
        <f>E183-D183</f>
        <v>-28000</v>
      </c>
      <c r="N183" s="115">
        <f>IF(D183=0,0,M183/D183)</f>
        <v>-0.28944158448593105</v>
      </c>
      <c r="O183" s="95" t="s">
        <v>51</v>
      </c>
      <c r="P183" s="91"/>
      <c r="Q183" s="91"/>
      <c r="R183" s="91"/>
      <c r="S183" s="91"/>
      <c r="T183" s="87"/>
      <c r="U183" s="87"/>
      <c r="V183" s="87"/>
      <c r="W183" s="87"/>
      <c r="X183" s="87"/>
      <c r="Y183" s="169" t="s">
        <v>137</v>
      </c>
      <c r="Z183" s="169"/>
      <c r="AA183" s="169"/>
      <c r="AB183" s="169"/>
      <c r="AC183" s="171"/>
      <c r="AD183" s="171">
        <f>SUM(AD184:AD194)</f>
        <v>68738000</v>
      </c>
      <c r="AE183" s="170" t="s">
        <v>25</v>
      </c>
      <c r="AF183" s="1"/>
    </row>
    <row r="184" spans="1:32" s="1" customFormat="1" ht="21" customHeight="1">
      <c r="A184" s="45"/>
      <c r="B184" s="46"/>
      <c r="C184" s="46" t="s">
        <v>155</v>
      </c>
      <c r="D184" s="151"/>
      <c r="E184" s="103"/>
      <c r="F184" s="103"/>
      <c r="G184" s="103"/>
      <c r="H184" s="103"/>
      <c r="I184" s="103"/>
      <c r="J184" s="103"/>
      <c r="K184" s="103"/>
      <c r="L184" s="103"/>
      <c r="M184" s="103"/>
      <c r="N184" s="68"/>
      <c r="O184" s="377" t="s">
        <v>270</v>
      </c>
      <c r="P184" s="377"/>
      <c r="Q184" s="377"/>
      <c r="R184" s="377"/>
      <c r="S184" s="376">
        <v>176000</v>
      </c>
      <c r="T184" s="297" t="s">
        <v>258</v>
      </c>
      <c r="U184" s="297" t="s">
        <v>26</v>
      </c>
      <c r="V184" s="376">
        <v>12</v>
      </c>
      <c r="W184" s="377" t="s">
        <v>262</v>
      </c>
      <c r="X184" s="376" t="s">
        <v>27</v>
      </c>
      <c r="Y184" s="376"/>
      <c r="Z184" s="376"/>
      <c r="AA184" s="376"/>
      <c r="AB184" s="376" t="s">
        <v>266</v>
      </c>
      <c r="AC184" s="376"/>
      <c r="AD184" s="376">
        <f>S184*V184</f>
        <v>2112000</v>
      </c>
      <c r="AE184" s="131" t="s">
        <v>25</v>
      </c>
      <c r="AF184" s="2"/>
    </row>
    <row r="185" spans="1:32" s="1" customFormat="1" ht="21" customHeight="1">
      <c r="A185" s="45"/>
      <c r="B185" s="46"/>
      <c r="C185" s="46"/>
      <c r="D185" s="151"/>
      <c r="E185" s="103"/>
      <c r="F185" s="103"/>
      <c r="G185" s="103"/>
      <c r="H185" s="103"/>
      <c r="I185" s="103"/>
      <c r="J185" s="103"/>
      <c r="K185" s="103"/>
      <c r="L185" s="103"/>
      <c r="M185" s="103"/>
      <c r="N185" s="68"/>
      <c r="O185" s="377" t="s">
        <v>271</v>
      </c>
      <c r="P185" s="377"/>
      <c r="Q185" s="377"/>
      <c r="R185" s="377"/>
      <c r="S185" s="376">
        <v>100000</v>
      </c>
      <c r="T185" s="297" t="s">
        <v>258</v>
      </c>
      <c r="U185" s="297" t="s">
        <v>26</v>
      </c>
      <c r="V185" s="376">
        <v>12</v>
      </c>
      <c r="W185" s="377" t="s">
        <v>262</v>
      </c>
      <c r="X185" s="376" t="s">
        <v>27</v>
      </c>
      <c r="Y185" s="376"/>
      <c r="Z185" s="376"/>
      <c r="AA185" s="376"/>
      <c r="AB185" s="376" t="s">
        <v>266</v>
      </c>
      <c r="AC185" s="376"/>
      <c r="AD185" s="376">
        <f>S185*V185</f>
        <v>1200000</v>
      </c>
      <c r="AE185" s="131" t="s">
        <v>25</v>
      </c>
      <c r="AF185" s="2"/>
    </row>
    <row r="186" spans="1:32" s="1" customFormat="1" ht="21" customHeight="1">
      <c r="A186" s="45"/>
      <c r="B186" s="46"/>
      <c r="C186" s="46"/>
      <c r="D186" s="151"/>
      <c r="E186" s="103"/>
      <c r="F186" s="103"/>
      <c r="G186" s="103"/>
      <c r="H186" s="103"/>
      <c r="I186" s="103"/>
      <c r="J186" s="103"/>
      <c r="K186" s="103"/>
      <c r="L186" s="103"/>
      <c r="M186" s="103"/>
      <c r="N186" s="68"/>
      <c r="O186" s="436" t="s">
        <v>899</v>
      </c>
      <c r="P186" s="436"/>
      <c r="Q186" s="436"/>
      <c r="R186" s="436"/>
      <c r="S186" s="378"/>
      <c r="T186" s="284"/>
      <c r="U186" s="284"/>
      <c r="V186" s="378"/>
      <c r="W186" s="436"/>
      <c r="X186" s="378"/>
      <c r="Y186" s="378"/>
      <c r="Z186" s="378"/>
      <c r="AA186" s="378"/>
      <c r="AB186" s="378" t="s">
        <v>891</v>
      </c>
      <c r="AC186" s="378"/>
      <c r="AD186" s="378">
        <v>23000000</v>
      </c>
      <c r="AE186" s="619" t="s">
        <v>889</v>
      </c>
      <c r="AF186" s="2"/>
    </row>
    <row r="187" spans="1:32" s="1" customFormat="1" ht="21" customHeight="1">
      <c r="A187" s="45"/>
      <c r="B187" s="46"/>
      <c r="C187" s="46"/>
      <c r="D187" s="151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677" t="s">
        <v>878</v>
      </c>
      <c r="P187" s="607"/>
      <c r="Q187" s="607"/>
      <c r="R187" s="607"/>
      <c r="S187" s="606"/>
      <c r="T187" s="297"/>
      <c r="U187" s="297"/>
      <c r="V187" s="606"/>
      <c r="W187" s="607"/>
      <c r="X187" s="606"/>
      <c r="Y187" s="295" t="s">
        <v>562</v>
      </c>
      <c r="Z187" s="606"/>
      <c r="AA187" s="606"/>
      <c r="AB187" s="378" t="s">
        <v>881</v>
      </c>
      <c r="AC187" s="378"/>
      <c r="AD187" s="378">
        <v>10000000</v>
      </c>
      <c r="AE187" s="619" t="s">
        <v>865</v>
      </c>
      <c r="AF187" s="2"/>
    </row>
    <row r="188" spans="1:32" s="1" customFormat="1" ht="21" customHeight="1">
      <c r="A188" s="45"/>
      <c r="B188" s="46"/>
      <c r="C188" s="46"/>
      <c r="D188" s="151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654"/>
      <c r="P188" s="654"/>
      <c r="Q188" s="654"/>
      <c r="R188" s="654"/>
      <c r="S188" s="653"/>
      <c r="T188" s="297"/>
      <c r="U188" s="297"/>
      <c r="V188" s="653"/>
      <c r="W188" s="654"/>
      <c r="X188" s="653"/>
      <c r="Y188" s="653"/>
      <c r="Z188" s="653"/>
      <c r="AA188" s="653"/>
      <c r="AB188" s="378" t="s">
        <v>874</v>
      </c>
      <c r="AC188" s="378"/>
      <c r="AD188" s="378">
        <v>10086000</v>
      </c>
      <c r="AE188" s="619" t="s">
        <v>865</v>
      </c>
      <c r="AF188" s="2"/>
    </row>
    <row r="189" spans="1:32" s="1" customFormat="1" ht="21" customHeight="1">
      <c r="A189" s="45"/>
      <c r="B189" s="46"/>
      <c r="C189" s="46"/>
      <c r="D189" s="151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641"/>
      <c r="P189" s="641"/>
      <c r="Q189" s="641"/>
      <c r="R189" s="641"/>
      <c r="S189" s="640"/>
      <c r="T189" s="297"/>
      <c r="U189" s="297"/>
      <c r="V189" s="640"/>
      <c r="W189" s="641"/>
      <c r="X189" s="640"/>
      <c r="Y189" s="640"/>
      <c r="Z189" s="640"/>
      <c r="AA189" s="640"/>
      <c r="AB189" s="378" t="s">
        <v>881</v>
      </c>
      <c r="AC189" s="378"/>
      <c r="AD189" s="378">
        <v>4000000</v>
      </c>
      <c r="AE189" s="619" t="s">
        <v>865</v>
      </c>
      <c r="AF189" s="2"/>
    </row>
    <row r="190" spans="1:32" s="1" customFormat="1" ht="21" customHeight="1">
      <c r="A190" s="45"/>
      <c r="B190" s="46"/>
      <c r="C190" s="46"/>
      <c r="D190" s="151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607" t="s">
        <v>736</v>
      </c>
      <c r="P190" s="607"/>
      <c r="Q190" s="607"/>
      <c r="R190" s="607"/>
      <c r="S190" s="606"/>
      <c r="T190" s="297"/>
      <c r="U190" s="297"/>
      <c r="V190" s="606"/>
      <c r="W190" s="607"/>
      <c r="X190" s="606"/>
      <c r="Y190" s="606"/>
      <c r="Z190" s="606"/>
      <c r="AA190" s="606"/>
      <c r="AB190" s="606" t="s">
        <v>152</v>
      </c>
      <c r="AC190" s="606"/>
      <c r="AD190" s="606">
        <v>500000</v>
      </c>
      <c r="AE190" s="131" t="s">
        <v>56</v>
      </c>
      <c r="AF190" s="2"/>
    </row>
    <row r="191" spans="1:32" s="1" customFormat="1" ht="21" customHeight="1">
      <c r="A191" s="45"/>
      <c r="B191" s="46"/>
      <c r="C191" s="46"/>
      <c r="D191" s="151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689" t="s">
        <v>900</v>
      </c>
      <c r="P191" s="607"/>
      <c r="Q191" s="607"/>
      <c r="R191" s="607"/>
      <c r="S191" s="606"/>
      <c r="T191" s="297"/>
      <c r="U191" s="297"/>
      <c r="V191" s="606"/>
      <c r="W191" s="607"/>
      <c r="X191" s="606"/>
      <c r="Y191" s="606"/>
      <c r="Z191" s="606"/>
      <c r="AA191" s="606"/>
      <c r="AB191" s="622" t="s">
        <v>754</v>
      </c>
      <c r="AC191" s="606"/>
      <c r="AD191" s="657">
        <v>5000000</v>
      </c>
      <c r="AE191" s="131" t="s">
        <v>805</v>
      </c>
      <c r="AF191" s="2"/>
    </row>
    <row r="192" spans="1:32" s="1" customFormat="1" ht="21" customHeight="1">
      <c r="A192" s="45"/>
      <c r="B192" s="46"/>
      <c r="C192" s="46"/>
      <c r="D192" s="151"/>
      <c r="E192" s="103"/>
      <c r="F192" s="103"/>
      <c r="G192" s="103"/>
      <c r="H192" s="103"/>
      <c r="I192" s="103"/>
      <c r="J192" s="103"/>
      <c r="K192" s="103"/>
      <c r="L192" s="103"/>
      <c r="M192" s="103"/>
      <c r="N192" s="68"/>
      <c r="O192" s="623" t="s">
        <v>756</v>
      </c>
      <c r="P192" s="590"/>
      <c r="Q192" s="590"/>
      <c r="R192" s="590"/>
      <c r="S192" s="589"/>
      <c r="T192" s="297"/>
      <c r="U192" s="297"/>
      <c r="V192" s="589"/>
      <c r="W192" s="601"/>
      <c r="X192" s="600"/>
      <c r="Y192" s="589"/>
      <c r="Z192" s="589"/>
      <c r="AA192" s="589"/>
      <c r="AB192" s="622" t="s">
        <v>152</v>
      </c>
      <c r="AC192" s="589"/>
      <c r="AD192" s="657">
        <v>2000000</v>
      </c>
      <c r="AE192" s="131" t="s">
        <v>805</v>
      </c>
      <c r="AF192" s="2"/>
    </row>
    <row r="193" spans="1:32" s="1" customFormat="1" ht="21" customHeight="1">
      <c r="A193" s="45"/>
      <c r="B193" s="46"/>
      <c r="C193" s="46"/>
      <c r="D193" s="151"/>
      <c r="E193" s="103"/>
      <c r="F193" s="103"/>
      <c r="G193" s="103"/>
      <c r="H193" s="103"/>
      <c r="I193" s="103"/>
      <c r="J193" s="103"/>
      <c r="K193" s="103"/>
      <c r="L193" s="103"/>
      <c r="M193" s="103"/>
      <c r="N193" s="68"/>
      <c r="O193" s="689" t="s">
        <v>901</v>
      </c>
      <c r="P193" s="576"/>
      <c r="Q193" s="576"/>
      <c r="R193" s="576"/>
      <c r="S193" s="575"/>
      <c r="T193" s="297"/>
      <c r="U193" s="297"/>
      <c r="V193" s="575"/>
      <c r="W193" s="576"/>
      <c r="X193" s="575"/>
      <c r="Y193" s="575"/>
      <c r="Z193" s="575"/>
      <c r="AA193" s="575"/>
      <c r="AB193" s="630" t="s">
        <v>774</v>
      </c>
      <c r="AC193" s="575"/>
      <c r="AD193" s="657">
        <v>840000</v>
      </c>
      <c r="AE193" s="131" t="s">
        <v>805</v>
      </c>
      <c r="AF193" s="2"/>
    </row>
    <row r="194" spans="1:32" s="1" customFormat="1" ht="21" customHeight="1">
      <c r="A194" s="45"/>
      <c r="B194" s="46"/>
      <c r="C194" s="46"/>
      <c r="D194" s="151"/>
      <c r="E194" s="103"/>
      <c r="F194" s="103"/>
      <c r="G194" s="103"/>
      <c r="H194" s="103"/>
      <c r="I194" s="103"/>
      <c r="J194" s="103"/>
      <c r="K194" s="103"/>
      <c r="L194" s="103"/>
      <c r="M194" s="103"/>
      <c r="N194" s="68"/>
      <c r="O194" s="689" t="s">
        <v>902</v>
      </c>
      <c r="P194" s="641"/>
      <c r="Q194" s="641"/>
      <c r="R194" s="641"/>
      <c r="S194" s="640"/>
      <c r="T194" s="297"/>
      <c r="U194" s="297"/>
      <c r="V194" s="640"/>
      <c r="W194" s="641"/>
      <c r="X194" s="640"/>
      <c r="Y194" s="640"/>
      <c r="Z194" s="640"/>
      <c r="AA194" s="640"/>
      <c r="AB194" s="640" t="s">
        <v>797</v>
      </c>
      <c r="AC194" s="640"/>
      <c r="AD194" s="657">
        <v>10000000</v>
      </c>
      <c r="AE194" s="131" t="s">
        <v>805</v>
      </c>
      <c r="AF194" s="2"/>
    </row>
    <row r="195" spans="1:32" s="1" customFormat="1" ht="21" customHeight="1">
      <c r="A195" s="45"/>
      <c r="B195" s="46"/>
      <c r="C195" s="46"/>
      <c r="D195" s="151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148"/>
      <c r="P195" s="50"/>
      <c r="Q195" s="50"/>
      <c r="R195" s="50"/>
      <c r="S195" s="51"/>
      <c r="T195" s="55"/>
      <c r="U195" s="55"/>
      <c r="V195" s="51"/>
      <c r="W195" s="50"/>
      <c r="X195" s="51"/>
      <c r="Y195" s="51"/>
      <c r="Z195" s="51"/>
      <c r="AA195" s="51"/>
      <c r="AB195" s="119"/>
      <c r="AC195" s="51"/>
      <c r="AD195" s="51"/>
      <c r="AE195" s="57"/>
      <c r="AF195" s="2"/>
    </row>
    <row r="196" spans="1:32" s="11" customFormat="1" ht="21" customHeight="1">
      <c r="A196" s="186" t="s">
        <v>19</v>
      </c>
      <c r="B196" s="764" t="s">
        <v>20</v>
      </c>
      <c r="C196" s="765"/>
      <c r="D196" s="187">
        <f t="shared" ref="D196:M196" si="10">SUM(D197,D241)</f>
        <v>394414</v>
      </c>
      <c r="E196" s="187">
        <f t="shared" si="10"/>
        <v>394486</v>
      </c>
      <c r="F196" s="187">
        <f t="shared" si="10"/>
        <v>98229</v>
      </c>
      <c r="G196" s="187">
        <f t="shared" si="10"/>
        <v>17600</v>
      </c>
      <c r="H196" s="187">
        <f t="shared" si="10"/>
        <v>21346</v>
      </c>
      <c r="I196" s="187">
        <f t="shared" si="10"/>
        <v>58588</v>
      </c>
      <c r="J196" s="187">
        <f t="shared" si="10"/>
        <v>128389</v>
      </c>
      <c r="K196" s="187">
        <f t="shared" si="10"/>
        <v>10000</v>
      </c>
      <c r="L196" s="187">
        <f t="shared" si="10"/>
        <v>60334</v>
      </c>
      <c r="M196" s="187">
        <f t="shared" si="10"/>
        <v>72</v>
      </c>
      <c r="N196" s="188">
        <f>IF(D196=0,0,M196/D196)</f>
        <v>1.8254930098830164E-4</v>
      </c>
      <c r="O196" s="180" t="s">
        <v>144</v>
      </c>
      <c r="P196" s="91"/>
      <c r="Q196" s="91"/>
      <c r="R196" s="91"/>
      <c r="S196" s="91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>
        <f>SUM(AD197,AD241)</f>
        <v>394486000</v>
      </c>
      <c r="AE196" s="93" t="s">
        <v>25</v>
      </c>
      <c r="AF196" s="13"/>
    </row>
    <row r="197" spans="1:32" s="11" customFormat="1" ht="21" customHeight="1">
      <c r="A197" s="46"/>
      <c r="B197" s="36" t="s">
        <v>82</v>
      </c>
      <c r="C197" s="36" t="s">
        <v>145</v>
      </c>
      <c r="D197" s="107">
        <f t="shared" ref="D197:L197" si="11">SUM(D198,D212,D217,D222,D233)</f>
        <v>290788</v>
      </c>
      <c r="E197" s="107">
        <f t="shared" si="11"/>
        <v>292128</v>
      </c>
      <c r="F197" s="107">
        <f t="shared" si="11"/>
        <v>94999</v>
      </c>
      <c r="G197" s="107">
        <f t="shared" si="11"/>
        <v>12600</v>
      </c>
      <c r="H197" s="107">
        <f t="shared" si="11"/>
        <v>21346</v>
      </c>
      <c r="I197" s="107">
        <f t="shared" si="11"/>
        <v>5583</v>
      </c>
      <c r="J197" s="107">
        <f t="shared" si="11"/>
        <v>97620</v>
      </c>
      <c r="K197" s="107">
        <f t="shared" si="11"/>
        <v>0</v>
      </c>
      <c r="L197" s="107">
        <f t="shared" si="11"/>
        <v>59980</v>
      </c>
      <c r="M197" s="107">
        <f>E197-D197</f>
        <v>1340</v>
      </c>
      <c r="N197" s="115">
        <f>IF(D197=0,0,M197/D197)</f>
        <v>4.6081681499924344E-3</v>
      </c>
      <c r="O197" s="91"/>
      <c r="P197" s="91"/>
      <c r="Q197" s="91"/>
      <c r="R197" s="91"/>
      <c r="S197" s="91"/>
      <c r="T197" s="87"/>
      <c r="U197" s="87"/>
      <c r="V197" s="87"/>
      <c r="W197" s="87"/>
      <c r="X197" s="87"/>
      <c r="Y197" s="87" t="s">
        <v>28</v>
      </c>
      <c r="Z197" s="87"/>
      <c r="AA197" s="87"/>
      <c r="AB197" s="87"/>
      <c r="AC197" s="92"/>
      <c r="AD197" s="92">
        <f>SUM(AD198,AD212,AD217,AD222,AD233)</f>
        <v>292128000</v>
      </c>
      <c r="AE197" s="93" t="s">
        <v>25</v>
      </c>
      <c r="AF197" s="1"/>
    </row>
    <row r="198" spans="1:32" s="11" customFormat="1" ht="21" customHeight="1">
      <c r="A198" s="46"/>
      <c r="B198" s="46"/>
      <c r="C198" s="36" t="s">
        <v>58</v>
      </c>
      <c r="D198" s="153">
        <v>222190</v>
      </c>
      <c r="E198" s="107">
        <f>AD198/1000</f>
        <v>222190</v>
      </c>
      <c r="F198" s="108">
        <f>SUMIF($AB$199:$AB$211,"보조",$AD$199:$AD$211)/1000</f>
        <v>68833</v>
      </c>
      <c r="G198" s="108">
        <f>SUMIF($AB$199:$AB$211,"7종",$AD$199:$AD$211)/1000</f>
        <v>0</v>
      </c>
      <c r="H198" s="108">
        <f>SUMIF($AB$199:$AB$211,"4종",$AD$199:$AD$211)/1000</f>
        <v>15106</v>
      </c>
      <c r="I198" s="108">
        <f>SUMIF($AB$199:$AB$211,"후원",$AD$199:$AD$211)/1000</f>
        <v>0</v>
      </c>
      <c r="J198" s="108">
        <f>SUMIF($AB$199:$AB$211,"입소",$AD$199:$AD$211)/1000</f>
        <v>78271</v>
      </c>
      <c r="K198" s="108">
        <f>SUMIF($AB$199:$AB$211,"법인",$AD$199:$AD$211)/1000</f>
        <v>0</v>
      </c>
      <c r="L198" s="108">
        <f>SUMIF($AB$199:$AB$211,"잡수",$AD$199:$AD$211)/1000</f>
        <v>59980</v>
      </c>
      <c r="M198" s="107">
        <f>E198-D198</f>
        <v>0</v>
      </c>
      <c r="N198" s="115">
        <f>IF(D198=0,0,M198/D198)</f>
        <v>0</v>
      </c>
      <c r="O198" s="95" t="s">
        <v>83</v>
      </c>
      <c r="P198" s="180"/>
      <c r="Q198" s="180"/>
      <c r="R198" s="180"/>
      <c r="S198" s="180"/>
      <c r="T198" s="179"/>
      <c r="U198" s="179"/>
      <c r="V198" s="179"/>
      <c r="W198" s="179"/>
      <c r="X198" s="179"/>
      <c r="Y198" s="169" t="s">
        <v>137</v>
      </c>
      <c r="Z198" s="169"/>
      <c r="AA198" s="169"/>
      <c r="AB198" s="169"/>
      <c r="AC198" s="171"/>
      <c r="AD198" s="171">
        <f>SUM(AD199:AD211)</f>
        <v>222190000</v>
      </c>
      <c r="AE198" s="170" t="s">
        <v>25</v>
      </c>
      <c r="AF198" s="1"/>
    </row>
    <row r="199" spans="1:32" s="11" customFormat="1" ht="21" customHeight="1">
      <c r="A199" s="46"/>
      <c r="B199" s="46"/>
      <c r="C199" s="46"/>
      <c r="D199" s="104"/>
      <c r="E199" s="103"/>
      <c r="F199" s="103"/>
      <c r="G199" s="103"/>
      <c r="H199" s="103"/>
      <c r="I199" s="103"/>
      <c r="J199" s="103"/>
      <c r="K199" s="103"/>
      <c r="L199" s="103"/>
      <c r="M199" s="103"/>
      <c r="N199" s="68"/>
      <c r="O199" s="377" t="s">
        <v>272</v>
      </c>
      <c r="P199" s="377"/>
      <c r="Q199" s="376"/>
      <c r="R199" s="376"/>
      <c r="S199" s="376">
        <v>230000</v>
      </c>
      <c r="T199" s="376" t="s">
        <v>258</v>
      </c>
      <c r="U199" s="297" t="s">
        <v>260</v>
      </c>
      <c r="V199" s="376">
        <v>12</v>
      </c>
      <c r="W199" s="376" t="s">
        <v>262</v>
      </c>
      <c r="X199" s="297" t="s">
        <v>260</v>
      </c>
      <c r="Y199" s="376">
        <v>24</v>
      </c>
      <c r="Z199" s="376" t="s">
        <v>261</v>
      </c>
      <c r="AA199" s="291" t="s">
        <v>263</v>
      </c>
      <c r="AB199" s="376" t="s">
        <v>266</v>
      </c>
      <c r="AC199" s="130"/>
      <c r="AD199" s="130">
        <f>ROUNDUP(S199*V199*Y199,-3)</f>
        <v>66240000</v>
      </c>
      <c r="AE199" s="131" t="s">
        <v>25</v>
      </c>
      <c r="AF199" s="2"/>
    </row>
    <row r="200" spans="1:32" s="11" customFormat="1" ht="21" customHeight="1">
      <c r="A200" s="46"/>
      <c r="B200" s="46"/>
      <c r="C200" s="46"/>
      <c r="D200" s="104"/>
      <c r="E200" s="103"/>
      <c r="F200" s="103"/>
      <c r="G200" s="103"/>
      <c r="H200" s="103"/>
      <c r="I200" s="103"/>
      <c r="J200" s="103"/>
      <c r="K200" s="103"/>
      <c r="L200" s="103"/>
      <c r="M200" s="103"/>
      <c r="N200" s="68"/>
      <c r="O200" s="593"/>
      <c r="P200" s="593"/>
      <c r="Q200" s="592"/>
      <c r="R200" s="592"/>
      <c r="S200" s="592"/>
      <c r="T200" s="592" t="s">
        <v>56</v>
      </c>
      <c r="U200" s="297" t="s">
        <v>57</v>
      </c>
      <c r="V200" s="592">
        <v>1</v>
      </c>
      <c r="W200" s="592" t="s">
        <v>0</v>
      </c>
      <c r="X200" s="297" t="s">
        <v>57</v>
      </c>
      <c r="Y200" s="592">
        <v>24</v>
      </c>
      <c r="Z200" s="592" t="s">
        <v>55</v>
      </c>
      <c r="AA200" s="597" t="s">
        <v>53</v>
      </c>
      <c r="AB200" s="592" t="s">
        <v>76</v>
      </c>
      <c r="AC200" s="598"/>
      <c r="AD200" s="598">
        <f>ROUND(S200*V200*Y200,-3)</f>
        <v>0</v>
      </c>
      <c r="AE200" s="131" t="s">
        <v>25</v>
      </c>
      <c r="AF200" s="2"/>
    </row>
    <row r="201" spans="1:32" s="11" customFormat="1" ht="21" customHeight="1">
      <c r="A201" s="46"/>
      <c r="B201" s="46"/>
      <c r="C201" s="46"/>
      <c r="D201" s="104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576" t="s">
        <v>632</v>
      </c>
      <c r="P201" s="576"/>
      <c r="Q201" s="576"/>
      <c r="R201" s="576"/>
      <c r="S201" s="575">
        <v>230000</v>
      </c>
      <c r="T201" s="575" t="s">
        <v>621</v>
      </c>
      <c r="U201" s="297" t="s">
        <v>626</v>
      </c>
      <c r="V201" s="575">
        <v>12</v>
      </c>
      <c r="W201" s="575" t="s">
        <v>633</v>
      </c>
      <c r="X201" s="297" t="s">
        <v>626</v>
      </c>
      <c r="Y201" s="575">
        <v>28</v>
      </c>
      <c r="Z201" s="575" t="s">
        <v>627</v>
      </c>
      <c r="AA201" s="560" t="s">
        <v>629</v>
      </c>
      <c r="AB201" s="575" t="s">
        <v>631</v>
      </c>
      <c r="AC201" s="130"/>
      <c r="AD201" s="130">
        <f>ROUNDUP(S201*V201*Y201,-3)</f>
        <v>77280000</v>
      </c>
      <c r="AE201" s="131" t="s">
        <v>25</v>
      </c>
      <c r="AF201" s="2"/>
    </row>
    <row r="202" spans="1:32" s="11" customFormat="1" ht="21" customHeight="1">
      <c r="A202" s="46"/>
      <c r="B202" s="46"/>
      <c r="C202" s="46"/>
      <c r="D202" s="104"/>
      <c r="E202" s="103"/>
      <c r="F202" s="103"/>
      <c r="G202" s="103"/>
      <c r="H202" s="103"/>
      <c r="I202" s="103"/>
      <c r="J202" s="103"/>
      <c r="K202" s="103"/>
      <c r="L202" s="103"/>
      <c r="M202" s="103"/>
      <c r="N202" s="68"/>
      <c r="O202" s="377" t="s">
        <v>273</v>
      </c>
      <c r="P202" s="377"/>
      <c r="Q202" s="376"/>
      <c r="R202" s="376"/>
      <c r="S202" s="376">
        <v>500</v>
      </c>
      <c r="T202" s="376" t="s">
        <v>248</v>
      </c>
      <c r="U202" s="297" t="s">
        <v>249</v>
      </c>
      <c r="V202" s="376">
        <v>365</v>
      </c>
      <c r="W202" s="376" t="s">
        <v>274</v>
      </c>
      <c r="X202" s="297" t="s">
        <v>249</v>
      </c>
      <c r="Y202" s="376">
        <v>52</v>
      </c>
      <c r="Z202" s="376" t="s">
        <v>250</v>
      </c>
      <c r="AA202" s="291" t="s">
        <v>251</v>
      </c>
      <c r="AB202" s="546" t="s">
        <v>570</v>
      </c>
      <c r="AC202" s="130"/>
      <c r="AD202" s="130">
        <f>ROUND(S202*V202*Y202,-3)</f>
        <v>9490000</v>
      </c>
      <c r="AE202" s="131" t="s">
        <v>25</v>
      </c>
      <c r="AF202" s="2"/>
    </row>
    <row r="203" spans="1:32" s="11" customFormat="1" ht="21" customHeight="1">
      <c r="A203" s="46"/>
      <c r="B203" s="46"/>
      <c r="C203" s="46"/>
      <c r="D203" s="104"/>
      <c r="E203" s="103"/>
      <c r="F203" s="103"/>
      <c r="G203" s="103"/>
      <c r="H203" s="103"/>
      <c r="I203" s="103"/>
      <c r="J203" s="103"/>
      <c r="K203" s="103"/>
      <c r="L203" s="103"/>
      <c r="M203" s="103"/>
      <c r="N203" s="68"/>
      <c r="O203" s="377" t="s">
        <v>275</v>
      </c>
      <c r="P203" s="377"/>
      <c r="Q203" s="376"/>
      <c r="R203" s="376"/>
      <c r="S203" s="376">
        <v>5000</v>
      </c>
      <c r="T203" s="376" t="s">
        <v>248</v>
      </c>
      <c r="U203" s="297" t="s">
        <v>249</v>
      </c>
      <c r="V203" s="376">
        <v>12</v>
      </c>
      <c r="W203" s="376" t="s">
        <v>29</v>
      </c>
      <c r="X203" s="297" t="s">
        <v>249</v>
      </c>
      <c r="Y203" s="376">
        <v>52</v>
      </c>
      <c r="Z203" s="376" t="s">
        <v>250</v>
      </c>
      <c r="AA203" s="291" t="s">
        <v>251</v>
      </c>
      <c r="AB203" s="546" t="s">
        <v>202</v>
      </c>
      <c r="AC203" s="130"/>
      <c r="AD203" s="130">
        <f>S203*V203*Y203</f>
        <v>3120000</v>
      </c>
      <c r="AE203" s="131" t="s">
        <v>25</v>
      </c>
      <c r="AF203" s="2"/>
    </row>
    <row r="204" spans="1:32" s="11" customFormat="1" ht="21" customHeight="1">
      <c r="A204" s="46"/>
      <c r="B204" s="46"/>
      <c r="C204" s="46"/>
      <c r="D204" s="104"/>
      <c r="E204" s="103"/>
      <c r="F204" s="103"/>
      <c r="G204" s="103"/>
      <c r="H204" s="103"/>
      <c r="I204" s="103"/>
      <c r="J204" s="103"/>
      <c r="K204" s="103"/>
      <c r="L204" s="103"/>
      <c r="M204" s="103"/>
      <c r="N204" s="68"/>
      <c r="O204" s="377" t="s">
        <v>276</v>
      </c>
      <c r="P204" s="377"/>
      <c r="Q204" s="376"/>
      <c r="R204" s="376"/>
      <c r="S204" s="376">
        <v>12000</v>
      </c>
      <c r="T204" s="376" t="s">
        <v>248</v>
      </c>
      <c r="U204" s="297" t="s">
        <v>249</v>
      </c>
      <c r="V204" s="376">
        <v>4</v>
      </c>
      <c r="W204" s="376" t="s">
        <v>253</v>
      </c>
      <c r="X204" s="297" t="s">
        <v>249</v>
      </c>
      <c r="Y204" s="376">
        <v>52</v>
      </c>
      <c r="Z204" s="376" t="s">
        <v>250</v>
      </c>
      <c r="AA204" s="291" t="s">
        <v>251</v>
      </c>
      <c r="AB204" s="546" t="s">
        <v>202</v>
      </c>
      <c r="AC204" s="130"/>
      <c r="AD204" s="130">
        <f>S204*V204*Y204</f>
        <v>2496000</v>
      </c>
      <c r="AE204" s="131" t="s">
        <v>25</v>
      </c>
      <c r="AF204" s="2"/>
    </row>
    <row r="205" spans="1:32" s="11" customFormat="1" ht="21" customHeight="1">
      <c r="A205" s="46"/>
      <c r="B205" s="46"/>
      <c r="C205" s="46"/>
      <c r="D205" s="104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377" t="s">
        <v>277</v>
      </c>
      <c r="P205" s="377"/>
      <c r="Q205" s="376"/>
      <c r="R205" s="376"/>
      <c r="S205" s="376">
        <v>36300</v>
      </c>
      <c r="T205" s="376" t="s">
        <v>248</v>
      </c>
      <c r="U205" s="297" t="s">
        <v>249</v>
      </c>
      <c r="V205" s="376">
        <v>2</v>
      </c>
      <c r="W205" s="376" t="s">
        <v>253</v>
      </c>
      <c r="X205" s="297" t="s">
        <v>249</v>
      </c>
      <c r="Y205" s="376">
        <v>24</v>
      </c>
      <c r="Z205" s="376" t="s">
        <v>250</v>
      </c>
      <c r="AA205" s="291" t="s">
        <v>251</v>
      </c>
      <c r="AB205" s="376" t="s">
        <v>255</v>
      </c>
      <c r="AC205" s="130"/>
      <c r="AD205" s="130">
        <f>ROUNDUP(S205*V205*Y205,-3)</f>
        <v>1743000</v>
      </c>
      <c r="AE205" s="131" t="s">
        <v>25</v>
      </c>
      <c r="AF205" s="2"/>
    </row>
    <row r="206" spans="1:32" s="11" customFormat="1" ht="21" customHeight="1">
      <c r="A206" s="46"/>
      <c r="B206" s="46"/>
      <c r="C206" s="46"/>
      <c r="D206" s="151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377" t="s">
        <v>278</v>
      </c>
      <c r="P206" s="377"/>
      <c r="Q206" s="376"/>
      <c r="R206" s="376"/>
      <c r="S206" s="376">
        <v>35394</v>
      </c>
      <c r="T206" s="376" t="s">
        <v>248</v>
      </c>
      <c r="U206" s="297" t="s">
        <v>249</v>
      </c>
      <c r="V206" s="376">
        <v>1</v>
      </c>
      <c r="W206" s="376" t="s">
        <v>253</v>
      </c>
      <c r="X206" s="297" t="s">
        <v>249</v>
      </c>
      <c r="Y206" s="376">
        <v>24</v>
      </c>
      <c r="Z206" s="376" t="s">
        <v>250</v>
      </c>
      <c r="AA206" s="291" t="s">
        <v>251</v>
      </c>
      <c r="AB206" s="376" t="s">
        <v>255</v>
      </c>
      <c r="AC206" s="130"/>
      <c r="AD206" s="130">
        <f>ROUNDUP(S206*V206*Y206,-3)</f>
        <v>850000</v>
      </c>
      <c r="AE206" s="131" t="s">
        <v>25</v>
      </c>
      <c r="AF206" s="2"/>
    </row>
    <row r="207" spans="1:32" s="11" customFormat="1" ht="21" customHeight="1">
      <c r="A207" s="46"/>
      <c r="B207" s="46"/>
      <c r="C207" s="46"/>
      <c r="D207" s="151"/>
      <c r="E207" s="103"/>
      <c r="F207" s="103"/>
      <c r="G207" s="103"/>
      <c r="H207" s="103"/>
      <c r="I207" s="103"/>
      <c r="J207" s="103"/>
      <c r="K207" s="103"/>
      <c r="L207" s="103"/>
      <c r="M207" s="103"/>
      <c r="N207" s="68"/>
      <c r="O207" s="576" t="s">
        <v>634</v>
      </c>
      <c r="P207" s="576"/>
      <c r="Q207" s="575"/>
      <c r="R207" s="575"/>
      <c r="S207" s="575">
        <v>35394</v>
      </c>
      <c r="T207" s="575" t="s">
        <v>621</v>
      </c>
      <c r="U207" s="297" t="s">
        <v>626</v>
      </c>
      <c r="V207" s="575">
        <v>1</v>
      </c>
      <c r="W207" s="575" t="s">
        <v>622</v>
      </c>
      <c r="X207" s="297" t="s">
        <v>626</v>
      </c>
      <c r="Y207" s="575">
        <v>28</v>
      </c>
      <c r="Z207" s="575" t="s">
        <v>627</v>
      </c>
      <c r="AA207" s="560" t="s">
        <v>629</v>
      </c>
      <c r="AB207" s="575" t="s">
        <v>631</v>
      </c>
      <c r="AC207" s="130"/>
      <c r="AD207" s="130">
        <f>ROUND(S207*V207*Y207,-3)</f>
        <v>991000</v>
      </c>
      <c r="AE207" s="131" t="s">
        <v>733</v>
      </c>
      <c r="AF207" s="2"/>
    </row>
    <row r="208" spans="1:32" s="11" customFormat="1" ht="21" customHeight="1">
      <c r="A208" s="46"/>
      <c r="B208" s="46"/>
      <c r="C208" s="46"/>
      <c r="D208" s="151"/>
      <c r="E208" s="103"/>
      <c r="F208" s="103"/>
      <c r="G208" s="103"/>
      <c r="H208" s="103"/>
      <c r="I208" s="103"/>
      <c r="J208" s="103"/>
      <c r="K208" s="103"/>
      <c r="L208" s="103"/>
      <c r="M208" s="103"/>
      <c r="N208" s="68"/>
      <c r="O208" s="285" t="s">
        <v>775</v>
      </c>
      <c r="P208" s="575"/>
      <c r="Q208" s="575"/>
      <c r="R208" s="575"/>
      <c r="S208" s="575">
        <v>60000</v>
      </c>
      <c r="T208" s="575" t="s">
        <v>621</v>
      </c>
      <c r="U208" s="297" t="s">
        <v>626</v>
      </c>
      <c r="V208" s="575">
        <v>39</v>
      </c>
      <c r="W208" s="576" t="s">
        <v>627</v>
      </c>
      <c r="X208" s="297" t="s">
        <v>626</v>
      </c>
      <c r="Y208" s="575">
        <v>12</v>
      </c>
      <c r="Z208" s="575" t="s">
        <v>633</v>
      </c>
      <c r="AA208" s="560" t="s">
        <v>629</v>
      </c>
      <c r="AB208" s="560" t="s">
        <v>635</v>
      </c>
      <c r="AC208" s="576"/>
      <c r="AD208" s="575">
        <f>ROUND(S208*V208*Y208,-3)</f>
        <v>28080000</v>
      </c>
      <c r="AE208" s="131" t="s">
        <v>733</v>
      </c>
      <c r="AF208" s="2"/>
    </row>
    <row r="209" spans="1:32" s="11" customFormat="1" ht="21" customHeight="1">
      <c r="A209" s="46"/>
      <c r="B209" s="46"/>
      <c r="C209" s="46"/>
      <c r="D209" s="151"/>
      <c r="E209" s="103"/>
      <c r="F209" s="103"/>
      <c r="G209" s="103"/>
      <c r="H209" s="103"/>
      <c r="I209" s="103"/>
      <c r="J209" s="103"/>
      <c r="K209" s="103"/>
      <c r="L209" s="103"/>
      <c r="M209" s="103"/>
      <c r="N209" s="68"/>
      <c r="O209" s="576" t="s">
        <v>636</v>
      </c>
      <c r="P209" s="576"/>
      <c r="Q209" s="576"/>
      <c r="R209" s="576"/>
      <c r="S209" s="575">
        <v>60000</v>
      </c>
      <c r="T209" s="297" t="s">
        <v>621</v>
      </c>
      <c r="U209" s="297" t="s">
        <v>26</v>
      </c>
      <c r="V209" s="575">
        <v>31</v>
      </c>
      <c r="W209" s="575" t="s">
        <v>627</v>
      </c>
      <c r="X209" s="297" t="s">
        <v>26</v>
      </c>
      <c r="Y209" s="575">
        <v>12</v>
      </c>
      <c r="Z209" s="575" t="s">
        <v>633</v>
      </c>
      <c r="AA209" s="560" t="s">
        <v>27</v>
      </c>
      <c r="AB209" s="575" t="s">
        <v>635</v>
      </c>
      <c r="AC209" s="575"/>
      <c r="AD209" s="575">
        <f>S209*V209*Y209</f>
        <v>22320000</v>
      </c>
      <c r="AE209" s="404" t="s">
        <v>733</v>
      </c>
      <c r="AF209" s="2"/>
    </row>
    <row r="210" spans="1:32" s="11" customFormat="1" ht="21" customHeight="1">
      <c r="A210" s="46"/>
      <c r="B210" s="46"/>
      <c r="C210" s="46"/>
      <c r="D210" s="151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593" t="s">
        <v>732</v>
      </c>
      <c r="P210" s="576"/>
      <c r="Q210" s="576"/>
      <c r="R210" s="576"/>
      <c r="S210" s="575"/>
      <c r="T210" s="297" t="s">
        <v>621</v>
      </c>
      <c r="U210" s="297" t="s">
        <v>26</v>
      </c>
      <c r="V210" s="575"/>
      <c r="W210" s="575" t="s">
        <v>627</v>
      </c>
      <c r="X210" s="297" t="s">
        <v>26</v>
      </c>
      <c r="Y210" s="575"/>
      <c r="Z210" s="575" t="s">
        <v>633</v>
      </c>
      <c r="AA210" s="560" t="s">
        <v>27</v>
      </c>
      <c r="AB210" s="575" t="s">
        <v>635</v>
      </c>
      <c r="AC210" s="575"/>
      <c r="AD210" s="575">
        <v>9580000</v>
      </c>
      <c r="AE210" s="404" t="s">
        <v>733</v>
      </c>
      <c r="AF210" s="2"/>
    </row>
    <row r="211" spans="1:32" s="11" customFormat="1" ht="21" customHeight="1">
      <c r="A211" s="46"/>
      <c r="B211" s="46"/>
      <c r="C211" s="59"/>
      <c r="D211" s="152"/>
      <c r="E211" s="105"/>
      <c r="F211" s="105"/>
      <c r="G211" s="105"/>
      <c r="H211" s="105"/>
      <c r="I211" s="105"/>
      <c r="J211" s="105"/>
      <c r="K211" s="105"/>
      <c r="L211" s="105"/>
      <c r="M211" s="105"/>
      <c r="N211" s="82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26"/>
      <c r="AE211" s="118"/>
      <c r="AF211" s="2"/>
    </row>
    <row r="212" spans="1:32" s="11" customFormat="1" ht="21" customHeight="1">
      <c r="A212" s="46"/>
      <c r="B212" s="46"/>
      <c r="C212" s="46" t="s">
        <v>84</v>
      </c>
      <c r="D212" s="151">
        <v>7433</v>
      </c>
      <c r="E212" s="103">
        <f>ROUND(AD212/1000,0)</f>
        <v>8773</v>
      </c>
      <c r="F212" s="108">
        <f>SUMIF($AB$213:$AB$216,"보조",$AD$213:$AD$216)/1000</f>
        <v>4796</v>
      </c>
      <c r="G212" s="108">
        <f>SUMIF($AB$213:$AB$216,"7종",$AD$213:$AD$216)/1000</f>
        <v>0</v>
      </c>
      <c r="H212" s="108">
        <f>SUMIF($AB$213:$AB$216,"4종",$AD$213:$AD$216)/1000</f>
        <v>0</v>
      </c>
      <c r="I212" s="108">
        <f>SUMIF($AB$213:$AB$216,"후원",$AD$213:$AD$216)/1000</f>
        <v>3977</v>
      </c>
      <c r="J212" s="108">
        <f>SUMIF($AB$213:$AB$216,"입소",$AD$213:$AD$216)/1000</f>
        <v>0</v>
      </c>
      <c r="K212" s="108">
        <f>SUMIF($AB$213:$AB$216,"법인",$AD$213:$AD$216)/1000</f>
        <v>0</v>
      </c>
      <c r="L212" s="108">
        <f>SUMIF($AB$213:$AB$216,"잡수",$AD$213:$AD$216)/1000</f>
        <v>0</v>
      </c>
      <c r="M212" s="103">
        <f>E212-D212</f>
        <v>1340</v>
      </c>
      <c r="N212" s="68">
        <f>IF(D212=0,0,M212/D212)</f>
        <v>0.18027714247275661</v>
      </c>
      <c r="O212" s="95" t="s">
        <v>85</v>
      </c>
      <c r="P212" s="91"/>
      <c r="Q212" s="91"/>
      <c r="R212" s="91"/>
      <c r="S212" s="91"/>
      <c r="T212" s="87"/>
      <c r="U212" s="87"/>
      <c r="V212" s="87"/>
      <c r="W212" s="87"/>
      <c r="X212" s="87"/>
      <c r="Y212" s="169" t="s">
        <v>137</v>
      </c>
      <c r="Z212" s="169"/>
      <c r="AA212" s="169"/>
      <c r="AB212" s="169"/>
      <c r="AC212" s="171"/>
      <c r="AD212" s="171">
        <f>SUM(AD213:AD216)</f>
        <v>8773000</v>
      </c>
      <c r="AE212" s="170" t="s">
        <v>25</v>
      </c>
      <c r="AF212" s="1"/>
    </row>
    <row r="213" spans="1:32" s="11" customFormat="1" ht="21" customHeight="1">
      <c r="A213" s="46"/>
      <c r="B213" s="46"/>
      <c r="C213" s="46" t="s">
        <v>146</v>
      </c>
      <c r="D213" s="151"/>
      <c r="E213" s="103"/>
      <c r="F213" s="103"/>
      <c r="G213" s="103"/>
      <c r="H213" s="103"/>
      <c r="I213" s="103"/>
      <c r="J213" s="103"/>
      <c r="K213" s="103"/>
      <c r="L213" s="103"/>
      <c r="M213" s="103"/>
      <c r="N213" s="68"/>
      <c r="O213" s="377" t="s">
        <v>279</v>
      </c>
      <c r="P213" s="377"/>
      <c r="Q213" s="377"/>
      <c r="R213" s="377"/>
      <c r="S213" s="376"/>
      <c r="T213" s="297"/>
      <c r="U213" s="297"/>
      <c r="V213" s="376"/>
      <c r="W213" s="376"/>
      <c r="X213" s="376"/>
      <c r="Y213" s="376"/>
      <c r="Z213" s="376"/>
      <c r="AA213" s="376"/>
      <c r="AB213" s="376" t="s">
        <v>255</v>
      </c>
      <c r="AC213" s="376"/>
      <c r="AD213" s="376">
        <v>4796000</v>
      </c>
      <c r="AE213" s="131" t="s">
        <v>248</v>
      </c>
      <c r="AF213" s="2"/>
    </row>
    <row r="214" spans="1:32" s="11" customFormat="1" ht="21" customHeight="1">
      <c r="A214" s="46"/>
      <c r="B214" s="46"/>
      <c r="C214" s="46"/>
      <c r="D214" s="151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377"/>
      <c r="P214" s="377"/>
      <c r="Q214" s="377"/>
      <c r="R214" s="377"/>
      <c r="S214" s="376"/>
      <c r="T214" s="297"/>
      <c r="U214" s="297"/>
      <c r="V214" s="376"/>
      <c r="W214" s="376"/>
      <c r="X214" s="376"/>
      <c r="Y214" s="376"/>
      <c r="Z214" s="376"/>
      <c r="AA214" s="376"/>
      <c r="AB214" s="378" t="s">
        <v>891</v>
      </c>
      <c r="AC214" s="378"/>
      <c r="AD214" s="378">
        <v>3240000</v>
      </c>
      <c r="AE214" s="619" t="s">
        <v>889</v>
      </c>
      <c r="AF214" s="2"/>
    </row>
    <row r="215" spans="1:32" s="11" customFormat="1" ht="21" customHeight="1">
      <c r="A215" s="46"/>
      <c r="B215" s="46"/>
      <c r="C215" s="46"/>
      <c r="D215" s="151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531" t="s">
        <v>546</v>
      </c>
      <c r="P215" s="377"/>
      <c r="Q215" s="377"/>
      <c r="R215" s="377"/>
      <c r="S215" s="376"/>
      <c r="T215" s="297"/>
      <c r="U215" s="297"/>
      <c r="V215" s="376"/>
      <c r="W215" s="376"/>
      <c r="X215" s="376"/>
      <c r="Y215" s="376"/>
      <c r="Z215" s="376"/>
      <c r="AA215" s="376"/>
      <c r="AB215" s="589" t="s">
        <v>671</v>
      </c>
      <c r="AC215" s="589"/>
      <c r="AD215" s="589">
        <v>737000</v>
      </c>
      <c r="AE215" s="131" t="s">
        <v>650</v>
      </c>
      <c r="AF215" s="2"/>
    </row>
    <row r="216" spans="1:32" s="11" customFormat="1" ht="21" customHeight="1">
      <c r="A216" s="46"/>
      <c r="B216" s="46"/>
      <c r="C216" s="46"/>
      <c r="D216" s="151"/>
      <c r="E216" s="103"/>
      <c r="F216" s="103"/>
      <c r="G216" s="103"/>
      <c r="H216" s="103"/>
      <c r="I216" s="103"/>
      <c r="J216" s="103"/>
      <c r="K216" s="103"/>
      <c r="L216" s="103"/>
      <c r="M216" s="103"/>
      <c r="N216" s="68"/>
      <c r="O216" s="281"/>
      <c r="P216" s="281"/>
      <c r="Q216" s="281"/>
      <c r="R216" s="281"/>
      <c r="S216" s="299"/>
      <c r="T216" s="300"/>
      <c r="U216" s="284"/>
      <c r="V216" s="301"/>
      <c r="W216" s="299"/>
      <c r="X216" s="299"/>
      <c r="Y216" s="299"/>
      <c r="Z216" s="299"/>
      <c r="AA216" s="299"/>
      <c r="AB216" s="299"/>
      <c r="AC216" s="299"/>
      <c r="AD216" s="299"/>
      <c r="AE216" s="302"/>
      <c r="AF216" s="1"/>
    </row>
    <row r="217" spans="1:32" s="11" customFormat="1" ht="21" customHeight="1">
      <c r="A217" s="46"/>
      <c r="B217" s="46"/>
      <c r="C217" s="36" t="s">
        <v>79</v>
      </c>
      <c r="D217" s="153">
        <v>16640</v>
      </c>
      <c r="E217" s="107">
        <f>ROUND(AD217/1000,0)</f>
        <v>16640</v>
      </c>
      <c r="F217" s="108">
        <f>SUMIF($AB$218:$AB$221,"보조",$AD$218:$AD$221)/1000</f>
        <v>5760</v>
      </c>
      <c r="G217" s="108">
        <f>SUMIF($AB$218:$AB$221,"7종",$AD$218:$AD$221)/1000</f>
        <v>0</v>
      </c>
      <c r="H217" s="108">
        <f>SUMIF($AB$218:$AB$221,"4종",$AD$218:$AD$221)/1000</f>
        <v>4160</v>
      </c>
      <c r="I217" s="108">
        <f>SUMIF($AB$218:$AB$221,"후원",$AD$218:$AD$221)/1000</f>
        <v>0</v>
      </c>
      <c r="J217" s="108">
        <f>SUMIF($AB$218:$AB$221,"입소",$AD$218:$AD$221)/1000</f>
        <v>6720</v>
      </c>
      <c r="K217" s="108">
        <f>SUMIF($AB$218:$AB$221,"법인",$AD$218:$AD$221)/1000</f>
        <v>0</v>
      </c>
      <c r="L217" s="108">
        <f>SUMIF($AB$218:$AB$221,"잡수",$AD$218:$AD$221)/1000</f>
        <v>0</v>
      </c>
      <c r="M217" s="107">
        <f>E217-D217</f>
        <v>0</v>
      </c>
      <c r="N217" s="115">
        <f>IF(D217=0,0,M217/D217)</f>
        <v>0</v>
      </c>
      <c r="O217" s="95" t="s">
        <v>131</v>
      </c>
      <c r="P217" s="168"/>
      <c r="Q217" s="91"/>
      <c r="R217" s="91"/>
      <c r="S217" s="91"/>
      <c r="T217" s="87"/>
      <c r="U217" s="87"/>
      <c r="V217" s="87"/>
      <c r="W217" s="179"/>
      <c r="X217" s="179"/>
      <c r="Y217" s="169" t="s">
        <v>137</v>
      </c>
      <c r="Z217" s="169"/>
      <c r="AA217" s="169"/>
      <c r="AB217" s="169"/>
      <c r="AC217" s="171"/>
      <c r="AD217" s="171">
        <f>SUM(AD218:AD221)</f>
        <v>16640000</v>
      </c>
      <c r="AE217" s="170" t="s">
        <v>25</v>
      </c>
      <c r="AF217" s="1"/>
    </row>
    <row r="218" spans="1:32" s="11" customFormat="1" ht="21" customHeight="1">
      <c r="A218" s="46"/>
      <c r="B218" s="46"/>
      <c r="C218" s="46"/>
      <c r="D218" s="104"/>
      <c r="E218" s="103"/>
      <c r="F218" s="103"/>
      <c r="G218" s="103"/>
      <c r="H218" s="103"/>
      <c r="I218" s="103"/>
      <c r="J218" s="103"/>
      <c r="K218" s="103"/>
      <c r="L218" s="103"/>
      <c r="M218" s="103"/>
      <c r="N218" s="68"/>
      <c r="O218" s="576" t="s">
        <v>625</v>
      </c>
      <c r="P218" s="576"/>
      <c r="Q218" s="575"/>
      <c r="R218" s="575"/>
      <c r="S218" s="575">
        <v>240000</v>
      </c>
      <c r="T218" s="575" t="s">
        <v>621</v>
      </c>
      <c r="U218" s="576" t="s">
        <v>626</v>
      </c>
      <c r="V218" s="575">
        <v>24</v>
      </c>
      <c r="W218" s="575" t="s">
        <v>627</v>
      </c>
      <c r="X218" s="576"/>
      <c r="Y218" s="575" t="s">
        <v>628</v>
      </c>
      <c r="Z218" s="575"/>
      <c r="AA218" s="575" t="s">
        <v>629</v>
      </c>
      <c r="AB218" s="575" t="s">
        <v>630</v>
      </c>
      <c r="AC218" s="130"/>
      <c r="AD218" s="130">
        <f>S218*V218</f>
        <v>5760000</v>
      </c>
      <c r="AE218" s="131" t="s">
        <v>25</v>
      </c>
      <c r="AF218" s="1"/>
    </row>
    <row r="219" spans="1:32" s="11" customFormat="1" ht="21" customHeight="1">
      <c r="A219" s="46"/>
      <c r="B219" s="46"/>
      <c r="C219" s="46"/>
      <c r="D219" s="104"/>
      <c r="E219" s="103"/>
      <c r="F219" s="103"/>
      <c r="G219" s="103"/>
      <c r="H219" s="103"/>
      <c r="I219" s="103"/>
      <c r="J219" s="103"/>
      <c r="K219" s="103"/>
      <c r="L219" s="103"/>
      <c r="M219" s="103"/>
      <c r="N219" s="68"/>
      <c r="O219" s="576"/>
      <c r="P219" s="576"/>
      <c r="Q219" s="575"/>
      <c r="R219" s="575"/>
      <c r="S219" s="575">
        <v>240000</v>
      </c>
      <c r="T219" s="575" t="s">
        <v>621</v>
      </c>
      <c r="U219" s="576" t="s">
        <v>626</v>
      </c>
      <c r="V219" s="575">
        <v>28</v>
      </c>
      <c r="W219" s="575" t="s">
        <v>627</v>
      </c>
      <c r="X219" s="576"/>
      <c r="Y219" s="575"/>
      <c r="Z219" s="575"/>
      <c r="AA219" s="575" t="s">
        <v>629</v>
      </c>
      <c r="AB219" s="575" t="s">
        <v>631</v>
      </c>
      <c r="AC219" s="130"/>
      <c r="AD219" s="130">
        <f>S219*V219</f>
        <v>6720000</v>
      </c>
      <c r="AE219" s="131" t="s">
        <v>25</v>
      </c>
      <c r="AF219" s="1"/>
    </row>
    <row r="220" spans="1:32" s="11" customFormat="1" ht="21" customHeight="1">
      <c r="A220" s="46"/>
      <c r="B220" s="46"/>
      <c r="C220" s="46"/>
      <c r="D220" s="104"/>
      <c r="E220" s="103"/>
      <c r="F220" s="103"/>
      <c r="G220" s="103"/>
      <c r="H220" s="103"/>
      <c r="I220" s="103"/>
      <c r="J220" s="103"/>
      <c r="K220" s="103"/>
      <c r="L220" s="103"/>
      <c r="M220" s="103"/>
      <c r="N220" s="68"/>
      <c r="O220" s="377" t="s">
        <v>280</v>
      </c>
      <c r="P220" s="377"/>
      <c r="Q220" s="376"/>
      <c r="R220" s="376"/>
      <c r="S220" s="376">
        <v>20000</v>
      </c>
      <c r="T220" s="376" t="s">
        <v>258</v>
      </c>
      <c r="U220" s="377" t="s">
        <v>260</v>
      </c>
      <c r="V220" s="376">
        <v>4</v>
      </c>
      <c r="W220" s="376" t="s">
        <v>264</v>
      </c>
      <c r="X220" s="377" t="s">
        <v>260</v>
      </c>
      <c r="Y220" s="376">
        <v>52</v>
      </c>
      <c r="Z220" s="376" t="s">
        <v>261</v>
      </c>
      <c r="AA220" s="376" t="s">
        <v>263</v>
      </c>
      <c r="AB220" s="546" t="s">
        <v>570</v>
      </c>
      <c r="AC220" s="130"/>
      <c r="AD220" s="130">
        <f>ROUND(S220*V220*Y220,-1)</f>
        <v>4160000</v>
      </c>
      <c r="AE220" s="131" t="s">
        <v>25</v>
      </c>
      <c r="AF220" s="1"/>
    </row>
    <row r="221" spans="1:32" s="11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377"/>
      <c r="P221" s="377"/>
      <c r="Q221" s="376"/>
      <c r="R221" s="376"/>
      <c r="S221" s="376"/>
      <c r="T221" s="376"/>
      <c r="U221" s="377"/>
      <c r="V221" s="376"/>
      <c r="W221" s="376"/>
      <c r="X221" s="377"/>
      <c r="Y221" s="376"/>
      <c r="Z221" s="376"/>
      <c r="AA221" s="376"/>
      <c r="AB221" s="376"/>
      <c r="AC221" s="130"/>
      <c r="AD221" s="130"/>
      <c r="AE221" s="131"/>
      <c r="AF221" s="1"/>
    </row>
    <row r="222" spans="1:32" s="11" customFormat="1" ht="21" customHeight="1">
      <c r="A222" s="46"/>
      <c r="B222" s="46"/>
      <c r="C222" s="36" t="s">
        <v>80</v>
      </c>
      <c r="D222" s="153">
        <v>16686</v>
      </c>
      <c r="E222" s="107">
        <f>ROUND(AD222/1000,0)</f>
        <v>16686</v>
      </c>
      <c r="F222" s="108">
        <f>SUMIF($AB$223:$AB$232,"보조",$AD$223:$AD$232)/1000</f>
        <v>400</v>
      </c>
      <c r="G222" s="108">
        <f>SUMIF($AB$223:$AB$232,"7종",$AD$223:$AD$232)/1000</f>
        <v>12600</v>
      </c>
      <c r="H222" s="108">
        <f>SUMIF($AB$223:$AB$232,"4종",$AD$223:$AD$232)/1000</f>
        <v>2080</v>
      </c>
      <c r="I222" s="108">
        <f>SUMIF($AB$223:$AB$232,"후원",$AD$223:$AD$232)/1000</f>
        <v>1606</v>
      </c>
      <c r="J222" s="108">
        <f>SUMIF($AB$223:$AB$232,"입소",$AD$223:$AD$232)/1000</f>
        <v>0</v>
      </c>
      <c r="K222" s="108">
        <f>SUMIF($AB$223:$AB$232,"법인",$AD$223:$AD$232)/1000</f>
        <v>0</v>
      </c>
      <c r="L222" s="108">
        <f>SUMIF($AB$223:$AB$232,"잡수",$AD$223:$AD$232)/1000</f>
        <v>0</v>
      </c>
      <c r="M222" s="107">
        <f>E222-D222</f>
        <v>0</v>
      </c>
      <c r="N222" s="115">
        <f>IF(D222=0,0,M222/D222)</f>
        <v>0</v>
      </c>
      <c r="O222" s="95" t="s">
        <v>132</v>
      </c>
      <c r="P222" s="168"/>
      <c r="Q222" s="173"/>
      <c r="R222" s="173"/>
      <c r="S222" s="173"/>
      <c r="T222" s="172"/>
      <c r="U222" s="172"/>
      <c r="V222" s="172"/>
      <c r="W222" s="179"/>
      <c r="X222" s="179"/>
      <c r="Y222" s="169" t="s">
        <v>137</v>
      </c>
      <c r="Z222" s="169"/>
      <c r="AA222" s="169"/>
      <c r="AB222" s="169"/>
      <c r="AC222" s="171"/>
      <c r="AD222" s="171">
        <f>SUM(AD223:AD231)</f>
        <v>16686000</v>
      </c>
      <c r="AE222" s="170" t="s">
        <v>25</v>
      </c>
      <c r="AF222" s="1"/>
    </row>
    <row r="223" spans="1:32" s="14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377" t="s">
        <v>281</v>
      </c>
      <c r="P223" s="377"/>
      <c r="Q223" s="376"/>
      <c r="R223" s="376"/>
      <c r="S223" s="376">
        <v>40000</v>
      </c>
      <c r="T223" s="376" t="s">
        <v>258</v>
      </c>
      <c r="U223" s="377" t="s">
        <v>260</v>
      </c>
      <c r="V223" s="376">
        <v>1</v>
      </c>
      <c r="W223" s="376" t="s">
        <v>264</v>
      </c>
      <c r="X223" s="377" t="s">
        <v>260</v>
      </c>
      <c r="Y223" s="376">
        <v>52</v>
      </c>
      <c r="Z223" s="376" t="s">
        <v>261</v>
      </c>
      <c r="AA223" s="376" t="s">
        <v>263</v>
      </c>
      <c r="AB223" s="546" t="s">
        <v>570</v>
      </c>
      <c r="AC223" s="130"/>
      <c r="AD223" s="130">
        <f>S223*V223*Y223</f>
        <v>2080000</v>
      </c>
      <c r="AE223" s="131" t="s">
        <v>25</v>
      </c>
      <c r="AF223" s="5"/>
    </row>
    <row r="224" spans="1:32" s="14" customFormat="1" ht="21" customHeight="1">
      <c r="A224" s="46"/>
      <c r="B224" s="46"/>
      <c r="C224" s="46"/>
      <c r="D224" s="151"/>
      <c r="E224" s="103"/>
      <c r="F224" s="103"/>
      <c r="G224" s="103"/>
      <c r="H224" s="103"/>
      <c r="I224" s="103"/>
      <c r="J224" s="103"/>
      <c r="K224" s="103"/>
      <c r="L224" s="103"/>
      <c r="M224" s="103"/>
      <c r="N224" s="278"/>
      <c r="O224" s="285" t="s">
        <v>282</v>
      </c>
      <c r="P224" s="377"/>
      <c r="Q224" s="377"/>
      <c r="R224" s="377"/>
      <c r="S224" s="376">
        <v>70000</v>
      </c>
      <c r="T224" s="376" t="s">
        <v>258</v>
      </c>
      <c r="U224" s="377" t="s">
        <v>260</v>
      </c>
      <c r="V224" s="376">
        <v>1</v>
      </c>
      <c r="W224" s="376" t="s">
        <v>261</v>
      </c>
      <c r="X224" s="377" t="s">
        <v>260</v>
      </c>
      <c r="Y224" s="298">
        <v>180</v>
      </c>
      <c r="Z224" s="291" t="s">
        <v>283</v>
      </c>
      <c r="AA224" s="291" t="s">
        <v>263</v>
      </c>
      <c r="AB224" s="546" t="s">
        <v>571</v>
      </c>
      <c r="AC224" s="130"/>
      <c r="AD224" s="376">
        <f>S224*V224*Y224</f>
        <v>12600000</v>
      </c>
      <c r="AE224" s="131" t="s">
        <v>733</v>
      </c>
      <c r="AF224" s="5"/>
    </row>
    <row r="225" spans="1:32" s="14" customFormat="1" ht="21" customHeight="1">
      <c r="A225" s="46"/>
      <c r="B225" s="46"/>
      <c r="C225" s="46"/>
      <c r="D225" s="151"/>
      <c r="E225" s="103"/>
      <c r="F225" s="103"/>
      <c r="G225" s="103"/>
      <c r="H225" s="103"/>
      <c r="I225" s="103"/>
      <c r="J225" s="103"/>
      <c r="K225" s="103"/>
      <c r="L225" s="103"/>
      <c r="M225" s="103"/>
      <c r="N225" s="68"/>
      <c r="O225" s="377" t="s">
        <v>284</v>
      </c>
      <c r="P225" s="377"/>
      <c r="Q225" s="377"/>
      <c r="R225" s="377"/>
      <c r="S225" s="376">
        <v>0</v>
      </c>
      <c r="T225" s="297" t="s">
        <v>258</v>
      </c>
      <c r="U225" s="297" t="s">
        <v>26</v>
      </c>
      <c r="V225" s="376">
        <v>0</v>
      </c>
      <c r="W225" s="376" t="s">
        <v>262</v>
      </c>
      <c r="X225" s="291"/>
      <c r="Y225" s="405"/>
      <c r="Z225" s="390"/>
      <c r="AA225" s="406" t="s">
        <v>263</v>
      </c>
      <c r="AB225" s="434" t="s">
        <v>304</v>
      </c>
      <c r="AC225" s="376"/>
      <c r="AD225" s="378">
        <f>S225*V225</f>
        <v>0</v>
      </c>
      <c r="AE225" s="619" t="s">
        <v>25</v>
      </c>
      <c r="AF225" s="5"/>
    </row>
    <row r="226" spans="1:32" s="14" customFormat="1" ht="21" customHeight="1">
      <c r="A226" s="46"/>
      <c r="B226" s="46"/>
      <c r="C226" s="46"/>
      <c r="D226" s="151"/>
      <c r="E226" s="103"/>
      <c r="F226" s="103"/>
      <c r="G226" s="103"/>
      <c r="H226" s="103"/>
      <c r="I226" s="103"/>
      <c r="J226" s="103"/>
      <c r="K226" s="103"/>
      <c r="L226" s="103"/>
      <c r="M226" s="103"/>
      <c r="N226" s="68"/>
      <c r="O226" s="377" t="s">
        <v>285</v>
      </c>
      <c r="P226" s="377"/>
      <c r="Q226" s="377"/>
      <c r="R226" s="377"/>
      <c r="S226" s="376">
        <v>40000</v>
      </c>
      <c r="T226" s="297" t="s">
        <v>248</v>
      </c>
      <c r="U226" s="297" t="s">
        <v>26</v>
      </c>
      <c r="V226" s="376">
        <v>10</v>
      </c>
      <c r="W226" s="376" t="s">
        <v>269</v>
      </c>
      <c r="X226" s="291"/>
      <c r="Y226" s="405"/>
      <c r="Z226" s="390"/>
      <c r="AA226" s="406" t="s">
        <v>251</v>
      </c>
      <c r="AB226" s="432" t="s">
        <v>76</v>
      </c>
      <c r="AC226" s="376"/>
      <c r="AD226" s="376">
        <f>S226*V226</f>
        <v>400000</v>
      </c>
      <c r="AE226" s="131" t="s">
        <v>25</v>
      </c>
      <c r="AF226" s="5"/>
    </row>
    <row r="227" spans="1:32" s="14" customFormat="1" ht="21" customHeight="1">
      <c r="A227" s="46"/>
      <c r="B227" s="46"/>
      <c r="C227" s="46"/>
      <c r="D227" s="151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590"/>
      <c r="P227" s="590"/>
      <c r="Q227" s="590"/>
      <c r="R227" s="590"/>
      <c r="S227" s="589">
        <v>0</v>
      </c>
      <c r="T227" s="297" t="s">
        <v>650</v>
      </c>
      <c r="U227" s="297" t="s">
        <v>26</v>
      </c>
      <c r="V227" s="589">
        <v>0</v>
      </c>
      <c r="W227" s="589" t="s">
        <v>659</v>
      </c>
      <c r="X227" s="560"/>
      <c r="Y227" s="405"/>
      <c r="Z227" s="390"/>
      <c r="AA227" s="406" t="s">
        <v>654</v>
      </c>
      <c r="AB227" s="589" t="s">
        <v>671</v>
      </c>
      <c r="AC227" s="589"/>
      <c r="AD227" s="657">
        <v>1280000</v>
      </c>
      <c r="AE227" s="131" t="s">
        <v>25</v>
      </c>
      <c r="AF227" s="665"/>
    </row>
    <row r="228" spans="1:32" s="14" customFormat="1" ht="21" customHeight="1">
      <c r="A228" s="46"/>
      <c r="B228" s="46"/>
      <c r="C228" s="46"/>
      <c r="D228" s="151"/>
      <c r="E228" s="103"/>
      <c r="F228" s="103"/>
      <c r="G228" s="103"/>
      <c r="H228" s="103"/>
      <c r="I228" s="103"/>
      <c r="J228" s="103"/>
      <c r="K228" s="103"/>
      <c r="L228" s="103"/>
      <c r="M228" s="103"/>
      <c r="N228" s="68"/>
      <c r="O228" s="590" t="s">
        <v>681</v>
      </c>
      <c r="P228" s="590"/>
      <c r="Q228" s="590"/>
      <c r="R228" s="590"/>
      <c r="S228" s="589">
        <v>0</v>
      </c>
      <c r="T228" s="589" t="s">
        <v>650</v>
      </c>
      <c r="U228" s="590" t="s">
        <v>651</v>
      </c>
      <c r="V228" s="589">
        <v>51</v>
      </c>
      <c r="W228" s="589" t="s">
        <v>652</v>
      </c>
      <c r="X228" s="590" t="s">
        <v>651</v>
      </c>
      <c r="Y228" s="298">
        <v>1</v>
      </c>
      <c r="Z228" s="560" t="s">
        <v>653</v>
      </c>
      <c r="AA228" s="560" t="s">
        <v>654</v>
      </c>
      <c r="AB228" s="589" t="s">
        <v>671</v>
      </c>
      <c r="AC228" s="130"/>
      <c r="AD228" s="589">
        <f>S228*V228*Y228</f>
        <v>0</v>
      </c>
      <c r="AE228" s="131" t="s">
        <v>733</v>
      </c>
      <c r="AF228" s="5"/>
    </row>
    <row r="229" spans="1:32" s="14" customFormat="1" ht="21" customHeight="1">
      <c r="A229" s="46"/>
      <c r="B229" s="46"/>
      <c r="C229" s="46"/>
      <c r="D229" s="151"/>
      <c r="E229" s="103"/>
      <c r="F229" s="103"/>
      <c r="G229" s="103"/>
      <c r="H229" s="103"/>
      <c r="I229" s="103"/>
      <c r="J229" s="103"/>
      <c r="K229" s="103"/>
      <c r="L229" s="103"/>
      <c r="M229" s="103"/>
      <c r="N229" s="68"/>
      <c r="O229" s="377" t="s">
        <v>286</v>
      </c>
      <c r="P229" s="377"/>
      <c r="Q229" s="377"/>
      <c r="R229" s="377"/>
      <c r="S229" s="376">
        <v>1000</v>
      </c>
      <c r="T229" s="376" t="s">
        <v>248</v>
      </c>
      <c r="U229" s="377" t="s">
        <v>249</v>
      </c>
      <c r="V229" s="376">
        <v>100</v>
      </c>
      <c r="W229" s="376" t="s">
        <v>250</v>
      </c>
      <c r="X229" s="377" t="s">
        <v>249</v>
      </c>
      <c r="Y229" s="298">
        <v>2</v>
      </c>
      <c r="Z229" s="291" t="s">
        <v>253</v>
      </c>
      <c r="AA229" s="291" t="s">
        <v>251</v>
      </c>
      <c r="AB229" s="434" t="s">
        <v>152</v>
      </c>
      <c r="AC229" s="130"/>
      <c r="AD229" s="657">
        <v>126000</v>
      </c>
      <c r="AE229" s="131" t="s">
        <v>805</v>
      </c>
      <c r="AF229" s="5"/>
    </row>
    <row r="230" spans="1:32" s="14" customFormat="1" ht="21" customHeight="1">
      <c r="A230" s="46"/>
      <c r="B230" s="46"/>
      <c r="C230" s="46"/>
      <c r="D230" s="151"/>
      <c r="E230" s="103"/>
      <c r="F230" s="103"/>
      <c r="G230" s="103"/>
      <c r="H230" s="103"/>
      <c r="I230" s="103"/>
      <c r="J230" s="103"/>
      <c r="K230" s="103"/>
      <c r="L230" s="103"/>
      <c r="M230" s="103"/>
      <c r="N230" s="68"/>
      <c r="O230" s="431" t="s">
        <v>287</v>
      </c>
      <c r="P230" s="431"/>
      <c r="Q230" s="431"/>
      <c r="R230" s="431"/>
      <c r="S230" s="430"/>
      <c r="T230" s="430"/>
      <c r="U230" s="431"/>
      <c r="V230" s="430"/>
      <c r="W230" s="430"/>
      <c r="X230" s="431"/>
      <c r="Y230" s="405"/>
      <c r="Z230" s="390"/>
      <c r="AA230" s="407"/>
      <c r="AB230" s="434" t="s">
        <v>152</v>
      </c>
      <c r="AC230" s="430"/>
      <c r="AD230" s="430">
        <v>200000</v>
      </c>
      <c r="AE230" s="131" t="s">
        <v>733</v>
      </c>
      <c r="AF230" s="5"/>
    </row>
    <row r="231" spans="1:32" s="14" customFormat="1" ht="21" customHeight="1">
      <c r="A231" s="46"/>
      <c r="B231" s="46"/>
      <c r="C231" s="46"/>
      <c r="D231" s="151"/>
      <c r="E231" s="103"/>
      <c r="F231" s="103"/>
      <c r="G231" s="103"/>
      <c r="H231" s="103"/>
      <c r="I231" s="103"/>
      <c r="J231" s="103"/>
      <c r="K231" s="103"/>
      <c r="L231" s="103"/>
      <c r="M231" s="103"/>
      <c r="N231" s="68"/>
      <c r="O231" s="431" t="s">
        <v>296</v>
      </c>
      <c r="P231" s="377"/>
      <c r="Q231" s="377"/>
      <c r="R231" s="377"/>
      <c r="S231" s="376"/>
      <c r="T231" s="376"/>
      <c r="U231" s="377"/>
      <c r="V231" s="376"/>
      <c r="W231" s="376"/>
      <c r="X231" s="377"/>
      <c r="Y231" s="405"/>
      <c r="Z231" s="390"/>
      <c r="AA231" s="407"/>
      <c r="AB231" s="434" t="s">
        <v>304</v>
      </c>
      <c r="AC231" s="376"/>
      <c r="AD231" s="376"/>
      <c r="AE231" s="131" t="s">
        <v>248</v>
      </c>
      <c r="AF231" s="5"/>
    </row>
    <row r="232" spans="1:32" s="11" customFormat="1" ht="21" customHeight="1">
      <c r="A232" s="46"/>
      <c r="B232" s="46"/>
      <c r="C232" s="59"/>
      <c r="D232" s="152"/>
      <c r="E232" s="158"/>
      <c r="F232" s="158"/>
      <c r="G232" s="158"/>
      <c r="H232" s="158"/>
      <c r="I232" s="158"/>
      <c r="J232" s="158"/>
      <c r="K232" s="158"/>
      <c r="L232" s="158"/>
      <c r="M232" s="127"/>
      <c r="N232" s="82"/>
      <c r="O232" s="408"/>
      <c r="P232" s="408"/>
      <c r="Q232" s="408"/>
      <c r="R232" s="408"/>
      <c r="S232" s="408"/>
      <c r="T232" s="128"/>
      <c r="U232" s="376"/>
      <c r="V232" s="291"/>
      <c r="W232" s="376"/>
      <c r="X232" s="376"/>
      <c r="Y232" s="376"/>
      <c r="Z232" s="376"/>
      <c r="AA232" s="376"/>
      <c r="AB232" s="376"/>
      <c r="AC232" s="376"/>
      <c r="AD232" s="376"/>
      <c r="AE232" s="131"/>
      <c r="AF232" s="1"/>
    </row>
    <row r="233" spans="1:32" s="11" customFormat="1" ht="21" customHeight="1">
      <c r="A233" s="46"/>
      <c r="B233" s="46"/>
      <c r="C233" s="46" t="s">
        <v>81</v>
      </c>
      <c r="D233" s="124">
        <v>27839</v>
      </c>
      <c r="E233" s="103">
        <f>ROUND(AD233/1000,0)</f>
        <v>27839</v>
      </c>
      <c r="F233" s="108">
        <f>SUMIF($AB$234:$AB$240,"보조",$AD$234:$AD$240)/1000</f>
        <v>15210</v>
      </c>
      <c r="G233" s="108">
        <f>SUMIF($AB$234:$AB$240,"7종",$AD$234:$AD$240)/1000</f>
        <v>0</v>
      </c>
      <c r="H233" s="108">
        <f>SUMIF($AB$234:$AB$240,"4종",$AD$234:$AD$240)/1000</f>
        <v>0</v>
      </c>
      <c r="I233" s="108">
        <f>SUMIF($AB$234:$AB$240,"후원",$AD$234:$AD$240)/1000</f>
        <v>0</v>
      </c>
      <c r="J233" s="108">
        <f>SUMIF($AB$234:$AB$240,"입소",$AD$234:$AD$240)/1000</f>
        <v>12629</v>
      </c>
      <c r="K233" s="108">
        <f>SUMIF($AB$234:$AB$240,"법인",$AD$234:$AD$240)/1000</f>
        <v>0</v>
      </c>
      <c r="L233" s="108">
        <f>SUMIF($AB$234:$AB$240,"잡수",$AD$234:$AD$240)/1000</f>
        <v>0</v>
      </c>
      <c r="M233" s="103">
        <f>E233-D233</f>
        <v>0</v>
      </c>
      <c r="N233" s="68">
        <f>IF(D233=0,0,M233/D233)</f>
        <v>0</v>
      </c>
      <c r="O233" s="95" t="s">
        <v>86</v>
      </c>
      <c r="P233" s="91"/>
      <c r="Q233" s="91"/>
      <c r="R233" s="91"/>
      <c r="S233" s="91"/>
      <c r="T233" s="87"/>
      <c r="U233" s="87"/>
      <c r="V233" s="87"/>
      <c r="W233" s="87"/>
      <c r="X233" s="87"/>
      <c r="Y233" s="169" t="s">
        <v>137</v>
      </c>
      <c r="Z233" s="169"/>
      <c r="AA233" s="169"/>
      <c r="AB233" s="169"/>
      <c r="AC233" s="171"/>
      <c r="AD233" s="171">
        <f>SUM(AD234:AD239)</f>
        <v>27839000</v>
      </c>
      <c r="AE233" s="170" t="s">
        <v>25</v>
      </c>
      <c r="AF233" s="1"/>
    </row>
    <row r="234" spans="1:32" s="11" customFormat="1" ht="21" customHeight="1">
      <c r="A234" s="46"/>
      <c r="B234" s="46"/>
      <c r="C234" s="46"/>
      <c r="D234" s="151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377" t="s">
        <v>288</v>
      </c>
      <c r="P234" s="377"/>
      <c r="Q234" s="377"/>
      <c r="R234" s="377"/>
      <c r="S234" s="376">
        <v>600000</v>
      </c>
      <c r="T234" s="297" t="s">
        <v>258</v>
      </c>
      <c r="U234" s="297" t="s">
        <v>26</v>
      </c>
      <c r="V234" s="376">
        <v>12</v>
      </c>
      <c r="W234" s="376" t="s">
        <v>262</v>
      </c>
      <c r="X234" s="291"/>
      <c r="Y234" s="405"/>
      <c r="Z234" s="390"/>
      <c r="AA234" s="406" t="s">
        <v>263</v>
      </c>
      <c r="AB234" s="376" t="s">
        <v>266</v>
      </c>
      <c r="AC234" s="376"/>
      <c r="AD234" s="376">
        <f>S234*V234</f>
        <v>7200000</v>
      </c>
      <c r="AE234" s="131" t="s">
        <v>25</v>
      </c>
      <c r="AF234" s="1"/>
    </row>
    <row r="235" spans="1:32" s="11" customFormat="1" ht="21" customHeight="1">
      <c r="A235" s="46"/>
      <c r="B235" s="46"/>
      <c r="C235" s="46"/>
      <c r="D235" s="151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590"/>
      <c r="P235" s="590"/>
      <c r="Q235" s="590"/>
      <c r="R235" s="590"/>
      <c r="S235" s="589">
        <v>700000</v>
      </c>
      <c r="T235" s="297" t="s">
        <v>650</v>
      </c>
      <c r="U235" s="297" t="s">
        <v>26</v>
      </c>
      <c r="V235" s="589">
        <v>12</v>
      </c>
      <c r="W235" s="589" t="s">
        <v>659</v>
      </c>
      <c r="X235" s="405"/>
      <c r="Y235" s="405"/>
      <c r="Z235" s="390"/>
      <c r="AA235" s="406" t="s">
        <v>654</v>
      </c>
      <c r="AB235" s="592" t="s">
        <v>213</v>
      </c>
      <c r="AC235" s="589"/>
      <c r="AD235" s="589">
        <f>S235*V235</f>
        <v>8400000</v>
      </c>
      <c r="AE235" s="131" t="s">
        <v>25</v>
      </c>
      <c r="AF235" s="1"/>
    </row>
    <row r="236" spans="1:32" s="11" customFormat="1" ht="21" customHeight="1">
      <c r="A236" s="46"/>
      <c r="B236" s="46"/>
      <c r="C236" s="46"/>
      <c r="D236" s="151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552" t="s">
        <v>599</v>
      </c>
      <c r="P236" s="377"/>
      <c r="Q236" s="377"/>
      <c r="R236" s="377"/>
      <c r="S236" s="376">
        <v>600000</v>
      </c>
      <c r="T236" s="297" t="s">
        <v>25</v>
      </c>
      <c r="U236" s="377" t="s">
        <v>26</v>
      </c>
      <c r="V236" s="376">
        <v>12</v>
      </c>
      <c r="W236" s="377" t="s">
        <v>29</v>
      </c>
      <c r="X236" s="572"/>
      <c r="Y236" s="571"/>
      <c r="Z236" s="571"/>
      <c r="AA236" s="571" t="s">
        <v>53</v>
      </c>
      <c r="AB236" s="376" t="s">
        <v>266</v>
      </c>
      <c r="AC236" s="376"/>
      <c r="AD236" s="376">
        <f>S236*V236</f>
        <v>7200000</v>
      </c>
      <c r="AE236" s="131" t="s">
        <v>258</v>
      </c>
      <c r="AF236" s="1"/>
    </row>
    <row r="237" spans="1:32" s="11" customFormat="1" ht="21" customHeight="1">
      <c r="A237" s="46"/>
      <c r="B237" s="46"/>
      <c r="C237" s="46"/>
      <c r="D237" s="151"/>
      <c r="E237" s="103"/>
      <c r="F237" s="103"/>
      <c r="G237" s="103"/>
      <c r="H237" s="103"/>
      <c r="I237" s="103"/>
      <c r="J237" s="103"/>
      <c r="K237" s="103"/>
      <c r="L237" s="103"/>
      <c r="M237" s="103"/>
      <c r="N237" s="68"/>
      <c r="O237" s="572"/>
      <c r="P237" s="572"/>
      <c r="Q237" s="572"/>
      <c r="R237" s="572"/>
      <c r="S237" s="571"/>
      <c r="T237" s="297"/>
      <c r="U237" s="572"/>
      <c r="V237" s="571"/>
      <c r="W237" s="572"/>
      <c r="X237" s="572"/>
      <c r="Y237" s="575" t="s">
        <v>628</v>
      </c>
      <c r="Z237" s="575"/>
      <c r="AA237" s="575"/>
      <c r="AB237" s="575" t="s">
        <v>630</v>
      </c>
      <c r="AC237" s="575"/>
      <c r="AD237" s="575">
        <v>810000</v>
      </c>
      <c r="AE237" s="131" t="s">
        <v>621</v>
      </c>
      <c r="AF237" s="1"/>
    </row>
    <row r="238" spans="1:32" s="11" customFormat="1" ht="21" customHeight="1">
      <c r="A238" s="46"/>
      <c r="B238" s="46"/>
      <c r="C238" s="46"/>
      <c r="D238" s="151"/>
      <c r="E238" s="103"/>
      <c r="F238" s="103"/>
      <c r="G238" s="103"/>
      <c r="H238" s="103"/>
      <c r="I238" s="103"/>
      <c r="J238" s="103"/>
      <c r="K238" s="103"/>
      <c r="L238" s="103"/>
      <c r="M238" s="103"/>
      <c r="N238" s="68"/>
      <c r="O238" s="377"/>
      <c r="P238" s="377"/>
      <c r="Q238" s="377"/>
      <c r="R238" s="377"/>
      <c r="S238" s="376"/>
      <c r="T238" s="297"/>
      <c r="U238" s="377"/>
      <c r="V238" s="376"/>
      <c r="W238" s="377"/>
      <c r="X238" s="376"/>
      <c r="Y238" s="376"/>
      <c r="Z238" s="376"/>
      <c r="AA238" s="376"/>
      <c r="AB238" s="545" t="s">
        <v>213</v>
      </c>
      <c r="AC238" s="376"/>
      <c r="AD238" s="657">
        <v>1405000</v>
      </c>
      <c r="AE238" s="131" t="s">
        <v>805</v>
      </c>
      <c r="AF238" s="1"/>
    </row>
    <row r="239" spans="1:32" s="11" customFormat="1" ht="21" customHeight="1">
      <c r="A239" s="46"/>
      <c r="B239" s="46"/>
      <c r="C239" s="46"/>
      <c r="D239" s="151"/>
      <c r="E239" s="103"/>
      <c r="F239" s="103"/>
      <c r="G239" s="103"/>
      <c r="H239" s="103"/>
      <c r="I239" s="103"/>
      <c r="J239" s="103"/>
      <c r="K239" s="103"/>
      <c r="L239" s="103"/>
      <c r="M239" s="103"/>
      <c r="N239" s="68"/>
      <c r="O239" s="433" t="s">
        <v>303</v>
      </c>
      <c r="P239" s="377"/>
      <c r="Q239" s="377"/>
      <c r="R239" s="377"/>
      <c r="S239" s="376"/>
      <c r="T239" s="297"/>
      <c r="U239" s="377"/>
      <c r="V239" s="376"/>
      <c r="W239" s="377"/>
      <c r="X239" s="376"/>
      <c r="Y239" s="376"/>
      <c r="Z239" s="376"/>
      <c r="AA239" s="376"/>
      <c r="AB239" s="545" t="s">
        <v>555</v>
      </c>
      <c r="AC239" s="376"/>
      <c r="AD239" s="376">
        <v>2824000</v>
      </c>
      <c r="AE239" s="131" t="s">
        <v>248</v>
      </c>
      <c r="AF239" s="1"/>
    </row>
    <row r="240" spans="1:32" s="11" customFormat="1" ht="21" customHeight="1">
      <c r="A240" s="46"/>
      <c r="B240" s="46"/>
      <c r="C240" s="46"/>
      <c r="D240" s="151"/>
      <c r="E240" s="103"/>
      <c r="F240" s="103"/>
      <c r="G240" s="103"/>
      <c r="H240" s="103"/>
      <c r="I240" s="103"/>
      <c r="J240" s="103"/>
      <c r="K240" s="103"/>
      <c r="L240" s="103"/>
      <c r="M240" s="103"/>
      <c r="N240" s="68"/>
      <c r="O240" s="377"/>
      <c r="P240" s="377"/>
      <c r="Q240" s="377"/>
      <c r="R240" s="377"/>
      <c r="S240" s="376"/>
      <c r="T240" s="297"/>
      <c r="U240" s="377"/>
      <c r="V240" s="376"/>
      <c r="W240" s="377"/>
      <c r="X240" s="376"/>
      <c r="Y240" s="376"/>
      <c r="Z240" s="376"/>
      <c r="AA240" s="376"/>
      <c r="AB240" s="376"/>
      <c r="AC240" s="376"/>
      <c r="AD240" s="376"/>
      <c r="AE240" s="131"/>
      <c r="AF240" s="1"/>
    </row>
    <row r="241" spans="1:33" s="11" customFormat="1" ht="21" customHeight="1">
      <c r="A241" s="46"/>
      <c r="B241" s="36" t="s">
        <v>87</v>
      </c>
      <c r="C241" s="165" t="s">
        <v>141</v>
      </c>
      <c r="D241" s="166">
        <f t="shared" ref="D241:L241" si="12">SUM(D242,D248,D260,D267,D274,D281,D290,D294,D299,D306,D319,D325,D331,D340)</f>
        <v>103626</v>
      </c>
      <c r="E241" s="166">
        <f t="shared" si="12"/>
        <v>102358</v>
      </c>
      <c r="F241" s="166">
        <f t="shared" si="12"/>
        <v>3230</v>
      </c>
      <c r="G241" s="166">
        <f t="shared" si="12"/>
        <v>5000</v>
      </c>
      <c r="H241" s="166">
        <f t="shared" si="12"/>
        <v>0</v>
      </c>
      <c r="I241" s="166">
        <f t="shared" si="12"/>
        <v>53005</v>
      </c>
      <c r="J241" s="166">
        <f t="shared" si="12"/>
        <v>30769</v>
      </c>
      <c r="K241" s="166">
        <f t="shared" si="12"/>
        <v>10000</v>
      </c>
      <c r="L241" s="166">
        <f t="shared" si="12"/>
        <v>354</v>
      </c>
      <c r="M241" s="166">
        <f>E241-D241</f>
        <v>-1268</v>
      </c>
      <c r="N241" s="167">
        <f>IF(D241=0,0,M241/D241)</f>
        <v>-1.223631135043329E-2</v>
      </c>
      <c r="O241" s="168"/>
      <c r="P241" s="168"/>
      <c r="Q241" s="168"/>
      <c r="R241" s="168"/>
      <c r="S241" s="168"/>
      <c r="T241" s="169"/>
      <c r="U241" s="169"/>
      <c r="V241" s="169"/>
      <c r="W241" s="169"/>
      <c r="X241" s="169"/>
      <c r="Y241" s="169" t="s">
        <v>28</v>
      </c>
      <c r="Z241" s="169"/>
      <c r="AA241" s="169"/>
      <c r="AB241" s="169"/>
      <c r="AC241" s="171"/>
      <c r="AD241" s="171">
        <f>SUM(AD242,AD248,AD260,AD267,AD274,AD281,AD290,AD294,AD299,AD306,AD319,AD325,AD331,AD340)</f>
        <v>102358000</v>
      </c>
      <c r="AE241" s="170" t="s">
        <v>25</v>
      </c>
      <c r="AF241" s="1"/>
    </row>
    <row r="242" spans="1:33" s="15" customFormat="1" ht="24" customHeight="1">
      <c r="A242" s="46"/>
      <c r="B242" s="46" t="s">
        <v>306</v>
      </c>
      <c r="C242" s="36" t="s">
        <v>305</v>
      </c>
      <c r="D242" s="455">
        <v>5990</v>
      </c>
      <c r="E242" s="103">
        <f>ROUND(AD242/1000,0)</f>
        <v>5710</v>
      </c>
      <c r="F242" s="108">
        <f>SUMIF($AB$243:$AB$247,"보조",$AD$243:$AD$247)/1000</f>
        <v>0</v>
      </c>
      <c r="G242" s="108">
        <f>SUMIF($AB$243:$AB$247,"7종",$AD$243:$AD$247)/1000</f>
        <v>0</v>
      </c>
      <c r="H242" s="108">
        <f>SUMIF($AB$243:$AB$247,"4종",$AD$243:$AD$247)/1000</f>
        <v>0</v>
      </c>
      <c r="I242" s="108">
        <f>SUMIF($AB$243:$AB$247,"후원",$AD$243:$AD$247)/1000</f>
        <v>2570</v>
      </c>
      <c r="J242" s="108">
        <f>SUMIF($AB$243:$AB$247,"입소",$AD$243:$AD$247)/1000</f>
        <v>3140</v>
      </c>
      <c r="K242" s="108">
        <f>SUMIF($AB$243:$AB$247,"법인",$AD$243:$AD$247)/1000</f>
        <v>0</v>
      </c>
      <c r="L242" s="108">
        <f>SUMIF($AB$243:$AB$247,"잡수",$AD$243:$AD$247)/1000</f>
        <v>0</v>
      </c>
      <c r="M242" s="103">
        <f>E242-D242</f>
        <v>-280</v>
      </c>
      <c r="N242" s="68">
        <f>IF(D242=0,0,M242/D242)</f>
        <v>-4.6744574290484141E-2</v>
      </c>
      <c r="O242" s="443"/>
      <c r="P242" s="157"/>
      <c r="Q242" s="157"/>
      <c r="R242" s="157"/>
      <c r="S242" s="157"/>
      <c r="T242" s="86"/>
      <c r="U242" s="86"/>
      <c r="V242" s="86"/>
      <c r="W242" s="139" t="s">
        <v>130</v>
      </c>
      <c r="X242" s="139"/>
      <c r="Y242" s="139"/>
      <c r="Z242" s="139"/>
      <c r="AA242" s="139"/>
      <c r="AB242" s="139"/>
      <c r="AC242" s="140"/>
      <c r="AD242" s="140">
        <f>SUM(AD243:AD247)</f>
        <v>5710000</v>
      </c>
      <c r="AE242" s="141" t="s">
        <v>25</v>
      </c>
      <c r="AF242" s="16"/>
    </row>
    <row r="243" spans="1:33" s="15" customFormat="1" ht="24" customHeight="1">
      <c r="A243" s="46"/>
      <c r="B243" s="46"/>
      <c r="C243" s="46" t="s">
        <v>306</v>
      </c>
      <c r="D243" s="154"/>
      <c r="E243" s="103"/>
      <c r="F243" s="103"/>
      <c r="G243" s="103"/>
      <c r="H243" s="103"/>
      <c r="I243" s="103"/>
      <c r="J243" s="103"/>
      <c r="K243" s="103"/>
      <c r="L243" s="103"/>
      <c r="M243" s="103"/>
      <c r="N243" s="68"/>
      <c r="O243" s="440" t="s">
        <v>307</v>
      </c>
      <c r="P243" s="440"/>
      <c r="Q243" s="440"/>
      <c r="R243" s="440"/>
      <c r="S243" s="440"/>
      <c r="T243" s="439"/>
      <c r="U243" s="439"/>
      <c r="V243" s="439"/>
      <c r="W243" s="439"/>
      <c r="X243" s="439"/>
      <c r="Y243" s="589"/>
      <c r="Z243" s="439"/>
      <c r="AA243" s="439"/>
      <c r="AB243" s="657" t="s">
        <v>820</v>
      </c>
      <c r="AC243" s="660"/>
      <c r="AD243" s="660">
        <v>2230000</v>
      </c>
      <c r="AE243" s="131" t="s">
        <v>805</v>
      </c>
      <c r="AF243" s="16"/>
    </row>
    <row r="244" spans="1:33" s="15" customFormat="1" ht="24" customHeight="1">
      <c r="A244" s="46"/>
      <c r="B244" s="46"/>
      <c r="C244" s="46"/>
      <c r="D244" s="154"/>
      <c r="E244" s="103"/>
      <c r="F244" s="103"/>
      <c r="G244" s="103"/>
      <c r="H244" s="103"/>
      <c r="I244" s="103"/>
      <c r="J244" s="103"/>
      <c r="K244" s="103"/>
      <c r="L244" s="103"/>
      <c r="M244" s="103"/>
      <c r="N244" s="68"/>
      <c r="O244" s="590"/>
      <c r="P244" s="590"/>
      <c r="Q244" s="590"/>
      <c r="R244" s="590"/>
      <c r="S244" s="590"/>
      <c r="T244" s="589"/>
      <c r="U244" s="589"/>
      <c r="V244" s="589"/>
      <c r="W244" s="589"/>
      <c r="X244" s="589"/>
      <c r="Y244" s="589"/>
      <c r="Z244" s="589"/>
      <c r="AA244" s="589"/>
      <c r="AB244" s="657" t="s">
        <v>814</v>
      </c>
      <c r="AC244" s="660"/>
      <c r="AD244" s="660">
        <v>2610000</v>
      </c>
      <c r="AE244" s="131" t="s">
        <v>805</v>
      </c>
      <c r="AF244" s="578"/>
    </row>
    <row r="245" spans="1:33" s="15" customFormat="1" ht="24" customHeight="1">
      <c r="A245" s="46"/>
      <c r="B245" s="46"/>
      <c r="C245" s="46"/>
      <c r="D245" s="154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590" t="s">
        <v>682</v>
      </c>
      <c r="P245" s="590"/>
      <c r="Q245" s="590"/>
      <c r="R245" s="590"/>
      <c r="S245" s="589"/>
      <c r="T245" s="589"/>
      <c r="U245" s="590"/>
      <c r="V245" s="589"/>
      <c r="W245" s="589"/>
      <c r="X245" s="589"/>
      <c r="Y245" s="589"/>
      <c r="Z245" s="589"/>
      <c r="AA245" s="589"/>
      <c r="AB245" s="589" t="s">
        <v>683</v>
      </c>
      <c r="AC245" s="589"/>
      <c r="AD245" s="589">
        <v>310000</v>
      </c>
      <c r="AE245" s="131" t="s">
        <v>25</v>
      </c>
      <c r="AF245" s="16"/>
    </row>
    <row r="246" spans="1:33" s="15" customFormat="1" ht="24" customHeight="1">
      <c r="A246" s="46"/>
      <c r="B246" s="46"/>
      <c r="C246" s="46"/>
      <c r="D246" s="151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436" t="s">
        <v>819</v>
      </c>
      <c r="P246" s="436"/>
      <c r="Q246" s="436"/>
      <c r="R246" s="436"/>
      <c r="S246" s="378"/>
      <c r="T246" s="284"/>
      <c r="U246" s="284"/>
      <c r="V246" s="378"/>
      <c r="W246" s="436"/>
      <c r="X246" s="378"/>
      <c r="Y246" s="664"/>
      <c r="Z246" s="664"/>
      <c r="AA246" s="664"/>
      <c r="AB246" s="378" t="s">
        <v>820</v>
      </c>
      <c r="AC246" s="664"/>
      <c r="AD246" s="642">
        <v>340000</v>
      </c>
      <c r="AE246" s="643" t="s">
        <v>805</v>
      </c>
      <c r="AF246" s="16"/>
    </row>
    <row r="247" spans="1:33" s="15" customFormat="1" ht="24" customHeight="1">
      <c r="A247" s="46"/>
      <c r="B247" s="46"/>
      <c r="C247" s="59"/>
      <c r="D247" s="152"/>
      <c r="E247" s="105"/>
      <c r="F247" s="105"/>
      <c r="G247" s="105"/>
      <c r="H247" s="105"/>
      <c r="I247" s="105"/>
      <c r="J247" s="105"/>
      <c r="K247" s="105"/>
      <c r="L247" s="105"/>
      <c r="M247" s="105"/>
      <c r="N247" s="82"/>
      <c r="O247" s="281"/>
      <c r="P247" s="281"/>
      <c r="Q247" s="281"/>
      <c r="R247" s="281"/>
      <c r="S247" s="299"/>
      <c r="T247" s="299"/>
      <c r="U247" s="281"/>
      <c r="V247" s="299"/>
      <c r="W247" s="299"/>
      <c r="X247" s="299"/>
      <c r="Y247" s="299"/>
      <c r="Z247" s="299"/>
      <c r="AA247" s="299"/>
      <c r="AB247" s="299" t="s">
        <v>821</v>
      </c>
      <c r="AC247" s="299"/>
      <c r="AD247" s="299">
        <v>220000</v>
      </c>
      <c r="AE247" s="302" t="s">
        <v>813</v>
      </c>
      <c r="AF247" s="16"/>
    </row>
    <row r="248" spans="1:33" s="15" customFormat="1" ht="24" customHeight="1">
      <c r="A248" s="46"/>
      <c r="B248" s="46"/>
      <c r="C248" s="36" t="s">
        <v>308</v>
      </c>
      <c r="D248" s="153">
        <v>6240</v>
      </c>
      <c r="E248" s="103">
        <f>ROUND(AD248/1000,0)</f>
        <v>6240</v>
      </c>
      <c r="F248" s="108">
        <f>SUMIF($AB$249:$AB$259,"보조",$AD$249:$AD$259)/1000</f>
        <v>800</v>
      </c>
      <c r="G248" s="108">
        <f>SUMIF($AB$249:$AB$259,"7종",$AD$249:$AD$259)/1000</f>
        <v>0</v>
      </c>
      <c r="H248" s="108">
        <f>SUMIF($AB$249:$AB$259,"4종",$AD$249:$AD$259)/1000</f>
        <v>0</v>
      </c>
      <c r="I248" s="108">
        <f>SUMIF($AB$249:$AB$259,"후원",$AD$249:$AD$259)/1000</f>
        <v>2905</v>
      </c>
      <c r="J248" s="108">
        <f>SUMIF($AB$249:$AB$259,"입소",$AD$249:$AD$259)/1000</f>
        <v>2535</v>
      </c>
      <c r="K248" s="108">
        <f>SUMIF($AB$249:$AB$259,"법인",$AD$249:$AD$259)/1000</f>
        <v>0</v>
      </c>
      <c r="L248" s="108">
        <f>SUMIF($AB$249:$AB$259,"잡수",$AD$249:$AD$259)/1000</f>
        <v>0</v>
      </c>
      <c r="M248" s="103">
        <f>E248-D248</f>
        <v>0</v>
      </c>
      <c r="N248" s="68">
        <f>IF(D248=0,0,M248/D248)</f>
        <v>0</v>
      </c>
      <c r="O248" s="288"/>
      <c r="P248" s="305"/>
      <c r="Q248" s="305"/>
      <c r="R248" s="448"/>
      <c r="S248" s="448"/>
      <c r="T248" s="448"/>
      <c r="U248" s="448"/>
      <c r="V248" s="448"/>
      <c r="W248" s="449" t="s">
        <v>130</v>
      </c>
      <c r="X248" s="449"/>
      <c r="Y248" s="449"/>
      <c r="Z248" s="449"/>
      <c r="AA248" s="449"/>
      <c r="AB248" s="449"/>
      <c r="AC248" s="450"/>
      <c r="AD248" s="450">
        <f>SUM(AD249:AD259)</f>
        <v>6240000</v>
      </c>
      <c r="AE248" s="451" t="s">
        <v>25</v>
      </c>
      <c r="AF248" s="16"/>
    </row>
    <row r="249" spans="1:33" s="15" customFormat="1" ht="24" customHeight="1">
      <c r="A249" s="46"/>
      <c r="B249" s="46"/>
      <c r="C249" s="46" t="s">
        <v>306</v>
      </c>
      <c r="D249" s="154"/>
      <c r="E249" s="103"/>
      <c r="F249" s="103"/>
      <c r="G249" s="103"/>
      <c r="H249" s="103"/>
      <c r="I249" s="103"/>
      <c r="J249" s="103"/>
      <c r="K249" s="103"/>
      <c r="L249" s="103"/>
      <c r="M249" s="103"/>
      <c r="N249" s="68"/>
      <c r="O249" s="442" t="s">
        <v>332</v>
      </c>
      <c r="P249" s="440"/>
      <c r="Q249" s="440"/>
      <c r="R249" s="440"/>
      <c r="S249" s="440"/>
      <c r="T249" s="439"/>
      <c r="U249" s="439"/>
      <c r="V249" s="439"/>
      <c r="W249" s="439"/>
      <c r="X249" s="439"/>
      <c r="Y249" s="439"/>
      <c r="Z249" s="439"/>
      <c r="AA249" s="439"/>
      <c r="AB249" s="439"/>
      <c r="AC249" s="130"/>
      <c r="AD249" s="130"/>
      <c r="AE249" s="131"/>
      <c r="AF249" s="16"/>
    </row>
    <row r="250" spans="1:33" s="15" customFormat="1" ht="24" customHeight="1">
      <c r="A250" s="46"/>
      <c r="B250" s="46"/>
      <c r="C250" s="46"/>
      <c r="D250" s="154"/>
      <c r="E250" s="103"/>
      <c r="F250" s="103"/>
      <c r="G250" s="103"/>
      <c r="H250" s="103"/>
      <c r="I250" s="103"/>
      <c r="J250" s="103"/>
      <c r="K250" s="103"/>
      <c r="L250" s="103"/>
      <c r="M250" s="103"/>
      <c r="N250" s="68"/>
      <c r="O250" s="442" t="s">
        <v>333</v>
      </c>
      <c r="P250" s="402"/>
      <c r="Q250" s="402"/>
      <c r="R250" s="398"/>
      <c r="S250" s="441">
        <v>30000</v>
      </c>
      <c r="T250" s="297" t="s">
        <v>56</v>
      </c>
      <c r="U250" s="297" t="s">
        <v>26</v>
      </c>
      <c r="V250" s="441">
        <v>4</v>
      </c>
      <c r="W250" s="442" t="s">
        <v>334</v>
      </c>
      <c r="X250" s="441"/>
      <c r="Y250" s="409"/>
      <c r="Z250" s="409" t="s">
        <v>53</v>
      </c>
      <c r="AA250" s="409"/>
      <c r="AB250" s="579" t="s">
        <v>623</v>
      </c>
      <c r="AC250" s="579"/>
      <c r="AD250" s="580">
        <f>S250*V250</f>
        <v>120000</v>
      </c>
      <c r="AE250" s="411" t="s">
        <v>733</v>
      </c>
      <c r="AF250" s="16"/>
    </row>
    <row r="251" spans="1:33" s="15" customFormat="1" ht="24" customHeight="1">
      <c r="A251" s="46"/>
      <c r="B251" s="46"/>
      <c r="C251" s="46"/>
      <c r="D251" s="154"/>
      <c r="E251" s="103"/>
      <c r="F251" s="103"/>
      <c r="G251" s="103"/>
      <c r="H251" s="103"/>
      <c r="I251" s="103"/>
      <c r="J251" s="103"/>
      <c r="K251" s="103"/>
      <c r="L251" s="103"/>
      <c r="M251" s="103"/>
      <c r="N251" s="68"/>
      <c r="O251" s="442" t="s">
        <v>335</v>
      </c>
      <c r="P251" s="402"/>
      <c r="Q251" s="402"/>
      <c r="R251" s="398"/>
      <c r="S251" s="441">
        <v>100000</v>
      </c>
      <c r="T251" s="297" t="s">
        <v>56</v>
      </c>
      <c r="U251" s="297" t="s">
        <v>26</v>
      </c>
      <c r="V251" s="413">
        <v>4</v>
      </c>
      <c r="W251" s="297" t="s">
        <v>26</v>
      </c>
      <c r="X251" s="297">
        <v>2</v>
      </c>
      <c r="Y251" s="409" t="s">
        <v>336</v>
      </c>
      <c r="Z251" s="409" t="s">
        <v>53</v>
      </c>
      <c r="AA251" s="409"/>
      <c r="AB251" s="277" t="s">
        <v>623</v>
      </c>
      <c r="AC251" s="579"/>
      <c r="AD251" s="580">
        <f>S251*V251*X251</f>
        <v>800000</v>
      </c>
      <c r="AE251" s="411" t="s">
        <v>733</v>
      </c>
      <c r="AF251" s="16"/>
    </row>
    <row r="252" spans="1:33" s="15" customFormat="1" ht="24" customHeight="1">
      <c r="A252" s="46"/>
      <c r="B252" s="46"/>
      <c r="C252" s="46"/>
      <c r="D252" s="154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525" t="s">
        <v>533</v>
      </c>
      <c r="P252" s="402"/>
      <c r="Q252" s="402"/>
      <c r="R252" s="398"/>
      <c r="S252" s="398"/>
      <c r="T252" s="398"/>
      <c r="U252" s="398"/>
      <c r="V252" s="398"/>
      <c r="W252" s="403"/>
      <c r="X252" s="403"/>
      <c r="Y252" s="403"/>
      <c r="Z252" s="403"/>
      <c r="AA252" s="403"/>
      <c r="AB252" s="579" t="s">
        <v>623</v>
      </c>
      <c r="AC252" s="581"/>
      <c r="AD252" s="280">
        <v>300000</v>
      </c>
      <c r="AE252" s="131" t="s">
        <v>733</v>
      </c>
      <c r="AF252" s="16"/>
    </row>
    <row r="253" spans="1:33" s="15" customFormat="1" ht="24" customHeight="1">
      <c r="A253" s="46"/>
      <c r="B253" s="46"/>
      <c r="C253" s="46"/>
      <c r="D253" s="154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529" t="s">
        <v>538</v>
      </c>
      <c r="P253" s="260"/>
      <c r="Q253" s="260"/>
      <c r="R253" s="256"/>
      <c r="S253" s="256"/>
      <c r="T253" s="256"/>
      <c r="U253" s="256"/>
      <c r="V253" s="256"/>
      <c r="W253" s="261"/>
      <c r="X253" s="261"/>
      <c r="Y253" s="261"/>
      <c r="Z253" s="261"/>
      <c r="AA253" s="261"/>
      <c r="AB253" s="579" t="s">
        <v>623</v>
      </c>
      <c r="AC253" s="581"/>
      <c r="AD253" s="280">
        <v>30000</v>
      </c>
      <c r="AE253" s="131" t="s">
        <v>733</v>
      </c>
      <c r="AF253" s="16"/>
    </row>
    <row r="254" spans="1:33" s="15" customFormat="1" ht="24" customHeight="1">
      <c r="A254" s="46"/>
      <c r="B254" s="46"/>
      <c r="C254" s="46"/>
      <c r="D254" s="154"/>
      <c r="E254" s="103"/>
      <c r="F254" s="103"/>
      <c r="G254" s="103"/>
      <c r="H254" s="103"/>
      <c r="I254" s="103"/>
      <c r="J254" s="103"/>
      <c r="K254" s="103"/>
      <c r="L254" s="103"/>
      <c r="M254" s="103"/>
      <c r="N254" s="68"/>
      <c r="O254" s="550" t="s">
        <v>583</v>
      </c>
      <c r="P254" s="402"/>
      <c r="Q254" s="402"/>
      <c r="R254" s="398"/>
      <c r="S254" s="441">
        <v>100000</v>
      </c>
      <c r="T254" s="297" t="s">
        <v>56</v>
      </c>
      <c r="U254" s="297" t="s">
        <v>26</v>
      </c>
      <c r="V254" s="414">
        <v>3</v>
      </c>
      <c r="W254" s="297" t="s">
        <v>26</v>
      </c>
      <c r="X254" s="297">
        <v>4</v>
      </c>
      <c r="Y254" s="409" t="s">
        <v>66</v>
      </c>
      <c r="Z254" s="409" t="s">
        <v>53</v>
      </c>
      <c r="AA254" s="409"/>
      <c r="AB254" s="277" t="s">
        <v>623</v>
      </c>
      <c r="AC254" s="579"/>
      <c r="AD254" s="580">
        <v>1600000</v>
      </c>
      <c r="AE254" s="411" t="s">
        <v>733</v>
      </c>
      <c r="AF254" s="16"/>
    </row>
    <row r="255" spans="1:33" s="15" customFormat="1" ht="24" customHeight="1">
      <c r="A255" s="46"/>
      <c r="B255" s="46"/>
      <c r="C255" s="46"/>
      <c r="D255" s="154"/>
      <c r="E255" s="103"/>
      <c r="F255" s="103"/>
      <c r="G255" s="103"/>
      <c r="H255" s="103"/>
      <c r="I255" s="103"/>
      <c r="J255" s="103"/>
      <c r="K255" s="103"/>
      <c r="L255" s="103"/>
      <c r="M255" s="103"/>
      <c r="N255" s="68"/>
      <c r="O255" s="442"/>
      <c r="P255" s="739" t="s">
        <v>539</v>
      </c>
      <c r="Q255" s="739"/>
      <c r="R255" s="739"/>
      <c r="S255" s="528">
        <v>100000</v>
      </c>
      <c r="T255" s="297" t="s">
        <v>540</v>
      </c>
      <c r="U255" s="297" t="s">
        <v>26</v>
      </c>
      <c r="V255" s="414">
        <v>1</v>
      </c>
      <c r="W255" s="297" t="s">
        <v>26</v>
      </c>
      <c r="X255" s="297">
        <v>8</v>
      </c>
      <c r="Y255" s="409" t="s">
        <v>541</v>
      </c>
      <c r="Z255" s="409" t="s">
        <v>542</v>
      </c>
      <c r="AA255" s="409"/>
      <c r="AB255" s="528" t="s">
        <v>543</v>
      </c>
      <c r="AC255" s="409"/>
      <c r="AD255" s="410">
        <f>S255*V255*X255</f>
        <v>800000</v>
      </c>
      <c r="AE255" s="411" t="s">
        <v>733</v>
      </c>
      <c r="AF255" s="16"/>
    </row>
    <row r="256" spans="1:33" s="15" customFormat="1" ht="24" customHeight="1">
      <c r="A256" s="46"/>
      <c r="B256" s="46"/>
      <c r="C256" s="46"/>
      <c r="D256" s="154"/>
      <c r="E256" s="103"/>
      <c r="F256" s="103"/>
      <c r="G256" s="103"/>
      <c r="H256" s="103"/>
      <c r="I256" s="103"/>
      <c r="J256" s="103"/>
      <c r="K256" s="103"/>
      <c r="L256" s="103"/>
      <c r="M256" s="103"/>
      <c r="N256" s="68"/>
      <c r="O256" s="593" t="s">
        <v>727</v>
      </c>
      <c r="P256" s="440"/>
      <c r="Q256" s="440"/>
      <c r="R256" s="440"/>
      <c r="S256" s="440"/>
      <c r="T256" s="439"/>
      <c r="U256" s="439"/>
      <c r="V256" s="439"/>
      <c r="W256" s="439"/>
      <c r="X256" s="439"/>
      <c r="Y256" s="439"/>
      <c r="Z256" s="439"/>
      <c r="AA256" s="439"/>
      <c r="AB256" s="575" t="s">
        <v>631</v>
      </c>
      <c r="AC256" s="130"/>
      <c r="AD256" s="130">
        <v>1450000</v>
      </c>
      <c r="AE256" s="131" t="s">
        <v>733</v>
      </c>
      <c r="AF256" s="16"/>
      <c r="AG256" s="16"/>
    </row>
    <row r="257" spans="1:33" s="15" customFormat="1" ht="24" customHeight="1">
      <c r="A257" s="46"/>
      <c r="B257" s="46"/>
      <c r="C257" s="46"/>
      <c r="D257" s="154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593" t="s">
        <v>728</v>
      </c>
      <c r="P257" s="562"/>
      <c r="Q257" s="562"/>
      <c r="R257" s="562"/>
      <c r="S257" s="562"/>
      <c r="T257" s="561"/>
      <c r="U257" s="561"/>
      <c r="V257" s="561"/>
      <c r="W257" s="561"/>
      <c r="X257" s="561"/>
      <c r="Y257" s="561"/>
      <c r="Z257" s="561"/>
      <c r="AA257" s="561"/>
      <c r="AB257" s="561" t="s">
        <v>617</v>
      </c>
      <c r="AC257" s="130"/>
      <c r="AD257" s="130">
        <v>900000</v>
      </c>
      <c r="AE257" s="131" t="s">
        <v>733</v>
      </c>
      <c r="AF257" s="16"/>
      <c r="AG257" s="16"/>
    </row>
    <row r="258" spans="1:33" s="15" customFormat="1" ht="24" customHeight="1">
      <c r="A258" s="46"/>
      <c r="B258" s="46"/>
      <c r="C258" s="46"/>
      <c r="D258" s="154"/>
      <c r="E258" s="103"/>
      <c r="F258" s="103"/>
      <c r="G258" s="103"/>
      <c r="H258" s="103"/>
      <c r="I258" s="103"/>
      <c r="J258" s="103"/>
      <c r="K258" s="103"/>
      <c r="L258" s="103"/>
      <c r="M258" s="103"/>
      <c r="N258" s="68"/>
      <c r="O258" s="593" t="s">
        <v>729</v>
      </c>
      <c r="P258" s="562"/>
      <c r="Q258" s="562"/>
      <c r="R258" s="562"/>
      <c r="S258" s="562"/>
      <c r="T258" s="561"/>
      <c r="U258" s="561"/>
      <c r="V258" s="561"/>
      <c r="W258" s="561"/>
      <c r="X258" s="561"/>
      <c r="Y258" s="561"/>
      <c r="Z258" s="561"/>
      <c r="AA258" s="561"/>
      <c r="AB258" s="561" t="s">
        <v>617</v>
      </c>
      <c r="AC258" s="130"/>
      <c r="AD258" s="130">
        <v>185000</v>
      </c>
      <c r="AE258" s="131" t="s">
        <v>733</v>
      </c>
      <c r="AF258" s="16"/>
      <c r="AG258" s="16"/>
    </row>
    <row r="259" spans="1:33" s="15" customFormat="1" ht="24" customHeight="1">
      <c r="A259" s="46"/>
      <c r="B259" s="46"/>
      <c r="C259" s="59"/>
      <c r="D259" s="155"/>
      <c r="E259" s="105"/>
      <c r="F259" s="105"/>
      <c r="G259" s="105"/>
      <c r="H259" s="105"/>
      <c r="I259" s="105"/>
      <c r="J259" s="105"/>
      <c r="K259" s="105"/>
      <c r="L259" s="105"/>
      <c r="M259" s="105"/>
      <c r="N259" s="82"/>
      <c r="O259" s="438"/>
      <c r="P259" s="438"/>
      <c r="Q259" s="438"/>
      <c r="R259" s="438"/>
      <c r="S259" s="438"/>
      <c r="T259" s="437"/>
      <c r="U259" s="437"/>
      <c r="V259" s="437"/>
      <c r="W259" s="437"/>
      <c r="X259" s="437"/>
      <c r="Y259" s="437"/>
      <c r="Z259" s="437"/>
      <c r="AA259" s="437"/>
      <c r="AB259" s="620" t="s">
        <v>751</v>
      </c>
      <c r="AC259" s="412"/>
      <c r="AD259" s="412">
        <v>55000</v>
      </c>
      <c r="AE259" s="131" t="s">
        <v>56</v>
      </c>
      <c r="AF259" s="16"/>
      <c r="AG259" s="16"/>
    </row>
    <row r="260" spans="1:33" s="15" customFormat="1" ht="24" customHeight="1">
      <c r="A260" s="46"/>
      <c r="B260" s="46"/>
      <c r="C260" s="36" t="s">
        <v>309</v>
      </c>
      <c r="D260" s="455">
        <v>1560</v>
      </c>
      <c r="E260" s="107">
        <f>ROUND(AD260/1000,0)</f>
        <v>1560</v>
      </c>
      <c r="F260" s="108">
        <f>SUMIF($AB$261:$AB$266,"보조",$AD$261:$AD$266)/1000</f>
        <v>0</v>
      </c>
      <c r="G260" s="108">
        <f>SUMIF($AB$261:$AB$266,"7종",$AD$261:$AD$266)/1000</f>
        <v>0</v>
      </c>
      <c r="H260" s="108">
        <f>SUMIF($AB$261:$AB$266,"4종",$AD$261:$AD$266)/1000</f>
        <v>0</v>
      </c>
      <c r="I260" s="108">
        <f>SUMIF($AB$261:$AB$266,"후원",$AD$261:$AD$266)/1000</f>
        <v>1350</v>
      </c>
      <c r="J260" s="108">
        <f>SUMIF($AB$261:$AB$266,"입소",$AD$261:$AD$266)/1000</f>
        <v>210</v>
      </c>
      <c r="K260" s="108">
        <f>SUMIF($AB$261:$AB$266,"법인",$AD$261:$AD$266)/1000</f>
        <v>0</v>
      </c>
      <c r="L260" s="108">
        <f>SUMIF($AB$261:$AB$266,"잡수",$AD$261:$AD$266)/1000</f>
        <v>0</v>
      </c>
      <c r="M260" s="107">
        <f>E260-D260</f>
        <v>0</v>
      </c>
      <c r="N260" s="115">
        <f>IF(D260=0,0,M260/D260)</f>
        <v>0</v>
      </c>
      <c r="O260" s="288"/>
      <c r="P260" s="305"/>
      <c r="Q260" s="305"/>
      <c r="R260" s="448"/>
      <c r="S260" s="448"/>
      <c r="T260" s="448"/>
      <c r="U260" s="448"/>
      <c r="V260" s="448"/>
      <c r="W260" s="449" t="s">
        <v>130</v>
      </c>
      <c r="X260" s="449"/>
      <c r="Y260" s="449"/>
      <c r="Z260" s="449"/>
      <c r="AA260" s="449"/>
      <c r="AB260" s="449"/>
      <c r="AC260" s="450"/>
      <c r="AD260" s="450">
        <f>SUM(AD261:AD265)</f>
        <v>1560000</v>
      </c>
      <c r="AE260" s="451" t="s">
        <v>25</v>
      </c>
      <c r="AF260" s="16"/>
      <c r="AG260" s="16"/>
    </row>
    <row r="261" spans="1:33" s="15" customFormat="1" ht="24" customHeight="1">
      <c r="A261" s="46"/>
      <c r="B261" s="46"/>
      <c r="C261" s="46" t="s">
        <v>306</v>
      </c>
      <c r="D261" s="154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440" t="s">
        <v>310</v>
      </c>
      <c r="P261" s="402"/>
      <c r="Q261" s="402"/>
      <c r="R261" s="398"/>
      <c r="S261" s="398"/>
      <c r="T261" s="398"/>
      <c r="U261" s="398"/>
      <c r="V261" s="398"/>
      <c r="W261" s="439"/>
      <c r="X261" s="439"/>
      <c r="Y261" s="439"/>
      <c r="Z261" s="439"/>
      <c r="AA261" s="439"/>
      <c r="AB261" s="277" t="s">
        <v>623</v>
      </c>
      <c r="AC261" s="280"/>
      <c r="AD261" s="280">
        <v>200000</v>
      </c>
      <c r="AE261" s="131" t="s">
        <v>733</v>
      </c>
      <c r="AF261" s="16"/>
      <c r="AG261" s="16"/>
    </row>
    <row r="262" spans="1:33" s="15" customFormat="1" ht="24" customHeight="1">
      <c r="A262" s="46"/>
      <c r="B262" s="46"/>
      <c r="C262" s="46"/>
      <c r="D262" s="154"/>
      <c r="E262" s="103"/>
      <c r="F262" s="103"/>
      <c r="G262" s="103"/>
      <c r="H262" s="103"/>
      <c r="I262" s="103"/>
      <c r="J262" s="103"/>
      <c r="K262" s="103"/>
      <c r="L262" s="103"/>
      <c r="M262" s="103"/>
      <c r="N262" s="68"/>
      <c r="O262" s="525" t="s">
        <v>534</v>
      </c>
      <c r="P262" s="402"/>
      <c r="Q262" s="402"/>
      <c r="R262" s="398"/>
      <c r="S262" s="398"/>
      <c r="T262" s="398"/>
      <c r="U262" s="398"/>
      <c r="V262" s="398"/>
      <c r="W262" s="439"/>
      <c r="X262" s="439"/>
      <c r="Y262" s="439"/>
      <c r="Z262" s="439"/>
      <c r="AA262" s="439"/>
      <c r="AB262" s="589" t="s">
        <v>671</v>
      </c>
      <c r="AC262" s="130"/>
      <c r="AD262" s="130">
        <v>700000</v>
      </c>
      <c r="AE262" s="131" t="s">
        <v>733</v>
      </c>
      <c r="AF262" s="16"/>
      <c r="AG262" s="16"/>
    </row>
    <row r="263" spans="1:33" s="15" customFormat="1" ht="24" customHeight="1">
      <c r="A263" s="46"/>
      <c r="B263" s="46"/>
      <c r="C263" s="46"/>
      <c r="D263" s="151"/>
      <c r="E263" s="103"/>
      <c r="F263" s="103"/>
      <c r="G263" s="103"/>
      <c r="H263" s="103"/>
      <c r="I263" s="103"/>
      <c r="J263" s="103"/>
      <c r="K263" s="103"/>
      <c r="L263" s="103"/>
      <c r="M263" s="103"/>
      <c r="N263" s="68"/>
      <c r="O263" s="440" t="s">
        <v>311</v>
      </c>
      <c r="P263" s="440"/>
      <c r="Q263" s="440"/>
      <c r="R263" s="440"/>
      <c r="S263" s="439"/>
      <c r="T263" s="439"/>
      <c r="U263" s="440"/>
      <c r="V263" s="439"/>
      <c r="W263" s="439"/>
      <c r="X263" s="439"/>
      <c r="Y263" s="439"/>
      <c r="Z263" s="439"/>
      <c r="AA263" s="439"/>
      <c r="AB263" s="439" t="s">
        <v>213</v>
      </c>
      <c r="AC263" s="439"/>
      <c r="AD263" s="439">
        <v>60000</v>
      </c>
      <c r="AE263" s="131" t="s">
        <v>25</v>
      </c>
      <c r="AF263" s="16"/>
      <c r="AG263" s="16"/>
    </row>
    <row r="264" spans="1:33" s="15" customFormat="1" ht="24" customHeight="1">
      <c r="A264" s="46"/>
      <c r="B264" s="46"/>
      <c r="C264" s="46"/>
      <c r="D264" s="151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562" t="s">
        <v>619</v>
      </c>
      <c r="P264" s="562"/>
      <c r="Q264" s="562"/>
      <c r="R264" s="562"/>
      <c r="S264" s="561"/>
      <c r="T264" s="561"/>
      <c r="U264" s="562"/>
      <c r="V264" s="561"/>
      <c r="W264" s="561"/>
      <c r="X264" s="561"/>
      <c r="Y264" s="561"/>
      <c r="Z264" s="561"/>
      <c r="AA264" s="561"/>
      <c r="AB264" s="561" t="s">
        <v>618</v>
      </c>
      <c r="AC264" s="561"/>
      <c r="AD264" s="561">
        <v>150000</v>
      </c>
      <c r="AE264" s="131" t="s">
        <v>733</v>
      </c>
      <c r="AF264" s="16"/>
    </row>
    <row r="265" spans="1:33" s="15" customFormat="1" ht="24" customHeight="1">
      <c r="A265" s="46"/>
      <c r="B265" s="46"/>
      <c r="C265" s="46"/>
      <c r="D265" s="151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562" t="s">
        <v>620</v>
      </c>
      <c r="P265" s="562"/>
      <c r="Q265" s="562"/>
      <c r="R265" s="562"/>
      <c r="S265" s="562"/>
      <c r="T265" s="561"/>
      <c r="U265" s="561"/>
      <c r="V265" s="561"/>
      <c r="W265" s="561"/>
      <c r="X265" s="561"/>
      <c r="Y265" s="561"/>
      <c r="Z265" s="561"/>
      <c r="AA265" s="561"/>
      <c r="AB265" s="277" t="s">
        <v>152</v>
      </c>
      <c r="AC265" s="280"/>
      <c r="AD265" s="277">
        <v>450000</v>
      </c>
      <c r="AE265" s="131" t="s">
        <v>25</v>
      </c>
      <c r="AF265" s="16"/>
    </row>
    <row r="266" spans="1:33" s="15" customFormat="1" ht="24" customHeight="1">
      <c r="A266" s="46"/>
      <c r="B266" s="46"/>
      <c r="C266" s="59"/>
      <c r="D266" s="152"/>
      <c r="E266" s="105"/>
      <c r="F266" s="105"/>
      <c r="G266" s="105"/>
      <c r="H266" s="105"/>
      <c r="I266" s="105"/>
      <c r="J266" s="105"/>
      <c r="K266" s="105"/>
      <c r="L266" s="105"/>
      <c r="M266" s="105"/>
      <c r="N266" s="82"/>
      <c r="O266" s="438"/>
      <c r="P266" s="438"/>
      <c r="Q266" s="438"/>
      <c r="R266" s="438"/>
      <c r="S266" s="438"/>
      <c r="T266" s="437"/>
      <c r="U266" s="437"/>
      <c r="V266" s="437"/>
      <c r="W266" s="437"/>
      <c r="X266" s="437"/>
      <c r="Y266" s="437"/>
      <c r="Z266" s="437"/>
      <c r="AA266" s="437"/>
      <c r="AB266" s="437"/>
      <c r="AC266" s="412"/>
      <c r="AD266" s="452"/>
      <c r="AE266" s="401"/>
      <c r="AF266" s="16"/>
    </row>
    <row r="267" spans="1:33" s="15" customFormat="1" ht="24" customHeight="1">
      <c r="A267" s="46"/>
      <c r="B267" s="46"/>
      <c r="C267" s="36" t="s">
        <v>312</v>
      </c>
      <c r="D267" s="153">
        <v>3010</v>
      </c>
      <c r="E267" s="107">
        <f>ROUND(AD267/1000,0)</f>
        <v>3284</v>
      </c>
      <c r="F267" s="108">
        <f>SUMIF($AB$268:$AB$273,"보조",$AD$268:$AD$273)/1000</f>
        <v>0</v>
      </c>
      <c r="G267" s="108">
        <f>SUMIF($AB$268:$AB$273,"7종",$AD$268:$AD$273)/1000</f>
        <v>0</v>
      </c>
      <c r="H267" s="108">
        <f>SUMIF($AB$268:$AB$273,"4종",$AD$268:$AD$273)/1000</f>
        <v>0</v>
      </c>
      <c r="I267" s="108">
        <f>SUMIF($AB$268:$AB$273,"후원",$AD$268:$AD$273)/1000</f>
        <v>2110</v>
      </c>
      <c r="J267" s="108">
        <f>SUMIF($AB$268:$AB$273,"입소",$AD$268:$AD$273)/1000</f>
        <v>820</v>
      </c>
      <c r="K267" s="108">
        <f>SUMIF($AB$268:$AB$273,"법인",$AD$268:$AD$273)/1000</f>
        <v>0</v>
      </c>
      <c r="L267" s="108">
        <f>SUMIF($AB$268:$AB$273,"잡수",$AD$268:$AD$273)/1000</f>
        <v>354</v>
      </c>
      <c r="M267" s="107">
        <f>E267-D267</f>
        <v>274</v>
      </c>
      <c r="N267" s="115">
        <f>IF(D267=0,0,M267/D267)</f>
        <v>9.102990033222591E-2</v>
      </c>
      <c r="O267" s="288"/>
      <c r="P267" s="305"/>
      <c r="Q267" s="305"/>
      <c r="R267" s="448"/>
      <c r="S267" s="448"/>
      <c r="T267" s="448"/>
      <c r="U267" s="448"/>
      <c r="V267" s="448"/>
      <c r="W267" s="449" t="s">
        <v>130</v>
      </c>
      <c r="X267" s="449"/>
      <c r="Y267" s="449"/>
      <c r="Z267" s="449"/>
      <c r="AA267" s="449"/>
      <c r="AB267" s="449"/>
      <c r="AC267" s="450"/>
      <c r="AD267" s="450">
        <f>SUM(AD268:AD273)</f>
        <v>3284000</v>
      </c>
      <c r="AE267" s="451" t="s">
        <v>25</v>
      </c>
      <c r="AF267" s="16"/>
    </row>
    <row r="268" spans="1:33" s="15" customFormat="1" ht="24" customHeight="1">
      <c r="A268" s="46"/>
      <c r="B268" s="46"/>
      <c r="C268" s="46" t="s">
        <v>313</v>
      </c>
      <c r="D268" s="151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664" t="s">
        <v>818</v>
      </c>
      <c r="P268" s="408"/>
      <c r="Q268" s="408"/>
      <c r="R268" s="408"/>
      <c r="S268" s="589"/>
      <c r="T268" s="297"/>
      <c r="U268" s="297"/>
      <c r="V268" s="589"/>
      <c r="W268" s="590"/>
      <c r="X268" s="589"/>
      <c r="Y268" s="408"/>
      <c r="Z268" s="408"/>
      <c r="AA268" s="408"/>
      <c r="AB268" s="664" t="s">
        <v>814</v>
      </c>
      <c r="AC268" s="664"/>
      <c r="AD268" s="642">
        <v>820000</v>
      </c>
      <c r="AE268" s="643" t="s">
        <v>805</v>
      </c>
      <c r="AF268" s="16"/>
    </row>
    <row r="269" spans="1:33" s="15" customFormat="1" ht="24" customHeight="1">
      <c r="A269" s="46"/>
      <c r="B269" s="46"/>
      <c r="C269" s="46"/>
      <c r="D269" s="151"/>
      <c r="E269" s="103"/>
      <c r="F269" s="103"/>
      <c r="G269" s="103"/>
      <c r="H269" s="103"/>
      <c r="I269" s="103"/>
      <c r="J269" s="103"/>
      <c r="K269" s="103"/>
      <c r="L269" s="103"/>
      <c r="M269" s="103"/>
      <c r="N269" s="68"/>
      <c r="O269" s="408" t="s">
        <v>695</v>
      </c>
      <c r="P269" s="408"/>
      <c r="Q269" s="408"/>
      <c r="R269" s="408"/>
      <c r="S269" s="589"/>
      <c r="T269" s="297"/>
      <c r="U269" s="297"/>
      <c r="V269" s="589"/>
      <c r="W269" s="590"/>
      <c r="X269" s="589"/>
      <c r="Y269" s="408"/>
      <c r="Z269" s="408"/>
      <c r="AA269" s="408"/>
      <c r="AB269" s="408" t="s">
        <v>671</v>
      </c>
      <c r="AC269" s="408"/>
      <c r="AD269" s="444">
        <v>260000</v>
      </c>
      <c r="AE269" s="411" t="s">
        <v>733</v>
      </c>
      <c r="AF269" s="16"/>
    </row>
    <row r="270" spans="1:33" s="15" customFormat="1" ht="24" customHeight="1">
      <c r="A270" s="46"/>
      <c r="B270" s="46"/>
      <c r="C270" s="46"/>
      <c r="D270" s="151"/>
      <c r="E270" s="103"/>
      <c r="F270" s="103"/>
      <c r="G270" s="103"/>
      <c r="H270" s="103"/>
      <c r="I270" s="103"/>
      <c r="J270" s="103"/>
      <c r="K270" s="103"/>
      <c r="L270" s="103"/>
      <c r="M270" s="103"/>
      <c r="N270" s="68"/>
      <c r="O270" s="408" t="s">
        <v>686</v>
      </c>
      <c r="P270" s="408"/>
      <c r="Q270" s="408"/>
      <c r="R270" s="408"/>
      <c r="S270" s="589"/>
      <c r="T270" s="297"/>
      <c r="U270" s="297"/>
      <c r="V270" s="589"/>
      <c r="W270" s="590"/>
      <c r="X270" s="589"/>
      <c r="Y270" s="408"/>
      <c r="Z270" s="408"/>
      <c r="AA270" s="408"/>
      <c r="AB270" s="408" t="s">
        <v>671</v>
      </c>
      <c r="AC270" s="408"/>
      <c r="AD270" s="444">
        <v>1700000</v>
      </c>
      <c r="AE270" s="411" t="s">
        <v>733</v>
      </c>
      <c r="AF270" s="16"/>
    </row>
    <row r="271" spans="1:33" s="15" customFormat="1" ht="24" customHeight="1">
      <c r="A271" s="46"/>
      <c r="B271" s="46"/>
      <c r="C271" s="46"/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408" t="s">
        <v>687</v>
      </c>
      <c r="P271" s="408"/>
      <c r="Q271" s="408"/>
      <c r="R271" s="408"/>
      <c r="S271" s="589"/>
      <c r="T271" s="297"/>
      <c r="U271" s="297"/>
      <c r="V271" s="589"/>
      <c r="W271" s="590"/>
      <c r="X271" s="589"/>
      <c r="Y271" s="408"/>
      <c r="Z271" s="408"/>
      <c r="AA271" s="408"/>
      <c r="AB271" s="408" t="s">
        <v>671</v>
      </c>
      <c r="AC271" s="408"/>
      <c r="AD271" s="444">
        <v>150000</v>
      </c>
      <c r="AE271" s="411" t="s">
        <v>733</v>
      </c>
      <c r="AF271" s="16"/>
    </row>
    <row r="272" spans="1:33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408" t="s">
        <v>688</v>
      </c>
      <c r="P272" s="408"/>
      <c r="Q272" s="408"/>
      <c r="R272" s="408"/>
      <c r="S272" s="589"/>
      <c r="T272" s="297"/>
      <c r="U272" s="297"/>
      <c r="V272" s="589"/>
      <c r="W272" s="590"/>
      <c r="X272" s="589"/>
      <c r="Y272" s="408"/>
      <c r="Z272" s="408"/>
      <c r="AA272" s="408"/>
      <c r="AB272" s="408" t="s">
        <v>91</v>
      </c>
      <c r="AC272" s="408"/>
      <c r="AD272" s="444">
        <v>130000</v>
      </c>
      <c r="AE272" s="411" t="s">
        <v>733</v>
      </c>
      <c r="AF272" s="16"/>
    </row>
    <row r="273" spans="1:32" s="15" customFormat="1" ht="24" customHeight="1">
      <c r="A273" s="46"/>
      <c r="B273" s="46"/>
      <c r="C273" s="59"/>
      <c r="D273" s="152"/>
      <c r="E273" s="105"/>
      <c r="F273" s="105"/>
      <c r="G273" s="105"/>
      <c r="H273" s="105"/>
      <c r="I273" s="105"/>
      <c r="J273" s="105"/>
      <c r="K273" s="105"/>
      <c r="L273" s="105"/>
      <c r="M273" s="105"/>
      <c r="N273" s="82"/>
      <c r="O273" s="666" t="s">
        <v>836</v>
      </c>
      <c r="P273" s="666"/>
      <c r="Q273" s="666"/>
      <c r="R273" s="666"/>
      <c r="S273" s="299"/>
      <c r="T273" s="300"/>
      <c r="U273" s="300"/>
      <c r="V273" s="299"/>
      <c r="W273" s="281"/>
      <c r="X273" s="299"/>
      <c r="Y273" s="666"/>
      <c r="Z273" s="666"/>
      <c r="AA273" s="666"/>
      <c r="AB273" s="666" t="s">
        <v>837</v>
      </c>
      <c r="AC273" s="666"/>
      <c r="AD273" s="667">
        <v>224000</v>
      </c>
      <c r="AE273" s="668" t="s">
        <v>813</v>
      </c>
      <c r="AF273" s="16"/>
    </row>
    <row r="274" spans="1:32" s="15" customFormat="1" ht="24" customHeight="1">
      <c r="A274" s="46"/>
      <c r="B274" s="46"/>
      <c r="C274" s="36" t="s">
        <v>314</v>
      </c>
      <c r="D274" s="153">
        <v>12044</v>
      </c>
      <c r="E274" s="107">
        <f>ROUND(AD274/1000,0)</f>
        <v>12022</v>
      </c>
      <c r="F274" s="108">
        <f>SUMIF($AB$275:$AB$280,"보조",$AD$275:$AD$280)/1000</f>
        <v>0</v>
      </c>
      <c r="G274" s="108">
        <f>SUMIF($AB$275:$AB$280,"7종",$AD$275:$AD$280)/1000</f>
        <v>0</v>
      </c>
      <c r="H274" s="108">
        <f>SUMIF($AB$275:$AB$280,"4종",$AD$275:$AD$280)/1000</f>
        <v>0</v>
      </c>
      <c r="I274" s="108">
        <f>SUMIF($AB$275:$AB$280,"후원",$AD$275:$AD$280)/1000</f>
        <v>12022</v>
      </c>
      <c r="J274" s="108">
        <f>SUMIF($AB$275:$AB$280,"입소",$AD$275:$AD$280)/1000</f>
        <v>0</v>
      </c>
      <c r="K274" s="108">
        <f>SUMIF($AB$275:$AB$280,"법인",$AD$275:$AD$280)/1000</f>
        <v>0</v>
      </c>
      <c r="L274" s="108">
        <f>SUMIF($AB$275:$AB$280,"잡수",$AD$275:$AD$280)/1000</f>
        <v>0</v>
      </c>
      <c r="M274" s="117">
        <f>E274-D274</f>
        <v>-22</v>
      </c>
      <c r="N274" s="115">
        <f>IF(D274=0,0,M274/D274)</f>
        <v>-1.8266356692128861E-3</v>
      </c>
      <c r="O274" s="288"/>
      <c r="P274" s="305"/>
      <c r="Q274" s="305"/>
      <c r="R274" s="448"/>
      <c r="S274" s="448"/>
      <c r="T274" s="448"/>
      <c r="U274" s="448"/>
      <c r="V274" s="448"/>
      <c r="W274" s="449" t="s">
        <v>130</v>
      </c>
      <c r="X274" s="449"/>
      <c r="Y274" s="449"/>
      <c r="Z274" s="449"/>
      <c r="AA274" s="449"/>
      <c r="AB274" s="449"/>
      <c r="AC274" s="450"/>
      <c r="AD274" s="450">
        <f>SUM(AD275:AD280)</f>
        <v>12022000</v>
      </c>
      <c r="AE274" s="451" t="s">
        <v>25</v>
      </c>
      <c r="AF274" s="16"/>
    </row>
    <row r="275" spans="1:32" s="15" customFormat="1" ht="24" customHeight="1">
      <c r="A275" s="46"/>
      <c r="B275" s="46"/>
      <c r="C275" s="46" t="s">
        <v>306</v>
      </c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593" t="s">
        <v>699</v>
      </c>
      <c r="P275" s="408"/>
      <c r="Q275" s="408"/>
      <c r="R275" s="408"/>
      <c r="S275" s="408"/>
      <c r="T275" s="408"/>
      <c r="U275" s="408"/>
      <c r="V275" s="408"/>
      <c r="W275" s="408"/>
      <c r="X275" s="408"/>
      <c r="Y275" s="408"/>
      <c r="Z275" s="408"/>
      <c r="AA275" s="408"/>
      <c r="AB275" s="408" t="s">
        <v>671</v>
      </c>
      <c r="AC275" s="408"/>
      <c r="AD275" s="444">
        <v>1900000</v>
      </c>
      <c r="AE275" s="411" t="s">
        <v>733</v>
      </c>
      <c r="AF275" s="16"/>
    </row>
    <row r="276" spans="1:32" s="15" customFormat="1" ht="24" customHeight="1">
      <c r="A276" s="46"/>
      <c r="B276" s="46"/>
      <c r="C276" s="46"/>
      <c r="D276" s="151"/>
      <c r="E276" s="103"/>
      <c r="F276" s="103"/>
      <c r="G276" s="103"/>
      <c r="H276" s="103"/>
      <c r="I276" s="103"/>
      <c r="J276" s="103"/>
      <c r="K276" s="103"/>
      <c r="L276" s="103"/>
      <c r="M276" s="103"/>
      <c r="N276" s="68"/>
      <c r="O276" s="593" t="s">
        <v>697</v>
      </c>
      <c r="P276" s="408"/>
      <c r="Q276" s="408"/>
      <c r="R276" s="408"/>
      <c r="S276" s="408"/>
      <c r="T276" s="408"/>
      <c r="U276" s="408"/>
      <c r="V276" s="408"/>
      <c r="W276" s="408"/>
      <c r="X276" s="408"/>
      <c r="Y276" s="408"/>
      <c r="Z276" s="408"/>
      <c r="AA276" s="408"/>
      <c r="AB276" s="408" t="s">
        <v>671</v>
      </c>
      <c r="AC276" s="408"/>
      <c r="AD276" s="444">
        <v>3200000</v>
      </c>
      <c r="AE276" s="411" t="s">
        <v>733</v>
      </c>
      <c r="AF276" s="16"/>
    </row>
    <row r="277" spans="1:32" s="15" customFormat="1" ht="24" customHeight="1">
      <c r="A277" s="46"/>
      <c r="B277" s="46"/>
      <c r="C277" s="46"/>
      <c r="D277" s="151"/>
      <c r="E277" s="103"/>
      <c r="F277" s="103"/>
      <c r="G277" s="103"/>
      <c r="H277" s="103"/>
      <c r="I277" s="103"/>
      <c r="J277" s="103"/>
      <c r="K277" s="103"/>
      <c r="L277" s="103"/>
      <c r="M277" s="103"/>
      <c r="N277" s="68"/>
      <c r="O277" s="593" t="s">
        <v>698</v>
      </c>
      <c r="P277" s="408"/>
      <c r="Q277" s="408"/>
      <c r="R277" s="408"/>
      <c r="S277" s="408"/>
      <c r="T277" s="408"/>
      <c r="U277" s="408"/>
      <c r="V277" s="408"/>
      <c r="W277" s="408"/>
      <c r="X277" s="408"/>
      <c r="Y277" s="408" t="s">
        <v>910</v>
      </c>
      <c r="Z277" s="408"/>
      <c r="AA277" s="408"/>
      <c r="AB277" s="408" t="s">
        <v>671</v>
      </c>
      <c r="AC277" s="408"/>
      <c r="AD277" s="444">
        <v>2000000</v>
      </c>
      <c r="AE277" s="411" t="s">
        <v>733</v>
      </c>
      <c r="AF277" s="16"/>
    </row>
    <row r="278" spans="1:32" s="15" customFormat="1" ht="24" customHeight="1">
      <c r="A278" s="46"/>
      <c r="B278" s="46"/>
      <c r="C278" s="46"/>
      <c r="D278" s="151"/>
      <c r="E278" s="103"/>
      <c r="F278" s="103"/>
      <c r="G278" s="103"/>
      <c r="H278" s="103"/>
      <c r="I278" s="103"/>
      <c r="J278" s="103"/>
      <c r="K278" s="103"/>
      <c r="L278" s="103"/>
      <c r="M278" s="103"/>
      <c r="N278" s="68"/>
      <c r="O278" s="440" t="s">
        <v>315</v>
      </c>
      <c r="P278" s="408"/>
      <c r="Q278" s="408"/>
      <c r="R278" s="408"/>
      <c r="S278" s="408"/>
      <c r="T278" s="408"/>
      <c r="U278" s="408"/>
      <c r="V278" s="408"/>
      <c r="W278" s="408"/>
      <c r="X278" s="408"/>
      <c r="Y278" s="408" t="s">
        <v>564</v>
      </c>
      <c r="Z278" s="408"/>
      <c r="AA278" s="408"/>
      <c r="AB278" s="408" t="s">
        <v>563</v>
      </c>
      <c r="AC278" s="408"/>
      <c r="AD278" s="444">
        <v>1800000</v>
      </c>
      <c r="AE278" s="411" t="s">
        <v>733</v>
      </c>
      <c r="AF278" s="16"/>
    </row>
    <row r="279" spans="1:32" s="15" customFormat="1" ht="24" customHeight="1">
      <c r="A279" s="46"/>
      <c r="B279" s="46"/>
      <c r="C279" s="46"/>
      <c r="D279" s="151"/>
      <c r="E279" s="103"/>
      <c r="F279" s="103"/>
      <c r="G279" s="103"/>
      <c r="H279" s="103"/>
      <c r="I279" s="103"/>
      <c r="J279" s="103"/>
      <c r="K279" s="103"/>
      <c r="L279" s="103"/>
      <c r="M279" s="103"/>
      <c r="N279" s="68"/>
      <c r="O279" s="436" t="s">
        <v>783</v>
      </c>
      <c r="P279" s="408"/>
      <c r="Q279" s="408"/>
      <c r="R279" s="408"/>
      <c r="S279" s="408"/>
      <c r="T279" s="408"/>
      <c r="U279" s="408"/>
      <c r="V279" s="408"/>
      <c r="W279" s="408"/>
      <c r="X279" s="408"/>
      <c r="Y279" s="408" t="s">
        <v>562</v>
      </c>
      <c r="Z279" s="408"/>
      <c r="AA279" s="408"/>
      <c r="AB279" s="408" t="s">
        <v>782</v>
      </c>
      <c r="AC279" s="408"/>
      <c r="AD279" s="642">
        <v>1122000</v>
      </c>
      <c r="AE279" s="643" t="s">
        <v>784</v>
      </c>
      <c r="AF279" s="16"/>
    </row>
    <row r="280" spans="1:32" s="15" customFormat="1" ht="24" customHeight="1">
      <c r="A280" s="46"/>
      <c r="B280" s="46"/>
      <c r="C280" s="59"/>
      <c r="D280" s="152"/>
      <c r="E280" s="105"/>
      <c r="F280" s="105"/>
      <c r="G280" s="105"/>
      <c r="H280" s="105"/>
      <c r="I280" s="105"/>
      <c r="J280" s="105"/>
      <c r="K280" s="105"/>
      <c r="L280" s="105"/>
      <c r="M280" s="105"/>
      <c r="N280" s="82"/>
      <c r="O280" s="656" t="s">
        <v>834</v>
      </c>
      <c r="P280" s="656"/>
      <c r="Q280" s="656"/>
      <c r="R280" s="656"/>
      <c r="S280" s="656"/>
      <c r="T280" s="655"/>
      <c r="U280" s="655"/>
      <c r="V280" s="655"/>
      <c r="W280" s="655"/>
      <c r="X280" s="655"/>
      <c r="Y280" s="655"/>
      <c r="Z280" s="655"/>
      <c r="AA280" s="655"/>
      <c r="AB280" s="655" t="s">
        <v>820</v>
      </c>
      <c r="AC280" s="412"/>
      <c r="AD280" s="452">
        <v>2000000</v>
      </c>
      <c r="AE280" s="401" t="s">
        <v>805</v>
      </c>
      <c r="AF280" s="16"/>
    </row>
    <row r="281" spans="1:32" s="15" customFormat="1" ht="24" customHeight="1">
      <c r="A281" s="46"/>
      <c r="B281" s="46"/>
      <c r="C281" s="36" t="s">
        <v>316</v>
      </c>
      <c r="D281" s="153">
        <v>7936</v>
      </c>
      <c r="E281" s="107">
        <f>ROUND(AD281/1000,0)</f>
        <v>8736</v>
      </c>
      <c r="F281" s="108">
        <f>SUMIF($AB$282:$AB$289,"보조",$AD$282:$AD$289)/1000</f>
        <v>0</v>
      </c>
      <c r="G281" s="108">
        <f>SUMIF($AB$282:$AB$289,"7종",$AD$282:$AD$289)/1000</f>
        <v>0</v>
      </c>
      <c r="H281" s="108">
        <f>SUMIF($AB$282:$AB$289,"4종",$AD$282:$AD$289)/1000</f>
        <v>0</v>
      </c>
      <c r="I281" s="108">
        <f>SUMIF($AB$282:$AB$289,"후원",$AD$282:$AD$289)/1000</f>
        <v>2186</v>
      </c>
      <c r="J281" s="108">
        <f>SUMIF($AB$282:$AB$289,"입소",$AD$282:$AD$289)/1000</f>
        <v>6550</v>
      </c>
      <c r="K281" s="108">
        <f>SUMIF($AB$282:$AB$289,"법인",$AD$282:$AD$289)/1000</f>
        <v>0</v>
      </c>
      <c r="L281" s="108">
        <f>SUMIF($AB$282:$AB$289,"잡수",$AD$282:$AD$289)/1000</f>
        <v>0</v>
      </c>
      <c r="M281" s="107">
        <f>E281-D281</f>
        <v>800</v>
      </c>
      <c r="N281" s="115">
        <f>IF(D281=0,0,M281/D281)</f>
        <v>0.10080645161290322</v>
      </c>
      <c r="O281" s="309"/>
      <c r="P281" s="309"/>
      <c r="Q281" s="309"/>
      <c r="R281" s="309"/>
      <c r="S281" s="309"/>
      <c r="T281" s="293"/>
      <c r="U281" s="293"/>
      <c r="V281" s="293"/>
      <c r="W281" s="449" t="s">
        <v>130</v>
      </c>
      <c r="X281" s="449"/>
      <c r="Y281" s="449"/>
      <c r="Z281" s="449"/>
      <c r="AA281" s="449"/>
      <c r="AB281" s="449"/>
      <c r="AC281" s="450"/>
      <c r="AD281" s="450">
        <f>SUM(AD282:AD288)</f>
        <v>8736000</v>
      </c>
      <c r="AE281" s="451" t="s">
        <v>25</v>
      </c>
      <c r="AF281" s="16"/>
    </row>
    <row r="282" spans="1:32" s="15" customFormat="1" ht="24" customHeight="1">
      <c r="A282" s="46"/>
      <c r="B282" s="46"/>
      <c r="C282" s="46" t="s">
        <v>306</v>
      </c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593" t="s">
        <v>700</v>
      </c>
      <c r="P282" s="562"/>
      <c r="Q282" s="562"/>
      <c r="R282" s="562"/>
      <c r="S282" s="562"/>
      <c r="T282" s="561"/>
      <c r="U282" s="561"/>
      <c r="V282" s="561"/>
      <c r="W282" s="561"/>
      <c r="X282" s="561"/>
      <c r="Y282" s="561"/>
      <c r="Z282" s="561"/>
      <c r="AA282" s="575"/>
      <c r="AB282" s="622" t="s">
        <v>752</v>
      </c>
      <c r="AC282" s="130"/>
      <c r="AD282" s="582">
        <v>1750000</v>
      </c>
      <c r="AE282" s="131" t="s">
        <v>56</v>
      </c>
      <c r="AF282" s="578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593" t="s">
        <v>702</v>
      </c>
      <c r="P283" s="574"/>
      <c r="Q283" s="574"/>
      <c r="R283" s="574"/>
      <c r="S283" s="574"/>
      <c r="T283" s="573"/>
      <c r="U283" s="573"/>
      <c r="V283" s="573"/>
      <c r="W283" s="573"/>
      <c r="X283" s="573"/>
      <c r="Y283" s="573"/>
      <c r="Z283" s="573"/>
      <c r="AA283" s="575"/>
      <c r="AB283" s="622" t="s">
        <v>752</v>
      </c>
      <c r="AC283" s="130"/>
      <c r="AD283" s="582">
        <v>1710000</v>
      </c>
      <c r="AE283" s="131" t="s">
        <v>56</v>
      </c>
      <c r="AF283" s="578"/>
    </row>
    <row r="284" spans="1:32" s="15" customFormat="1" ht="24" customHeight="1">
      <c r="A284" s="46"/>
      <c r="B284" s="46"/>
      <c r="C284" s="46"/>
      <c r="D284" s="151"/>
      <c r="E284" s="103"/>
      <c r="F284" s="103"/>
      <c r="G284" s="103"/>
      <c r="H284" s="103"/>
      <c r="I284" s="103"/>
      <c r="J284" s="103"/>
      <c r="K284" s="103"/>
      <c r="L284" s="103"/>
      <c r="M284" s="103"/>
      <c r="N284" s="68"/>
      <c r="O284" s="408" t="s">
        <v>701</v>
      </c>
      <c r="P284" s="402"/>
      <c r="Q284" s="402"/>
      <c r="R284" s="398"/>
      <c r="S284" s="398"/>
      <c r="T284" s="398"/>
      <c r="U284" s="398"/>
      <c r="V284" s="398"/>
      <c r="W284" s="561"/>
      <c r="X284" s="561"/>
      <c r="Y284" s="561"/>
      <c r="Z284" s="561"/>
      <c r="AA284" s="575"/>
      <c r="AB284" s="592" t="s">
        <v>152</v>
      </c>
      <c r="AC284" s="598"/>
      <c r="AD284" s="598">
        <v>935000</v>
      </c>
      <c r="AE284" s="131" t="s">
        <v>56</v>
      </c>
      <c r="AF284" s="578"/>
    </row>
    <row r="285" spans="1:32" s="15" customFormat="1" ht="24" customHeight="1">
      <c r="A285" s="46"/>
      <c r="B285" s="46"/>
      <c r="C285" s="46"/>
      <c r="D285" s="151"/>
      <c r="E285" s="103"/>
      <c r="F285" s="103"/>
      <c r="G285" s="103"/>
      <c r="H285" s="103"/>
      <c r="I285" s="103"/>
      <c r="J285" s="103"/>
      <c r="K285" s="103"/>
      <c r="L285" s="103"/>
      <c r="M285" s="103"/>
      <c r="N285" s="68"/>
      <c r="O285" s="408"/>
      <c r="P285" s="402"/>
      <c r="Q285" s="402"/>
      <c r="R285" s="398"/>
      <c r="S285" s="398"/>
      <c r="T285" s="398"/>
      <c r="U285" s="398"/>
      <c r="V285" s="398"/>
      <c r="W285" s="592"/>
      <c r="X285" s="592"/>
      <c r="Y285" s="592"/>
      <c r="Z285" s="592"/>
      <c r="AA285" s="592"/>
      <c r="AB285" s="592" t="s">
        <v>725</v>
      </c>
      <c r="AC285" s="598"/>
      <c r="AD285" s="598">
        <v>765000</v>
      </c>
      <c r="AE285" s="131" t="s">
        <v>56</v>
      </c>
      <c r="AF285" s="578"/>
    </row>
    <row r="286" spans="1:32" s="15" customFormat="1" ht="24" customHeight="1">
      <c r="A286" s="46"/>
      <c r="B286" s="46"/>
      <c r="C286" s="46"/>
      <c r="D286" s="151"/>
      <c r="E286" s="103"/>
      <c r="F286" s="103"/>
      <c r="G286" s="103"/>
      <c r="H286" s="103"/>
      <c r="I286" s="103"/>
      <c r="J286" s="103"/>
      <c r="K286" s="103"/>
      <c r="L286" s="103"/>
      <c r="M286" s="103"/>
      <c r="N286" s="68"/>
      <c r="O286" s="408" t="s">
        <v>703</v>
      </c>
      <c r="P286" s="402"/>
      <c r="Q286" s="402"/>
      <c r="R286" s="398"/>
      <c r="S286" s="398"/>
      <c r="T286" s="398"/>
      <c r="U286" s="398"/>
      <c r="V286" s="398"/>
      <c r="W286" s="573"/>
      <c r="X286" s="573"/>
      <c r="Y286" s="573"/>
      <c r="Z286" s="573"/>
      <c r="AA286" s="575"/>
      <c r="AB286" s="408" t="s">
        <v>152</v>
      </c>
      <c r="AC286" s="408"/>
      <c r="AD286" s="598">
        <v>1215000</v>
      </c>
      <c r="AE286" s="411" t="s">
        <v>56</v>
      </c>
      <c r="AF286" s="578"/>
    </row>
    <row r="287" spans="1:32" s="15" customFormat="1" ht="24" customHeight="1">
      <c r="A287" s="46"/>
      <c r="B287" s="46"/>
      <c r="C287" s="46"/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408"/>
      <c r="P287" s="402"/>
      <c r="Q287" s="402"/>
      <c r="R287" s="398"/>
      <c r="S287" s="398"/>
      <c r="T287" s="398"/>
      <c r="U287" s="398"/>
      <c r="V287" s="398"/>
      <c r="W287" s="592"/>
      <c r="X287" s="592"/>
      <c r="Y287" s="592"/>
      <c r="Z287" s="592"/>
      <c r="AA287" s="592"/>
      <c r="AB287" s="664" t="s">
        <v>884</v>
      </c>
      <c r="AC287" s="664"/>
      <c r="AD287" s="533">
        <v>2325000</v>
      </c>
      <c r="AE287" s="643" t="s">
        <v>865</v>
      </c>
      <c r="AF287" s="578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408" t="s">
        <v>704</v>
      </c>
      <c r="P288" s="408"/>
      <c r="Q288" s="408"/>
      <c r="R288" s="408"/>
      <c r="S288" s="408"/>
      <c r="T288" s="408"/>
      <c r="U288" s="408"/>
      <c r="V288" s="408"/>
      <c r="W288" s="408"/>
      <c r="X288" s="408"/>
      <c r="Y288" s="408"/>
      <c r="Z288" s="408"/>
      <c r="AA288" s="408"/>
      <c r="AB288" s="408" t="s">
        <v>152</v>
      </c>
      <c r="AC288" s="408"/>
      <c r="AD288" s="130">
        <v>36000</v>
      </c>
      <c r="AE288" s="411" t="s">
        <v>56</v>
      </c>
      <c r="AF288" s="578"/>
    </row>
    <row r="289" spans="1:32" s="15" customFormat="1" ht="24" customHeight="1">
      <c r="A289" s="46"/>
      <c r="B289" s="46"/>
      <c r="C289" s="59"/>
      <c r="D289" s="152"/>
      <c r="E289" s="105"/>
      <c r="F289" s="105"/>
      <c r="G289" s="105"/>
      <c r="H289" s="105"/>
      <c r="I289" s="105"/>
      <c r="J289" s="105"/>
      <c r="K289" s="105"/>
      <c r="L289" s="105"/>
      <c r="M289" s="105"/>
      <c r="N289" s="82"/>
      <c r="O289" s="445"/>
      <c r="P289" s="445"/>
      <c r="Q289" s="445"/>
      <c r="R289" s="445"/>
      <c r="S289" s="445"/>
      <c r="T289" s="445"/>
      <c r="U289" s="445"/>
      <c r="V289" s="445"/>
      <c r="W289" s="445"/>
      <c r="X289" s="445"/>
      <c r="Y289" s="445"/>
      <c r="Z289" s="445"/>
      <c r="AA289" s="445"/>
      <c r="AB289" s="445"/>
      <c r="AC289" s="445"/>
      <c r="AD289" s="446"/>
      <c r="AE289" s="447"/>
      <c r="AF289" s="16"/>
    </row>
    <row r="290" spans="1:32" s="15" customFormat="1" ht="24" customHeight="1">
      <c r="A290" s="46"/>
      <c r="B290" s="46"/>
      <c r="C290" s="116" t="s">
        <v>739</v>
      </c>
      <c r="D290" s="153">
        <v>5382</v>
      </c>
      <c r="E290" s="107">
        <f>ROUND(AD290/1000,0)</f>
        <v>5382</v>
      </c>
      <c r="F290" s="108">
        <f>SUMIF($AB$291:$AB$293,"보조",$AD$291:$AD$293)/1000</f>
        <v>0</v>
      </c>
      <c r="G290" s="108">
        <f>SUMIF($AB$291:$AB$293,"7종",$AD$291:$AD$293)/1000</f>
        <v>0</v>
      </c>
      <c r="H290" s="108">
        <f>SUMIF($AB$291:$AB$293,"4종",$AD$291:$AD$293)/1000</f>
        <v>0</v>
      </c>
      <c r="I290" s="108">
        <f>SUMIF($AB$291:$AB$293,"후원",$AD$291:$AD$293)/1000</f>
        <v>3500</v>
      </c>
      <c r="J290" s="108">
        <f>SUMIF($AB$291:$AB$293,"입소",$AD$291:$AD$293)/1000</f>
        <v>1882</v>
      </c>
      <c r="K290" s="108">
        <f>SUMIF($AB$291:$AB$293,"법인",$AD$291:$AD$293)/1000</f>
        <v>0</v>
      </c>
      <c r="L290" s="108">
        <f>SUMIF($AB$291:$AB$293,"잡수",$AD$291:$AD$293)/1000</f>
        <v>0</v>
      </c>
      <c r="M290" s="117">
        <f>E290-D290</f>
        <v>0</v>
      </c>
      <c r="N290" s="115">
        <f>IF(D290=0,0,M290/D290)</f>
        <v>0</v>
      </c>
      <c r="O290" s="453"/>
      <c r="P290" s="453"/>
      <c r="Q290" s="453"/>
      <c r="R290" s="453"/>
      <c r="S290" s="453"/>
      <c r="T290" s="453"/>
      <c r="U290" s="453"/>
      <c r="V290" s="453"/>
      <c r="W290" s="449" t="s">
        <v>130</v>
      </c>
      <c r="X290" s="449"/>
      <c r="Y290" s="449"/>
      <c r="Z290" s="449"/>
      <c r="AA290" s="449"/>
      <c r="AB290" s="449"/>
      <c r="AC290" s="450"/>
      <c r="AD290" s="450">
        <f>SUM(AD291:AD293)</f>
        <v>5382000</v>
      </c>
      <c r="AE290" s="451" t="s">
        <v>25</v>
      </c>
      <c r="AF290" s="16"/>
    </row>
    <row r="291" spans="1:32" s="15" customFormat="1" ht="24" customHeight="1">
      <c r="A291" s="46"/>
      <c r="B291" s="46"/>
      <c r="C291" s="612" t="s">
        <v>740</v>
      </c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408" t="s">
        <v>708</v>
      </c>
      <c r="P291" s="408"/>
      <c r="Q291" s="408"/>
      <c r="R291" s="408"/>
      <c r="S291" s="575"/>
      <c r="T291" s="297" t="s">
        <v>621</v>
      </c>
      <c r="U291" s="297" t="s">
        <v>26</v>
      </c>
      <c r="V291" s="575"/>
      <c r="W291" s="576" t="s">
        <v>627</v>
      </c>
      <c r="X291" s="575"/>
      <c r="Y291" s="408"/>
      <c r="Z291" s="408" t="s">
        <v>629</v>
      </c>
      <c r="AA291" s="408"/>
      <c r="AB291" s="408" t="s">
        <v>631</v>
      </c>
      <c r="AC291" s="408"/>
      <c r="AD291" s="444">
        <v>608000</v>
      </c>
      <c r="AE291" s="411" t="s">
        <v>733</v>
      </c>
      <c r="AF291" s="16"/>
    </row>
    <row r="292" spans="1:32" s="15" customFormat="1" ht="24" customHeight="1">
      <c r="A292" s="46"/>
      <c r="B292" s="46"/>
      <c r="C292" s="46"/>
      <c r="D292" s="151"/>
      <c r="E292" s="103"/>
      <c r="F292" s="103"/>
      <c r="G292" s="103"/>
      <c r="H292" s="103"/>
      <c r="I292" s="103"/>
      <c r="J292" s="103"/>
      <c r="K292" s="103"/>
      <c r="L292" s="103"/>
      <c r="M292" s="103"/>
      <c r="N292" s="68"/>
      <c r="O292" s="408" t="s">
        <v>796</v>
      </c>
      <c r="P292" s="408"/>
      <c r="Q292" s="408"/>
      <c r="R292" s="408"/>
      <c r="S292" s="575"/>
      <c r="T292" s="297" t="s">
        <v>621</v>
      </c>
      <c r="U292" s="297" t="s">
        <v>26</v>
      </c>
      <c r="V292" s="575"/>
      <c r="W292" s="576" t="s">
        <v>627</v>
      </c>
      <c r="X292" s="575"/>
      <c r="Y292" s="408" t="s">
        <v>706</v>
      </c>
      <c r="Z292" s="408"/>
      <c r="AA292" s="408"/>
      <c r="AB292" s="408" t="s">
        <v>152</v>
      </c>
      <c r="AC292" s="408"/>
      <c r="AD292" s="444">
        <v>3500000</v>
      </c>
      <c r="AE292" s="411" t="s">
        <v>805</v>
      </c>
      <c r="AF292" s="16"/>
    </row>
    <row r="293" spans="1:32" s="15" customFormat="1" ht="24" customHeight="1">
      <c r="A293" s="46"/>
      <c r="B293" s="46"/>
      <c r="C293" s="59"/>
      <c r="D293" s="152"/>
      <c r="E293" s="105"/>
      <c r="F293" s="105"/>
      <c r="G293" s="105"/>
      <c r="H293" s="105"/>
      <c r="I293" s="105"/>
      <c r="J293" s="105"/>
      <c r="K293" s="105"/>
      <c r="L293" s="105"/>
      <c r="M293" s="105"/>
      <c r="N293" s="82"/>
      <c r="O293" s="445"/>
      <c r="P293" s="445"/>
      <c r="Q293" s="445"/>
      <c r="R293" s="445"/>
      <c r="S293" s="575"/>
      <c r="T293" s="297" t="s">
        <v>621</v>
      </c>
      <c r="U293" s="297" t="s">
        <v>26</v>
      </c>
      <c r="V293" s="575"/>
      <c r="W293" s="576" t="s">
        <v>627</v>
      </c>
      <c r="X293" s="575"/>
      <c r="Y293" s="408"/>
      <c r="Z293" s="408" t="s">
        <v>629</v>
      </c>
      <c r="AA293" s="408"/>
      <c r="AB293" s="408" t="s">
        <v>213</v>
      </c>
      <c r="AC293" s="408"/>
      <c r="AD293" s="444">
        <v>1274000</v>
      </c>
      <c r="AE293" s="411" t="s">
        <v>733</v>
      </c>
      <c r="AF293" s="16"/>
    </row>
    <row r="294" spans="1:32" s="15" customFormat="1" ht="24" customHeight="1">
      <c r="A294" s="46"/>
      <c r="B294" s="46"/>
      <c r="C294" s="36" t="s">
        <v>317</v>
      </c>
      <c r="D294" s="153">
        <v>22694</v>
      </c>
      <c r="E294" s="107">
        <f>ROUND(AD294/1000,0)</f>
        <v>22694</v>
      </c>
      <c r="F294" s="108">
        <f>SUMIF($AB$295:$AB$298,"보조",$AD$295:$AD$298)/1000</f>
        <v>0</v>
      </c>
      <c r="G294" s="108">
        <f>SUMIF($AB$295:$AB$298,"7종",$AD$295:$AD$298)/1000</f>
        <v>5000</v>
      </c>
      <c r="H294" s="108">
        <f>SUMIF($AB$295:$AB$298,"4종",$AD$295:$AD$298)/1000</f>
        <v>0</v>
      </c>
      <c r="I294" s="108">
        <f>SUMIF($AB$295:$AB$298,"후원",$AD$295:$AD$298)/1000</f>
        <v>17694</v>
      </c>
      <c r="J294" s="108">
        <f>SUMIF($AB$295:$AB$298,"입소",$AD$295:$AD$298)/1000</f>
        <v>0</v>
      </c>
      <c r="K294" s="108">
        <f>SUMIF($AB$295:$AB$298,"법인",$AD$295:$AD$298)/1000</f>
        <v>0</v>
      </c>
      <c r="L294" s="108">
        <f>SUMIF($AB$295:$AB$298,"잡수",$AD$295:$AD$298)/1000</f>
        <v>0</v>
      </c>
      <c r="M294" s="107">
        <f>E294-D294</f>
        <v>0</v>
      </c>
      <c r="N294" s="115">
        <f>IF(D294=0,0,M294/D294)</f>
        <v>0</v>
      </c>
      <c r="O294" s="288"/>
      <c r="P294" s="305"/>
      <c r="Q294" s="305"/>
      <c r="R294" s="448"/>
      <c r="S294" s="448"/>
      <c r="T294" s="448"/>
      <c r="U294" s="448"/>
      <c r="V294" s="448"/>
      <c r="W294" s="449" t="s">
        <v>130</v>
      </c>
      <c r="X294" s="449"/>
      <c r="Y294" s="449"/>
      <c r="Z294" s="449"/>
      <c r="AA294" s="449"/>
      <c r="AB294" s="449"/>
      <c r="AC294" s="450"/>
      <c r="AD294" s="450">
        <f>SUM(AD295:AD298)</f>
        <v>22694000</v>
      </c>
      <c r="AE294" s="451" t="s">
        <v>25</v>
      </c>
      <c r="AF294" s="16"/>
    </row>
    <row r="295" spans="1:32" s="15" customFormat="1" ht="24" customHeight="1">
      <c r="A295" s="46"/>
      <c r="B295" s="46"/>
      <c r="C295" s="46" t="s">
        <v>318</v>
      </c>
      <c r="D295" s="151"/>
      <c r="E295" s="103"/>
      <c r="F295" s="103"/>
      <c r="G295" s="103"/>
      <c r="H295" s="103"/>
      <c r="I295" s="103"/>
      <c r="J295" s="103"/>
      <c r="K295" s="103"/>
      <c r="L295" s="103"/>
      <c r="M295" s="103"/>
      <c r="N295" s="68"/>
      <c r="O295" s="408" t="s">
        <v>705</v>
      </c>
      <c r="P295" s="408"/>
      <c r="Q295" s="408"/>
      <c r="R295" s="408"/>
      <c r="S295" s="408"/>
      <c r="T295" s="408"/>
      <c r="U295" s="408"/>
      <c r="V295" s="408"/>
      <c r="W295" s="408"/>
      <c r="X295" s="408"/>
      <c r="Y295" s="408" t="s">
        <v>706</v>
      </c>
      <c r="Z295" s="408"/>
      <c r="AA295" s="408"/>
      <c r="AB295" s="408" t="s">
        <v>671</v>
      </c>
      <c r="AC295" s="408"/>
      <c r="AD295" s="444">
        <v>15000000</v>
      </c>
      <c r="AE295" s="411" t="s">
        <v>733</v>
      </c>
      <c r="AF295" s="16"/>
    </row>
    <row r="296" spans="1:32" s="15" customFormat="1" ht="24" customHeight="1">
      <c r="A296" s="46"/>
      <c r="B296" s="46"/>
      <c r="C296" s="46" t="s">
        <v>306</v>
      </c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408" t="s">
        <v>707</v>
      </c>
      <c r="P296" s="408"/>
      <c r="Q296" s="408"/>
      <c r="R296" s="408"/>
      <c r="S296" s="408"/>
      <c r="T296" s="408"/>
      <c r="U296" s="408"/>
      <c r="V296" s="408"/>
      <c r="W296" s="408"/>
      <c r="X296" s="408"/>
      <c r="Y296" s="408"/>
      <c r="Z296" s="408"/>
      <c r="AA296" s="408"/>
      <c r="AB296" s="408" t="s">
        <v>203</v>
      </c>
      <c r="AC296" s="408"/>
      <c r="AD296" s="444">
        <v>5000000</v>
      </c>
      <c r="AE296" s="411" t="s">
        <v>733</v>
      </c>
      <c r="AF296" s="16"/>
    </row>
    <row r="297" spans="1:32" s="15" customFormat="1" ht="24" customHeight="1">
      <c r="A297" s="46"/>
      <c r="B297" s="46"/>
      <c r="C297" s="46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408"/>
      <c r="P297" s="408"/>
      <c r="Q297" s="408"/>
      <c r="R297" s="408"/>
      <c r="S297" s="408"/>
      <c r="T297" s="408"/>
      <c r="U297" s="408"/>
      <c r="V297" s="408"/>
      <c r="W297" s="408"/>
      <c r="X297" s="408"/>
      <c r="Y297" s="408"/>
      <c r="Z297" s="408"/>
      <c r="AA297" s="408"/>
      <c r="AB297" s="408" t="s">
        <v>152</v>
      </c>
      <c r="AC297" s="408"/>
      <c r="AD297" s="444">
        <v>2694000</v>
      </c>
      <c r="AE297" s="411" t="s">
        <v>733</v>
      </c>
      <c r="AF297" s="16"/>
    </row>
    <row r="298" spans="1:32" s="15" customFormat="1" ht="24" customHeight="1">
      <c r="A298" s="46"/>
      <c r="B298" s="46"/>
      <c r="C298" s="46"/>
      <c r="D298" s="151"/>
      <c r="E298" s="103"/>
      <c r="F298" s="103"/>
      <c r="G298" s="103"/>
      <c r="H298" s="103"/>
      <c r="I298" s="103"/>
      <c r="J298" s="103"/>
      <c r="K298" s="103"/>
      <c r="L298" s="103"/>
      <c r="M298" s="103"/>
      <c r="N298" s="68"/>
      <c r="O298" s="408"/>
      <c r="P298" s="408"/>
      <c r="Q298" s="408"/>
      <c r="R298" s="408"/>
      <c r="S298" s="408"/>
      <c r="T298" s="408"/>
      <c r="U298" s="408"/>
      <c r="V298" s="408"/>
      <c r="W298" s="408"/>
      <c r="X298" s="408"/>
      <c r="Y298" s="408"/>
      <c r="Z298" s="408"/>
      <c r="AA298" s="408"/>
      <c r="AB298" s="408"/>
      <c r="AC298" s="408"/>
      <c r="AD298" s="444"/>
      <c r="AE298" s="411"/>
      <c r="AF298" s="16"/>
    </row>
    <row r="299" spans="1:32" s="15" customFormat="1" ht="24" customHeight="1">
      <c r="A299" s="46"/>
      <c r="B299" s="46"/>
      <c r="C299" s="116" t="s">
        <v>741</v>
      </c>
      <c r="D299" s="153">
        <v>6335</v>
      </c>
      <c r="E299" s="107">
        <f>ROUND(AD299/1000,0)</f>
        <v>5135</v>
      </c>
      <c r="F299" s="108">
        <f>SUMIF($AB$300:$AB$305,"보조",$AD$300:$AD$305)/1000</f>
        <v>2430</v>
      </c>
      <c r="G299" s="108">
        <f>SUMIF($AB$300:$AB$305,"7종",$AD$300:$AD$305)/1000</f>
        <v>0</v>
      </c>
      <c r="H299" s="108">
        <f>SUMIF($AB$300:$AB$305,"4종",$AD$300:$AD$305)/1000</f>
        <v>0</v>
      </c>
      <c r="I299" s="108">
        <f>SUMIF($AB$300:$AB$305,"후원",$AD$300:$AD$305)/1000</f>
        <v>1481</v>
      </c>
      <c r="J299" s="108">
        <f>SUMIF($AB$300:$AB$305,"입소",$AD$300:$AD$305)/1000</f>
        <v>1224</v>
      </c>
      <c r="K299" s="108">
        <f>SUMIF($AB$300:$AB$305,"법인",$AD$300:$AD$305)/1000</f>
        <v>0</v>
      </c>
      <c r="L299" s="108">
        <f>SUMIF($AB$300:$AB$305,"잡수",$AD$300:$AD$305)/1000</f>
        <v>0</v>
      </c>
      <c r="M299" s="107">
        <f>E299-D299</f>
        <v>-1200</v>
      </c>
      <c r="N299" s="115">
        <f>IF(D299=0,0,M299/D299)</f>
        <v>-0.18942383583267561</v>
      </c>
      <c r="O299" s="288"/>
      <c r="P299" s="305"/>
      <c r="Q299" s="305"/>
      <c r="R299" s="448"/>
      <c r="S299" s="448"/>
      <c r="T299" s="448"/>
      <c r="U299" s="448"/>
      <c r="V299" s="448"/>
      <c r="W299" s="449" t="s">
        <v>130</v>
      </c>
      <c r="X299" s="449"/>
      <c r="Y299" s="449"/>
      <c r="Z299" s="449"/>
      <c r="AA299" s="449"/>
      <c r="AB299" s="449"/>
      <c r="AC299" s="450"/>
      <c r="AD299" s="450">
        <f>SUM(AD300:AD304)</f>
        <v>5135000</v>
      </c>
      <c r="AE299" s="451" t="s">
        <v>25</v>
      </c>
      <c r="AF299" s="16"/>
    </row>
    <row r="300" spans="1:32" s="15" customFormat="1" ht="24" customHeight="1">
      <c r="A300" s="46"/>
      <c r="B300" s="46"/>
      <c r="C300" s="612" t="s">
        <v>740</v>
      </c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593" t="s">
        <v>709</v>
      </c>
      <c r="P300" s="402"/>
      <c r="Q300" s="402"/>
      <c r="R300" s="398"/>
      <c r="S300" s="398"/>
      <c r="T300" s="398"/>
      <c r="U300" s="398"/>
      <c r="V300" s="398"/>
      <c r="W300" s="439"/>
      <c r="X300" s="439"/>
      <c r="Y300" s="439"/>
      <c r="Z300" s="439"/>
      <c r="AA300" s="439"/>
      <c r="AB300" s="441" t="s">
        <v>342</v>
      </c>
      <c r="AC300" s="130"/>
      <c r="AD300" s="130">
        <v>315000</v>
      </c>
      <c r="AE300" s="131" t="s">
        <v>733</v>
      </c>
      <c r="AF300" s="16"/>
    </row>
    <row r="301" spans="1:32" s="15" customFormat="1" ht="24" customHeight="1">
      <c r="A301" s="46"/>
      <c r="B301" s="46"/>
      <c r="C301" s="612"/>
      <c r="D301" s="151"/>
      <c r="E301" s="103"/>
      <c r="F301" s="103"/>
      <c r="G301" s="103"/>
      <c r="H301" s="103"/>
      <c r="I301" s="103"/>
      <c r="J301" s="103"/>
      <c r="K301" s="103"/>
      <c r="L301" s="103"/>
      <c r="M301" s="103"/>
      <c r="N301" s="68"/>
      <c r="O301" s="593" t="s">
        <v>710</v>
      </c>
      <c r="P301" s="402"/>
      <c r="Q301" s="402"/>
      <c r="R301" s="398"/>
      <c r="S301" s="398"/>
      <c r="T301" s="398"/>
      <c r="U301" s="398"/>
      <c r="V301" s="398"/>
      <c r="W301" s="561"/>
      <c r="X301" s="561"/>
      <c r="Y301" s="561"/>
      <c r="Z301" s="561"/>
      <c r="AA301" s="561"/>
      <c r="AB301" s="592" t="s">
        <v>152</v>
      </c>
      <c r="AC301" s="130"/>
      <c r="AD301" s="130">
        <v>1166000</v>
      </c>
      <c r="AE301" s="131" t="s">
        <v>733</v>
      </c>
      <c r="AF301" s="16"/>
    </row>
    <row r="302" spans="1:32" s="15" customFormat="1" ht="24" customHeight="1">
      <c r="A302" s="46"/>
      <c r="B302" s="46"/>
      <c r="C302" s="46"/>
      <c r="D302" s="151"/>
      <c r="E302" s="103"/>
      <c r="F302" s="103"/>
      <c r="G302" s="103"/>
      <c r="H302" s="103"/>
      <c r="I302" s="103"/>
      <c r="J302" s="103"/>
      <c r="K302" s="103"/>
      <c r="L302" s="103"/>
      <c r="M302" s="103"/>
      <c r="N302" s="68"/>
      <c r="O302" s="593"/>
      <c r="P302" s="402"/>
      <c r="Q302" s="402"/>
      <c r="R302" s="398"/>
      <c r="S302" s="398"/>
      <c r="T302" s="398"/>
      <c r="U302" s="398"/>
      <c r="V302" s="398"/>
      <c r="W302" s="592"/>
      <c r="X302" s="592"/>
      <c r="Y302" s="592"/>
      <c r="Z302" s="592"/>
      <c r="AA302" s="592"/>
      <c r="AB302" s="592" t="s">
        <v>725</v>
      </c>
      <c r="AC302" s="598"/>
      <c r="AD302" s="598">
        <v>324000</v>
      </c>
      <c r="AE302" s="131" t="s">
        <v>733</v>
      </c>
      <c r="AF302" s="16"/>
    </row>
    <row r="303" spans="1:32" s="15" customFormat="1" ht="24" customHeight="1">
      <c r="A303" s="46"/>
      <c r="B303" s="46"/>
      <c r="C303" s="46"/>
      <c r="D303" s="151"/>
      <c r="E303" s="103"/>
      <c r="F303" s="103"/>
      <c r="G303" s="103"/>
      <c r="H303" s="103"/>
      <c r="I303" s="103"/>
      <c r="J303" s="103"/>
      <c r="K303" s="103"/>
      <c r="L303" s="103"/>
      <c r="M303" s="103"/>
      <c r="N303" s="68"/>
      <c r="O303" s="436" t="s">
        <v>816</v>
      </c>
      <c r="P303" s="260"/>
      <c r="Q303" s="260"/>
      <c r="R303" s="256"/>
      <c r="S303" s="256"/>
      <c r="T303" s="256"/>
      <c r="U303" s="256"/>
      <c r="V303" s="256"/>
      <c r="W303" s="378"/>
      <c r="X303" s="378"/>
      <c r="Y303" s="664"/>
      <c r="Z303" s="548"/>
      <c r="AA303" s="548"/>
      <c r="AB303" s="378" t="s">
        <v>814</v>
      </c>
      <c r="AC303" s="533"/>
      <c r="AD303" s="533">
        <v>900000</v>
      </c>
      <c r="AE303" s="619" t="s">
        <v>805</v>
      </c>
      <c r="AF303" s="16"/>
    </row>
    <row r="304" spans="1:32" s="15" customFormat="1" ht="24" customHeight="1">
      <c r="A304" s="46"/>
      <c r="B304" s="46"/>
      <c r="C304" s="46"/>
      <c r="D304" s="151"/>
      <c r="E304" s="103"/>
      <c r="F304" s="103"/>
      <c r="G304" s="103"/>
      <c r="H304" s="103"/>
      <c r="I304" s="103"/>
      <c r="J304" s="103"/>
      <c r="K304" s="103"/>
      <c r="L304" s="103"/>
      <c r="M304" s="103"/>
      <c r="N304" s="68"/>
      <c r="O304" s="436"/>
      <c r="P304" s="260"/>
      <c r="Q304" s="260"/>
      <c r="R304" s="256"/>
      <c r="S304" s="256"/>
      <c r="T304" s="256"/>
      <c r="U304" s="256"/>
      <c r="V304" s="256"/>
      <c r="W304" s="378" t="s">
        <v>817</v>
      </c>
      <c r="X304" s="378"/>
      <c r="Y304" s="378"/>
      <c r="Z304" s="439"/>
      <c r="AA304" s="439"/>
      <c r="AB304" s="378" t="s">
        <v>815</v>
      </c>
      <c r="AC304" s="533"/>
      <c r="AD304" s="533">
        <v>2430000</v>
      </c>
      <c r="AE304" s="619" t="s">
        <v>805</v>
      </c>
      <c r="AF304" s="16"/>
    </row>
    <row r="305" spans="1:32" s="15" customFormat="1" ht="24" customHeight="1">
      <c r="A305" s="46"/>
      <c r="B305" s="46"/>
      <c r="C305" s="59"/>
      <c r="D305" s="152"/>
      <c r="E305" s="105"/>
      <c r="F305" s="105"/>
      <c r="G305" s="105"/>
      <c r="H305" s="105"/>
      <c r="I305" s="105"/>
      <c r="J305" s="105"/>
      <c r="K305" s="105"/>
      <c r="L305" s="105"/>
      <c r="M305" s="105"/>
      <c r="N305" s="82"/>
      <c r="O305" s="438"/>
      <c r="P305" s="292"/>
      <c r="Q305" s="292"/>
      <c r="R305" s="454"/>
      <c r="S305" s="454"/>
      <c r="T305" s="454"/>
      <c r="U305" s="454"/>
      <c r="V305" s="454"/>
      <c r="W305" s="437"/>
      <c r="X305" s="437"/>
      <c r="Y305" s="437"/>
      <c r="Z305" s="437"/>
      <c r="AA305" s="437"/>
      <c r="AB305" s="437"/>
      <c r="AC305" s="412"/>
      <c r="AD305" s="412"/>
      <c r="AE305" s="401"/>
      <c r="AF305" s="16"/>
    </row>
    <row r="306" spans="1:32" s="15" customFormat="1" ht="24" customHeight="1">
      <c r="A306" s="46"/>
      <c r="B306" s="46"/>
      <c r="C306" s="116" t="s">
        <v>742</v>
      </c>
      <c r="D306" s="153">
        <v>22070</v>
      </c>
      <c r="E306" s="107">
        <f>ROUND(AD306/1000,0)</f>
        <v>21070</v>
      </c>
      <c r="F306" s="108">
        <f>SUMIF($AB$307:$AB$316,"보조",$AD$307:$AD$316)/1000</f>
        <v>0</v>
      </c>
      <c r="G306" s="108">
        <f>SUMIF($AB$307:$AB$316,"7종",$AD$307:$AD$316)/1000</f>
        <v>0</v>
      </c>
      <c r="H306" s="108">
        <f>SUMIF($AB$307:$AB$316,"4종",$AD$307:$AD$316)/1000</f>
        <v>0</v>
      </c>
      <c r="I306" s="108">
        <f>SUMIF($AB$307:$AB$316,"후원",$AD$307:$AD$316)/1000</f>
        <v>943</v>
      </c>
      <c r="J306" s="108">
        <f>SUMIF($AB$307:$AB$316,"입소",$AD$307:$AD$316)/1000</f>
        <v>10127</v>
      </c>
      <c r="K306" s="108">
        <f>SUMIF($AB$307:$AB$316,"법인",$AD$307:$AD$316)/1000</f>
        <v>10000</v>
      </c>
      <c r="L306" s="108">
        <f>SUMIF($AB$307:$AB$316,"잡수",$AD$307:$AD$316)/1000</f>
        <v>0</v>
      </c>
      <c r="M306" s="107">
        <f>E306-D306</f>
        <v>-1000</v>
      </c>
      <c r="N306" s="115">
        <f>IF(D306=0,0,M306/D306)</f>
        <v>-4.5310376076121435E-2</v>
      </c>
      <c r="O306" s="309"/>
      <c r="P306" s="305"/>
      <c r="Q306" s="305"/>
      <c r="R306" s="448"/>
      <c r="S306" s="448"/>
      <c r="T306" s="448"/>
      <c r="U306" s="448"/>
      <c r="V306" s="448"/>
      <c r="W306" s="449" t="s">
        <v>130</v>
      </c>
      <c r="X306" s="449"/>
      <c r="Y306" s="449"/>
      <c r="Z306" s="449"/>
      <c r="AA306" s="449"/>
      <c r="AB306" s="449"/>
      <c r="AC306" s="450"/>
      <c r="AD306" s="450">
        <f>SUM(AD307:AD317)</f>
        <v>21070000</v>
      </c>
      <c r="AE306" s="451" t="s">
        <v>25</v>
      </c>
      <c r="AF306" s="16"/>
    </row>
    <row r="307" spans="1:32" s="15" customFormat="1" ht="24" customHeight="1">
      <c r="A307" s="46"/>
      <c r="B307" s="46"/>
      <c r="C307" s="612" t="s">
        <v>743</v>
      </c>
      <c r="D307" s="151"/>
      <c r="E307" s="103"/>
      <c r="F307" s="103"/>
      <c r="G307" s="103"/>
      <c r="H307" s="103"/>
      <c r="I307" s="103"/>
      <c r="J307" s="103"/>
      <c r="K307" s="103"/>
      <c r="L307" s="103"/>
      <c r="M307" s="103"/>
      <c r="N307" s="68"/>
      <c r="O307" s="593" t="s">
        <v>711</v>
      </c>
      <c r="P307" s="402"/>
      <c r="Q307" s="402"/>
      <c r="R307" s="398"/>
      <c r="S307" s="398"/>
      <c r="T307" s="398"/>
      <c r="U307" s="398"/>
      <c r="V307" s="398"/>
      <c r="W307" s="439"/>
      <c r="X307" s="439"/>
      <c r="Y307" s="439"/>
      <c r="Z307" s="439"/>
      <c r="AA307" s="439"/>
      <c r="AB307" s="545" t="s">
        <v>556</v>
      </c>
      <c r="AC307" s="130"/>
      <c r="AD307" s="130">
        <v>0</v>
      </c>
      <c r="AE307" s="131" t="s">
        <v>733</v>
      </c>
      <c r="AF307" s="16"/>
    </row>
    <row r="308" spans="1:32" s="15" customFormat="1" ht="24" customHeight="1">
      <c r="A308" s="46"/>
      <c r="B308" s="46"/>
      <c r="C308" s="599"/>
      <c r="D308" s="151"/>
      <c r="E308" s="103"/>
      <c r="F308" s="103"/>
      <c r="G308" s="103"/>
      <c r="H308" s="103"/>
      <c r="I308" s="103"/>
      <c r="J308" s="103"/>
      <c r="K308" s="103"/>
      <c r="L308" s="103"/>
      <c r="M308" s="103"/>
      <c r="N308" s="68"/>
      <c r="O308" s="593"/>
      <c r="P308" s="402"/>
      <c r="Q308" s="402"/>
      <c r="R308" s="398"/>
      <c r="S308" s="398"/>
      <c r="T308" s="398"/>
      <c r="U308" s="398"/>
      <c r="V308" s="398"/>
      <c r="W308" s="592"/>
      <c r="X308" s="592"/>
      <c r="Y308" s="592"/>
      <c r="Z308" s="592"/>
      <c r="AA308" s="592"/>
      <c r="AB308" s="378" t="s">
        <v>884</v>
      </c>
      <c r="AC308" s="533"/>
      <c r="AD308" s="533">
        <v>3200000</v>
      </c>
      <c r="AE308" s="619" t="s">
        <v>865</v>
      </c>
      <c r="AF308" s="16"/>
    </row>
    <row r="309" spans="1:32" s="15" customFormat="1" ht="24" customHeight="1">
      <c r="A309" s="46"/>
      <c r="B309" s="46"/>
      <c r="C309" s="46"/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593" t="s">
        <v>712</v>
      </c>
      <c r="P309" s="402"/>
      <c r="Q309" s="402"/>
      <c r="R309" s="398"/>
      <c r="S309" s="398"/>
      <c r="T309" s="398"/>
      <c r="U309" s="398"/>
      <c r="V309" s="398"/>
      <c r="W309" s="561"/>
      <c r="X309" s="561"/>
      <c r="Y309" s="561"/>
      <c r="Z309" s="561"/>
      <c r="AA309" s="561"/>
      <c r="AB309" s="378" t="s">
        <v>881</v>
      </c>
      <c r="AC309" s="533"/>
      <c r="AD309" s="533">
        <v>79000</v>
      </c>
      <c r="AE309" s="619" t="s">
        <v>865</v>
      </c>
      <c r="AF309" s="16"/>
    </row>
    <row r="310" spans="1:32" s="15" customFormat="1" ht="24" customHeight="1">
      <c r="A310" s="46"/>
      <c r="B310" s="46"/>
      <c r="C310" s="46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593"/>
      <c r="P310" s="402"/>
      <c r="Q310" s="402"/>
      <c r="R310" s="398"/>
      <c r="S310" s="398"/>
      <c r="T310" s="398"/>
      <c r="U310" s="398"/>
      <c r="V310" s="398"/>
      <c r="W310" s="592"/>
      <c r="X310" s="592"/>
      <c r="Y310" s="592"/>
      <c r="Z310" s="592"/>
      <c r="AA310" s="592"/>
      <c r="AB310" s="378" t="s">
        <v>884</v>
      </c>
      <c r="AC310" s="533"/>
      <c r="AD310" s="533">
        <v>3490000</v>
      </c>
      <c r="AE310" s="619" t="s">
        <v>865</v>
      </c>
      <c r="AF310" s="16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593" t="s">
        <v>713</v>
      </c>
      <c r="P311" s="402"/>
      <c r="Q311" s="402"/>
      <c r="R311" s="398"/>
      <c r="S311" s="398"/>
      <c r="T311" s="398"/>
      <c r="U311" s="398"/>
      <c r="V311" s="398"/>
      <c r="W311" s="589"/>
      <c r="X311" s="589"/>
      <c r="Y311" s="589"/>
      <c r="Z311" s="589"/>
      <c r="AA311" s="589"/>
      <c r="AB311" s="589" t="s">
        <v>213</v>
      </c>
      <c r="AC311" s="130"/>
      <c r="AD311" s="130">
        <v>1070000</v>
      </c>
      <c r="AE311" s="131" t="s">
        <v>733</v>
      </c>
      <c r="AF311" s="578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593" t="s">
        <v>714</v>
      </c>
      <c r="P312" s="402"/>
      <c r="Q312" s="402"/>
      <c r="R312" s="398"/>
      <c r="S312" s="398"/>
      <c r="T312" s="398"/>
      <c r="U312" s="398"/>
      <c r="V312" s="398"/>
      <c r="W312" s="589"/>
      <c r="X312" s="589"/>
      <c r="Y312" s="589"/>
      <c r="Z312" s="589"/>
      <c r="AA312" s="589"/>
      <c r="AB312" s="589" t="s">
        <v>152</v>
      </c>
      <c r="AC312" s="130"/>
      <c r="AD312" s="130">
        <v>119000</v>
      </c>
      <c r="AE312" s="131" t="s">
        <v>733</v>
      </c>
      <c r="AF312" s="578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593" t="s">
        <v>715</v>
      </c>
      <c r="P313" s="402"/>
      <c r="Q313" s="402"/>
      <c r="R313" s="398"/>
      <c r="S313" s="398"/>
      <c r="T313" s="398"/>
      <c r="U313" s="398"/>
      <c r="V313" s="398"/>
      <c r="W313" s="589"/>
      <c r="X313" s="589"/>
      <c r="Y313" s="589"/>
      <c r="Z313" s="589"/>
      <c r="AA313" s="589"/>
      <c r="AB313" s="589" t="s">
        <v>152</v>
      </c>
      <c r="AC313" s="130"/>
      <c r="AD313" s="130">
        <v>315000</v>
      </c>
      <c r="AE313" s="131" t="s">
        <v>733</v>
      </c>
      <c r="AF313" s="578"/>
    </row>
    <row r="314" spans="1:32" s="15" customFormat="1" ht="24" customHeight="1">
      <c r="A314" s="46"/>
      <c r="B314" s="46"/>
      <c r="C314" s="46"/>
      <c r="D314" s="151"/>
      <c r="E314" s="103"/>
      <c r="F314" s="103"/>
      <c r="G314" s="103"/>
      <c r="H314" s="103"/>
      <c r="I314" s="103"/>
      <c r="J314" s="103"/>
      <c r="K314" s="103"/>
      <c r="L314" s="103"/>
      <c r="M314" s="103"/>
      <c r="N314" s="68"/>
      <c r="O314" s="593" t="s">
        <v>716</v>
      </c>
      <c r="P314" s="402"/>
      <c r="Q314" s="402"/>
      <c r="R314" s="398"/>
      <c r="S314" s="398"/>
      <c r="T314" s="398"/>
      <c r="U314" s="398"/>
      <c r="V314" s="398"/>
      <c r="W314" s="589"/>
      <c r="X314" s="589"/>
      <c r="Y314" s="589"/>
      <c r="Z314" s="589"/>
      <c r="AA314" s="589"/>
      <c r="AB314" s="589" t="s">
        <v>152</v>
      </c>
      <c r="AC314" s="130"/>
      <c r="AD314" s="130">
        <v>430000</v>
      </c>
      <c r="AE314" s="131" t="s">
        <v>733</v>
      </c>
      <c r="AF314" s="578"/>
    </row>
    <row r="315" spans="1:32" s="15" customFormat="1" ht="24" customHeight="1">
      <c r="A315" s="46"/>
      <c r="B315" s="46"/>
      <c r="C315" s="46"/>
      <c r="D315" s="151"/>
      <c r="E315" s="103"/>
      <c r="F315" s="103"/>
      <c r="G315" s="103"/>
      <c r="H315" s="103"/>
      <c r="I315" s="103"/>
      <c r="J315" s="103"/>
      <c r="K315" s="103"/>
      <c r="L315" s="103"/>
      <c r="M315" s="103"/>
      <c r="N315" s="68"/>
      <c r="O315" s="604"/>
      <c r="P315" s="402"/>
      <c r="Q315" s="402"/>
      <c r="R315" s="398"/>
      <c r="S315" s="398"/>
      <c r="T315" s="398"/>
      <c r="U315" s="398"/>
      <c r="V315" s="398"/>
      <c r="W315" s="603"/>
      <c r="X315" s="603"/>
      <c r="Y315" s="603"/>
      <c r="Z315" s="603"/>
      <c r="AA315" s="603"/>
      <c r="AB315" s="603" t="s">
        <v>735</v>
      </c>
      <c r="AC315" s="602"/>
      <c r="AD315" s="602">
        <v>2367000</v>
      </c>
      <c r="AE315" s="131" t="s">
        <v>733</v>
      </c>
      <c r="AF315" s="578"/>
    </row>
    <row r="316" spans="1:32" s="15" customFormat="1" ht="24" customHeight="1">
      <c r="A316" s="46"/>
      <c r="B316" s="46"/>
      <c r="C316" s="46"/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436" t="s">
        <v>882</v>
      </c>
      <c r="P316" s="436"/>
      <c r="Q316" s="436"/>
      <c r="R316" s="436"/>
      <c r="S316" s="378">
        <v>1000000</v>
      </c>
      <c r="T316" s="284" t="s">
        <v>865</v>
      </c>
      <c r="U316" s="284" t="s">
        <v>26</v>
      </c>
      <c r="V316" s="378">
        <v>10</v>
      </c>
      <c r="W316" s="436" t="s">
        <v>872</v>
      </c>
      <c r="X316" s="378" t="s">
        <v>27</v>
      </c>
      <c r="Y316" s="378"/>
      <c r="Z316" s="378"/>
      <c r="AA316" s="378"/>
      <c r="AB316" s="378" t="s">
        <v>874</v>
      </c>
      <c r="AC316" s="378"/>
      <c r="AD316" s="378">
        <v>10000000</v>
      </c>
      <c r="AE316" s="619" t="s">
        <v>865</v>
      </c>
      <c r="AF316" s="16"/>
    </row>
    <row r="317" spans="1:32" s="15" customFormat="1" ht="24" customHeight="1">
      <c r="A317" s="46"/>
      <c r="B317" s="46"/>
      <c r="C317" s="46"/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604" t="s">
        <v>734</v>
      </c>
      <c r="P317" s="604"/>
      <c r="Q317" s="604"/>
      <c r="R317" s="604"/>
      <c r="S317" s="603"/>
      <c r="T317" s="297"/>
      <c r="U317" s="297"/>
      <c r="V317" s="603"/>
      <c r="W317" s="604"/>
      <c r="X317" s="603"/>
      <c r="Y317" s="603"/>
      <c r="Z317" s="603"/>
      <c r="AA317" s="603"/>
      <c r="AB317" s="603" t="s">
        <v>171</v>
      </c>
      <c r="AC317" s="603"/>
      <c r="AD317" s="603">
        <v>0</v>
      </c>
      <c r="AE317" s="131" t="s">
        <v>733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436"/>
      <c r="P318" s="260"/>
      <c r="Q318" s="260"/>
      <c r="R318" s="256"/>
      <c r="S318" s="256"/>
      <c r="T318" s="256"/>
      <c r="U318" s="256"/>
      <c r="V318" s="256"/>
      <c r="W318" s="378"/>
      <c r="X318" s="378"/>
      <c r="Y318" s="378"/>
      <c r="Z318" s="378"/>
      <c r="AA318" s="378"/>
      <c r="AB318" s="603"/>
      <c r="AC318" s="533"/>
      <c r="AD318" s="602"/>
      <c r="AE318" s="131"/>
      <c r="AF318" s="16"/>
    </row>
    <row r="319" spans="1:32" s="15" customFormat="1" ht="24" customHeight="1">
      <c r="A319" s="46"/>
      <c r="B319" s="46"/>
      <c r="C319" s="36" t="s">
        <v>717</v>
      </c>
      <c r="D319" s="153">
        <v>5748</v>
      </c>
      <c r="E319" s="107">
        <f>ROUND(AD319/1000,0)</f>
        <v>5748</v>
      </c>
      <c r="F319" s="108">
        <f>SUMIF($AB$320:$AB$324,"보조",$AD$320:$AD$324)/1000</f>
        <v>0</v>
      </c>
      <c r="G319" s="108">
        <f>SUMIF($AB$320:$AB$324,"7종",$AD$320:$AD$324)/1000</f>
        <v>0</v>
      </c>
      <c r="H319" s="108">
        <f>SUMIF($AB$320:$AB$324,"4종",$AD$320:$AD$324)/1000</f>
        <v>0</v>
      </c>
      <c r="I319" s="108">
        <f>SUMIF($AB$320:$AB$324,"후원",$AD$320:$AD$324)/1000</f>
        <v>4348</v>
      </c>
      <c r="J319" s="108">
        <f>SUMIF($AB$320:$AB$324,"입소",$AD$320:$AD$324)/1000</f>
        <v>1400</v>
      </c>
      <c r="K319" s="108">
        <f>SUMIF($AB$320:$AB$324,"법인",$AD$320:$AD$324)/1000</f>
        <v>0</v>
      </c>
      <c r="L319" s="108">
        <f>SUMIF($AB$320:$AB$324,"잡수",$AD$320:$AD$324)/1000</f>
        <v>0</v>
      </c>
      <c r="M319" s="117">
        <f>E319-D319</f>
        <v>0</v>
      </c>
      <c r="N319" s="115">
        <f>IF(D319=0,0,M319/D319)</f>
        <v>0</v>
      </c>
      <c r="O319" s="309"/>
      <c r="P319" s="305"/>
      <c r="Q319" s="305"/>
      <c r="R319" s="448"/>
      <c r="S319" s="448"/>
      <c r="T319" s="448"/>
      <c r="U319" s="448"/>
      <c r="V319" s="448"/>
      <c r="W319" s="449" t="s">
        <v>130</v>
      </c>
      <c r="X319" s="449"/>
      <c r="Y319" s="449"/>
      <c r="Z319" s="449"/>
      <c r="AA319" s="449"/>
      <c r="AB319" s="449"/>
      <c r="AC319" s="450"/>
      <c r="AD319" s="450">
        <f>SUM(AD320:AD323)</f>
        <v>5748000</v>
      </c>
      <c r="AE319" s="451" t="s">
        <v>25</v>
      </c>
      <c r="AF319" s="16"/>
    </row>
    <row r="320" spans="1:32" s="15" customFormat="1" ht="24" customHeight="1">
      <c r="A320" s="46"/>
      <c r="B320" s="46"/>
      <c r="C320" s="46" t="s">
        <v>718</v>
      </c>
      <c r="D320" s="151"/>
      <c r="E320" s="103"/>
      <c r="F320" s="103"/>
      <c r="G320" s="103"/>
      <c r="H320" s="103"/>
      <c r="I320" s="103"/>
      <c r="J320" s="103"/>
      <c r="K320" s="103"/>
      <c r="L320" s="103"/>
      <c r="M320" s="103"/>
      <c r="N320" s="68"/>
      <c r="O320" s="593" t="s">
        <v>719</v>
      </c>
      <c r="P320" s="402"/>
      <c r="Q320" s="402"/>
      <c r="R320" s="398"/>
      <c r="S320" s="398"/>
      <c r="T320" s="398"/>
      <c r="U320" s="398"/>
      <c r="V320" s="398"/>
      <c r="W320" s="575"/>
      <c r="X320" s="575"/>
      <c r="Y320" s="575"/>
      <c r="Z320" s="575"/>
      <c r="AA320" s="575"/>
      <c r="AB320" s="592" t="s">
        <v>152</v>
      </c>
      <c r="AC320" s="130"/>
      <c r="AD320" s="130">
        <v>1156000</v>
      </c>
      <c r="AE320" s="131" t="s">
        <v>733</v>
      </c>
      <c r="AF320" s="16"/>
    </row>
    <row r="321" spans="1:32" s="15" customFormat="1" ht="24" customHeight="1">
      <c r="A321" s="46"/>
      <c r="B321" s="46"/>
      <c r="C321" s="46"/>
      <c r="D321" s="151"/>
      <c r="E321" s="103"/>
      <c r="F321" s="103"/>
      <c r="G321" s="103"/>
      <c r="H321" s="103"/>
      <c r="I321" s="103"/>
      <c r="J321" s="103"/>
      <c r="K321" s="103"/>
      <c r="L321" s="103"/>
      <c r="M321" s="103"/>
      <c r="N321" s="68"/>
      <c r="O321" s="593" t="s">
        <v>720</v>
      </c>
      <c r="P321" s="402"/>
      <c r="Q321" s="402"/>
      <c r="R321" s="398"/>
      <c r="S321" s="398"/>
      <c r="T321" s="398"/>
      <c r="U321" s="398"/>
      <c r="V321" s="398"/>
      <c r="W321" s="575"/>
      <c r="X321" s="575"/>
      <c r="Y321" s="575"/>
      <c r="Z321" s="575"/>
      <c r="AA321" s="575"/>
      <c r="AB321" s="592" t="s">
        <v>152</v>
      </c>
      <c r="AC321" s="130"/>
      <c r="AD321" s="130">
        <v>1472000</v>
      </c>
      <c r="AE321" s="131" t="s">
        <v>733</v>
      </c>
      <c r="AF321" s="16"/>
    </row>
    <row r="322" spans="1:32" s="15" customFormat="1" ht="24" customHeight="1">
      <c r="A322" s="46"/>
      <c r="B322" s="46"/>
      <c r="C322" s="46"/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593" t="s">
        <v>721</v>
      </c>
      <c r="P322" s="402"/>
      <c r="Q322" s="402"/>
      <c r="R322" s="398"/>
      <c r="S322" s="398"/>
      <c r="T322" s="398"/>
      <c r="U322" s="398"/>
      <c r="V322" s="398"/>
      <c r="W322" s="575"/>
      <c r="X322" s="575"/>
      <c r="Y322" s="592"/>
      <c r="Z322" s="575"/>
      <c r="AA322" s="575"/>
      <c r="AB322" s="575" t="s">
        <v>631</v>
      </c>
      <c r="AC322" s="130"/>
      <c r="AD322" s="130">
        <v>1400000</v>
      </c>
      <c r="AE322" s="131" t="s">
        <v>733</v>
      </c>
      <c r="AF322" s="16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576"/>
      <c r="P323" s="402"/>
      <c r="Q323" s="402"/>
      <c r="R323" s="398"/>
      <c r="S323" s="398"/>
      <c r="T323" s="398"/>
      <c r="U323" s="398"/>
      <c r="V323" s="398"/>
      <c r="W323" s="575"/>
      <c r="X323" s="575"/>
      <c r="Y323" s="592"/>
      <c r="Z323" s="575"/>
      <c r="AA323" s="575"/>
      <c r="AB323" s="575" t="s">
        <v>623</v>
      </c>
      <c r="AC323" s="130"/>
      <c r="AD323" s="130">
        <v>1720000</v>
      </c>
      <c r="AE323" s="131" t="s">
        <v>621</v>
      </c>
      <c r="AF323" s="16"/>
    </row>
    <row r="324" spans="1:32" s="15" customFormat="1" ht="24" customHeight="1">
      <c r="A324" s="46"/>
      <c r="B324" s="46"/>
      <c r="C324" s="59"/>
      <c r="D324" s="152"/>
      <c r="E324" s="105"/>
      <c r="F324" s="105"/>
      <c r="G324" s="105"/>
      <c r="H324" s="105"/>
      <c r="I324" s="105"/>
      <c r="J324" s="105"/>
      <c r="K324" s="105"/>
      <c r="L324" s="105"/>
      <c r="M324" s="105"/>
      <c r="N324" s="82"/>
      <c r="O324" s="438"/>
      <c r="P324" s="292"/>
      <c r="Q324" s="292"/>
      <c r="R324" s="454"/>
      <c r="S324" s="454"/>
      <c r="T324" s="454"/>
      <c r="U324" s="454"/>
      <c r="V324" s="454"/>
      <c r="W324" s="437"/>
      <c r="X324" s="437"/>
      <c r="Y324" s="437"/>
      <c r="Z324" s="437"/>
      <c r="AA324" s="437"/>
      <c r="AB324" s="437"/>
      <c r="AC324" s="412"/>
      <c r="AD324" s="412"/>
      <c r="AE324" s="401"/>
      <c r="AF324" s="16"/>
    </row>
    <row r="325" spans="1:32" s="15" customFormat="1" ht="24" customHeight="1">
      <c r="A325" s="46"/>
      <c r="B325" s="46"/>
      <c r="C325" s="36" t="s">
        <v>320</v>
      </c>
      <c r="D325" s="153">
        <v>2168</v>
      </c>
      <c r="E325" s="107">
        <f>ROUND(AD325/1000,0)</f>
        <v>2328</v>
      </c>
      <c r="F325" s="108">
        <f>SUMIF($AB$326:$AB$330,"보조",$AD$326:$AD$330)/1000</f>
        <v>0</v>
      </c>
      <c r="G325" s="108">
        <f>SUMIF($AB$326:$AB$330,"7종",$AD$326:$AD$330)/1000</f>
        <v>0</v>
      </c>
      <c r="H325" s="108">
        <f>SUMIF($AB$326:$AB$330,"4종",$AD$326:$AD$330)/1000</f>
        <v>0</v>
      </c>
      <c r="I325" s="108">
        <f>SUMIF($AB$326:$AB$330,"후원",$AD$326:$AD$330)/1000</f>
        <v>1218</v>
      </c>
      <c r="J325" s="108">
        <f>SUMIF($AB$326:$AB$330,"입소",$AD$326:$AD$330)/1000</f>
        <v>1110</v>
      </c>
      <c r="K325" s="108">
        <f>SUMIF($AB$326:$AB$330,"법인",$AD$326:$AD$330)/1000</f>
        <v>0</v>
      </c>
      <c r="L325" s="108">
        <f>SUMIF($AB$326:$AB$330,"잡수",$AD$326:$AD$330)/1000</f>
        <v>0</v>
      </c>
      <c r="M325" s="117">
        <f>E325-D325</f>
        <v>160</v>
      </c>
      <c r="N325" s="115">
        <f>IF(D325=0,0,M325/D325)</f>
        <v>7.3800738007380073E-2</v>
      </c>
      <c r="O325" s="309"/>
      <c r="P325" s="305"/>
      <c r="Q325" s="305"/>
      <c r="R325" s="448"/>
      <c r="S325" s="448"/>
      <c r="T325" s="448"/>
      <c r="U325" s="448"/>
      <c r="V325" s="448"/>
      <c r="W325" s="449" t="s">
        <v>130</v>
      </c>
      <c r="X325" s="449"/>
      <c r="Y325" s="449"/>
      <c r="Z325" s="449"/>
      <c r="AA325" s="449"/>
      <c r="AB325" s="449"/>
      <c r="AC325" s="450"/>
      <c r="AD325" s="450">
        <f>SUM(AD326:AD330)</f>
        <v>2328000</v>
      </c>
      <c r="AE325" s="451" t="s">
        <v>25</v>
      </c>
      <c r="AF325" s="16"/>
    </row>
    <row r="326" spans="1:32" s="15" customFormat="1" ht="24" customHeight="1">
      <c r="A326" s="46"/>
      <c r="B326" s="46"/>
      <c r="C326" s="46" t="s">
        <v>306</v>
      </c>
      <c r="D326" s="151"/>
      <c r="E326" s="103"/>
      <c r="F326" s="103"/>
      <c r="G326" s="103"/>
      <c r="H326" s="103"/>
      <c r="I326" s="103"/>
      <c r="J326" s="103"/>
      <c r="K326" s="103"/>
      <c r="L326" s="103"/>
      <c r="M326" s="103"/>
      <c r="N326" s="68"/>
      <c r="O326" s="593" t="s">
        <v>726</v>
      </c>
      <c r="P326" s="402"/>
      <c r="Q326" s="402"/>
      <c r="R326" s="398"/>
      <c r="S326" s="398"/>
      <c r="T326" s="398"/>
      <c r="U326" s="398"/>
      <c r="V326" s="398"/>
      <c r="W326" s="589"/>
      <c r="X326" s="589"/>
      <c r="Y326" s="589"/>
      <c r="Z326" s="589"/>
      <c r="AA326" s="589"/>
      <c r="AB326" s="589" t="s">
        <v>671</v>
      </c>
      <c r="AC326" s="130"/>
      <c r="AD326" s="130">
        <v>80000</v>
      </c>
      <c r="AE326" s="131" t="s">
        <v>733</v>
      </c>
      <c r="AF326" s="16"/>
    </row>
    <row r="327" spans="1:32" s="15" customFormat="1" ht="24" customHeight="1">
      <c r="A327" s="46"/>
      <c r="B327" s="46"/>
      <c r="C327" s="46"/>
      <c r="D327" s="151"/>
      <c r="E327" s="103"/>
      <c r="F327" s="103"/>
      <c r="G327" s="103"/>
      <c r="H327" s="103"/>
      <c r="I327" s="103"/>
      <c r="J327" s="103"/>
      <c r="K327" s="103"/>
      <c r="L327" s="103"/>
      <c r="M327" s="103"/>
      <c r="N327" s="68"/>
      <c r="O327" s="440" t="s">
        <v>321</v>
      </c>
      <c r="P327" s="402"/>
      <c r="Q327" s="402"/>
      <c r="R327" s="398"/>
      <c r="S327" s="398"/>
      <c r="T327" s="398"/>
      <c r="U327" s="398"/>
      <c r="V327" s="398"/>
      <c r="W327" s="439"/>
      <c r="X327" s="439"/>
      <c r="Y327" s="439"/>
      <c r="Z327" s="439"/>
      <c r="AA327" s="439"/>
      <c r="AB327" s="592" t="s">
        <v>152</v>
      </c>
      <c r="AC327" s="130"/>
      <c r="AD327" s="130">
        <v>300000</v>
      </c>
      <c r="AE327" s="131" t="s">
        <v>733</v>
      </c>
      <c r="AF327" s="16"/>
    </row>
    <row r="328" spans="1:32" s="15" customFormat="1" ht="24" customHeight="1">
      <c r="A328" s="46"/>
      <c r="B328" s="46"/>
      <c r="C328" s="46"/>
      <c r="D328" s="151"/>
      <c r="E328" s="103"/>
      <c r="F328" s="103"/>
      <c r="G328" s="103"/>
      <c r="H328" s="103"/>
      <c r="I328" s="103"/>
      <c r="J328" s="103"/>
      <c r="K328" s="103"/>
      <c r="L328" s="103"/>
      <c r="M328" s="103"/>
      <c r="N328" s="68"/>
      <c r="O328" s="593" t="s">
        <v>722</v>
      </c>
      <c r="P328" s="402"/>
      <c r="Q328" s="402"/>
      <c r="R328" s="398"/>
      <c r="S328" s="398"/>
      <c r="T328" s="398"/>
      <c r="U328" s="398"/>
      <c r="V328" s="398"/>
      <c r="W328" s="441"/>
      <c r="X328" s="441"/>
      <c r="Y328" s="441"/>
      <c r="Z328" s="441"/>
      <c r="AA328" s="441"/>
      <c r="AB328" s="592" t="s">
        <v>152</v>
      </c>
      <c r="AC328" s="130"/>
      <c r="AD328" s="130">
        <v>100000</v>
      </c>
      <c r="AE328" s="131" t="s">
        <v>733</v>
      </c>
      <c r="AF328" s="16"/>
    </row>
    <row r="329" spans="1:32" s="15" customFormat="1" ht="24" customHeight="1">
      <c r="A329" s="46"/>
      <c r="B329" s="46"/>
      <c r="C329" s="46"/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593" t="s">
        <v>723</v>
      </c>
      <c r="P329" s="402"/>
      <c r="Q329" s="402"/>
      <c r="R329" s="398"/>
      <c r="S329" s="398"/>
      <c r="T329" s="398"/>
      <c r="U329" s="398"/>
      <c r="V329" s="398"/>
      <c r="W329" s="439"/>
      <c r="X329" s="439"/>
      <c r="Y329" s="439"/>
      <c r="Z329" s="439"/>
      <c r="AA329" s="439"/>
      <c r="AB329" s="592" t="s">
        <v>152</v>
      </c>
      <c r="AC329" s="130"/>
      <c r="AD329" s="660">
        <v>738000</v>
      </c>
      <c r="AE329" s="131" t="s">
        <v>805</v>
      </c>
      <c r="AF329" s="16"/>
    </row>
    <row r="330" spans="1:32" s="15" customFormat="1" ht="24" customHeight="1">
      <c r="A330" s="46"/>
      <c r="B330" s="46"/>
      <c r="C330" s="59"/>
      <c r="D330" s="152"/>
      <c r="E330" s="105"/>
      <c r="F330" s="105"/>
      <c r="G330" s="105"/>
      <c r="H330" s="105"/>
      <c r="I330" s="105"/>
      <c r="J330" s="105"/>
      <c r="K330" s="105"/>
      <c r="L330" s="105"/>
      <c r="M330" s="105"/>
      <c r="N330" s="82"/>
      <c r="O330" s="591" t="s">
        <v>724</v>
      </c>
      <c r="P330" s="292"/>
      <c r="Q330" s="292"/>
      <c r="R330" s="454"/>
      <c r="S330" s="454"/>
      <c r="T330" s="454"/>
      <c r="U330" s="454"/>
      <c r="V330" s="454"/>
      <c r="W330" s="437"/>
      <c r="X330" s="437"/>
      <c r="Y330" s="437"/>
      <c r="Z330" s="437"/>
      <c r="AA330" s="437"/>
      <c r="AB330" s="620" t="s">
        <v>752</v>
      </c>
      <c r="AC330" s="412"/>
      <c r="AD330" s="412">
        <v>1110000</v>
      </c>
      <c r="AE330" s="131" t="s">
        <v>805</v>
      </c>
      <c r="AF330" s="16"/>
    </row>
    <row r="331" spans="1:32" s="15" customFormat="1" ht="24" customHeight="1">
      <c r="A331" s="46"/>
      <c r="B331" s="46"/>
      <c r="C331" s="36" t="s">
        <v>322</v>
      </c>
      <c r="D331" s="153">
        <v>2349</v>
      </c>
      <c r="E331" s="107">
        <f>ROUND(AD331/1000,0)</f>
        <v>2349</v>
      </c>
      <c r="F331" s="108">
        <f>SUMIF($AB$332:$AB$339,"보조",$AD$332:$AD$339)/1000</f>
        <v>0</v>
      </c>
      <c r="G331" s="108">
        <f>SUMIF($AB$332:$AB$339,"7종",$AD$332:$AD$339)/1000</f>
        <v>0</v>
      </c>
      <c r="H331" s="108">
        <f>SUMIF($AB$332:$AB$339,"4종",$AD$332:$AD$339)/1000</f>
        <v>0</v>
      </c>
      <c r="I331" s="108">
        <f>SUMIF($AB$332:$AB$339,"후원",$AD$332:$AD$339)/1000</f>
        <v>578</v>
      </c>
      <c r="J331" s="108">
        <f>SUMIF($AB$332:$AB$339,"입소",$AD$332:$AD$339)/1000</f>
        <v>1771</v>
      </c>
      <c r="K331" s="108">
        <f>SUMIF($AB$332:$AB$339,"법인",$AD$332:$AD$339)/1000</f>
        <v>0</v>
      </c>
      <c r="L331" s="108">
        <f>SUMIF($AB$332:$AB$339,"잡수",$AD$332:$AD$339)/1000</f>
        <v>0</v>
      </c>
      <c r="M331" s="107">
        <f>E331-D331</f>
        <v>0</v>
      </c>
      <c r="N331" s="115">
        <f>IF(D331=0,0,M331/D331)</f>
        <v>0</v>
      </c>
      <c r="O331" s="309"/>
      <c r="P331" s="305"/>
      <c r="Q331" s="305"/>
      <c r="R331" s="448"/>
      <c r="S331" s="448"/>
      <c r="T331" s="448"/>
      <c r="U331" s="448"/>
      <c r="V331" s="448"/>
      <c r="W331" s="449" t="s">
        <v>130</v>
      </c>
      <c r="X331" s="449"/>
      <c r="Y331" s="449"/>
      <c r="Z331" s="449"/>
      <c r="AA331" s="449"/>
      <c r="AB331" s="449"/>
      <c r="AC331" s="450"/>
      <c r="AD331" s="450">
        <f>SUM(AD332:AD339)</f>
        <v>2349000</v>
      </c>
      <c r="AE331" s="451" t="s">
        <v>25</v>
      </c>
      <c r="AF331" s="16"/>
    </row>
    <row r="332" spans="1:32" s="15" customFormat="1" ht="24" customHeight="1">
      <c r="A332" s="46"/>
      <c r="B332" s="46"/>
      <c r="C332" s="46" t="s">
        <v>318</v>
      </c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436" t="s">
        <v>835</v>
      </c>
      <c r="P332" s="260"/>
      <c r="Q332" s="260"/>
      <c r="R332" s="256"/>
      <c r="S332" s="256"/>
      <c r="T332" s="256"/>
      <c r="U332" s="256"/>
      <c r="V332" s="256"/>
      <c r="W332" s="378"/>
      <c r="X332" s="378"/>
      <c r="Y332" s="378"/>
      <c r="Z332" s="378"/>
      <c r="AA332" s="378"/>
      <c r="AB332" s="378" t="s">
        <v>814</v>
      </c>
      <c r="AC332" s="533"/>
      <c r="AD332" s="533">
        <v>841000</v>
      </c>
      <c r="AE332" s="619" t="s">
        <v>805</v>
      </c>
      <c r="AF332" s="16"/>
    </row>
    <row r="333" spans="1:32" s="15" customFormat="1" ht="24" customHeight="1">
      <c r="A333" s="46"/>
      <c r="B333" s="46"/>
      <c r="C333" s="46"/>
      <c r="D333" s="151"/>
      <c r="E333" s="103"/>
      <c r="F333" s="103"/>
      <c r="G333" s="103"/>
      <c r="H333" s="103"/>
      <c r="I333" s="103"/>
      <c r="J333" s="103"/>
      <c r="K333" s="103"/>
      <c r="L333" s="103"/>
      <c r="M333" s="103"/>
      <c r="N333" s="68"/>
      <c r="O333" s="436"/>
      <c r="P333" s="260"/>
      <c r="Q333" s="260"/>
      <c r="R333" s="256"/>
      <c r="S333" s="256"/>
      <c r="T333" s="256"/>
      <c r="U333" s="256"/>
      <c r="V333" s="256"/>
      <c r="W333" s="378"/>
      <c r="X333" s="378"/>
      <c r="Y333" s="378"/>
      <c r="Z333" s="378"/>
      <c r="AA333" s="378"/>
      <c r="AB333" s="378" t="s">
        <v>820</v>
      </c>
      <c r="AC333" s="533"/>
      <c r="AD333" s="533">
        <v>270000</v>
      </c>
      <c r="AE333" s="619" t="s">
        <v>813</v>
      </c>
      <c r="AF333" s="16"/>
    </row>
    <row r="334" spans="1:32" s="15" customFormat="1" ht="24" customHeight="1">
      <c r="A334" s="46"/>
      <c r="B334" s="46"/>
      <c r="C334" s="46" t="s">
        <v>306</v>
      </c>
      <c r="D334" s="151"/>
      <c r="E334" s="103"/>
      <c r="F334" s="103"/>
      <c r="G334" s="103"/>
      <c r="H334" s="103"/>
      <c r="I334" s="103"/>
      <c r="J334" s="103"/>
      <c r="K334" s="103"/>
      <c r="L334" s="103"/>
      <c r="M334" s="103"/>
      <c r="N334" s="68"/>
      <c r="O334" s="590" t="s">
        <v>692</v>
      </c>
      <c r="P334" s="402"/>
      <c r="Q334" s="402"/>
      <c r="R334" s="398"/>
      <c r="S334" s="398"/>
      <c r="T334" s="398"/>
      <c r="U334" s="398"/>
      <c r="V334" s="398"/>
      <c r="W334" s="439"/>
      <c r="X334" s="439"/>
      <c r="Y334" s="439"/>
      <c r="Z334" s="439"/>
      <c r="AA334" s="439"/>
      <c r="AB334" s="439" t="s">
        <v>319</v>
      </c>
      <c r="AC334" s="130"/>
      <c r="AD334" s="130">
        <v>128000</v>
      </c>
      <c r="AE334" s="131" t="s">
        <v>733</v>
      </c>
      <c r="AF334" s="16"/>
    </row>
    <row r="335" spans="1:32" s="15" customFormat="1" ht="24" customHeight="1">
      <c r="A335" s="46"/>
      <c r="B335" s="46"/>
      <c r="C335" s="46"/>
      <c r="D335" s="151"/>
      <c r="E335" s="103"/>
      <c r="F335" s="103"/>
      <c r="G335" s="103"/>
      <c r="H335" s="103"/>
      <c r="I335" s="103"/>
      <c r="J335" s="103"/>
      <c r="K335" s="103"/>
      <c r="L335" s="103"/>
      <c r="M335" s="103"/>
      <c r="N335" s="68"/>
      <c r="O335" s="590" t="s">
        <v>693</v>
      </c>
      <c r="P335" s="402"/>
      <c r="Q335" s="402"/>
      <c r="R335" s="398"/>
      <c r="S335" s="398"/>
      <c r="T335" s="398"/>
      <c r="U335" s="398"/>
      <c r="V335" s="398"/>
      <c r="W335" s="439"/>
      <c r="X335" s="439"/>
      <c r="Y335" s="439"/>
      <c r="Z335" s="439"/>
      <c r="AA335" s="439"/>
      <c r="AB335" s="439" t="s">
        <v>319</v>
      </c>
      <c r="AC335" s="130"/>
      <c r="AD335" s="130">
        <v>45000</v>
      </c>
      <c r="AE335" s="131" t="s">
        <v>733</v>
      </c>
      <c r="AF335" s="16"/>
    </row>
    <row r="336" spans="1:32" s="15" customFormat="1" ht="24" customHeight="1">
      <c r="A336" s="46"/>
      <c r="B336" s="46"/>
      <c r="C336" s="46"/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590" t="s">
        <v>689</v>
      </c>
      <c r="P336" s="402"/>
      <c r="Q336" s="402"/>
      <c r="R336" s="398"/>
      <c r="S336" s="398"/>
      <c r="T336" s="398"/>
      <c r="U336" s="398"/>
      <c r="V336" s="398"/>
      <c r="W336" s="589"/>
      <c r="X336" s="589"/>
      <c r="Y336" s="589"/>
      <c r="Z336" s="589"/>
      <c r="AA336" s="589"/>
      <c r="AB336" s="622" t="s">
        <v>213</v>
      </c>
      <c r="AC336" s="130"/>
      <c r="AD336" s="130">
        <v>400000</v>
      </c>
      <c r="AE336" s="131" t="s">
        <v>733</v>
      </c>
      <c r="AF336" s="16"/>
    </row>
    <row r="337" spans="1:32" s="15" customFormat="1" ht="24" customHeight="1">
      <c r="A337" s="46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590" t="s">
        <v>694</v>
      </c>
      <c r="P337" s="402"/>
      <c r="Q337" s="402"/>
      <c r="R337" s="398"/>
      <c r="S337" s="398"/>
      <c r="T337" s="398"/>
      <c r="U337" s="398"/>
      <c r="V337" s="398"/>
      <c r="W337" s="589"/>
      <c r="X337" s="589"/>
      <c r="Y337" s="589"/>
      <c r="Z337" s="589"/>
      <c r="AA337" s="589"/>
      <c r="AB337" s="622" t="s">
        <v>213</v>
      </c>
      <c r="AC337" s="130"/>
      <c r="AD337" s="130">
        <v>530000</v>
      </c>
      <c r="AE337" s="131" t="s">
        <v>733</v>
      </c>
      <c r="AF337" s="16"/>
    </row>
    <row r="338" spans="1:32" s="15" customFormat="1" ht="24" customHeight="1">
      <c r="A338" s="46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590" t="s">
        <v>690</v>
      </c>
      <c r="P338" s="402"/>
      <c r="Q338" s="402"/>
      <c r="R338" s="398"/>
      <c r="S338" s="398"/>
      <c r="T338" s="398"/>
      <c r="U338" s="398"/>
      <c r="V338" s="398"/>
      <c r="W338" s="589"/>
      <c r="X338" s="589"/>
      <c r="Y338" s="589"/>
      <c r="Z338" s="589"/>
      <c r="AA338" s="589"/>
      <c r="AB338" s="589" t="s">
        <v>671</v>
      </c>
      <c r="AC338" s="130"/>
      <c r="AD338" s="130">
        <v>135000</v>
      </c>
      <c r="AE338" s="131" t="s">
        <v>733</v>
      </c>
      <c r="AF338" s="16"/>
    </row>
    <row r="339" spans="1:32" s="15" customFormat="1" ht="24" customHeight="1">
      <c r="A339" s="46"/>
      <c r="B339" s="46"/>
      <c r="C339" s="59"/>
      <c r="D339" s="152"/>
      <c r="E339" s="105"/>
      <c r="F339" s="105"/>
      <c r="G339" s="105"/>
      <c r="H339" s="105"/>
      <c r="I339" s="105"/>
      <c r="J339" s="105"/>
      <c r="K339" s="105"/>
      <c r="L339" s="105"/>
      <c r="M339" s="105"/>
      <c r="N339" s="82"/>
      <c r="O339" s="588" t="s">
        <v>691</v>
      </c>
      <c r="P339" s="292"/>
      <c r="Q339" s="292"/>
      <c r="R339" s="454"/>
      <c r="S339" s="454"/>
      <c r="T339" s="454"/>
      <c r="U339" s="454"/>
      <c r="V339" s="454"/>
      <c r="W339" s="587"/>
      <c r="X339" s="587"/>
      <c r="Y339" s="587"/>
      <c r="Z339" s="587"/>
      <c r="AA339" s="587"/>
      <c r="AB339" s="589" t="s">
        <v>671</v>
      </c>
      <c r="AC339" s="412"/>
      <c r="AD339" s="412">
        <v>0</v>
      </c>
      <c r="AE339" s="131" t="s">
        <v>650</v>
      </c>
      <c r="AF339" s="16"/>
    </row>
    <row r="340" spans="1:32" s="15" customFormat="1" ht="24" customHeight="1">
      <c r="A340" s="46"/>
      <c r="B340" s="46"/>
      <c r="C340" s="36" t="s">
        <v>323</v>
      </c>
      <c r="D340" s="153">
        <v>100</v>
      </c>
      <c r="E340" s="107">
        <f>ROUND(AD340/1000,0)</f>
        <v>100</v>
      </c>
      <c r="F340" s="108">
        <f>SUMIF($AB$341:$AB$345,"보조",$AD$341:$AD$345)/1000</f>
        <v>0</v>
      </c>
      <c r="G340" s="108">
        <f>SUMIF($AB$341:$AB$345,"7종",$AD$341:$AD$345)/1000</f>
        <v>0</v>
      </c>
      <c r="H340" s="108">
        <f>SUMIF($AB$341:$AB$345,"4종",$AD$341:$AD$345)/1000</f>
        <v>0</v>
      </c>
      <c r="I340" s="108">
        <f>SUMIF($AB$341:$AB$345,"후원",$AD$341:$AD$345)/1000</f>
        <v>100</v>
      </c>
      <c r="J340" s="108">
        <f>SUMIF($AB$341:$AB$345,"입소",$AD$341:$AD$345)/1000</f>
        <v>0</v>
      </c>
      <c r="K340" s="108">
        <f>SUMIF($AB$341:$AB$345,"법인",$AD$341:$AD$345)/1000</f>
        <v>0</v>
      </c>
      <c r="L340" s="108">
        <f>SUMIF($AB$341:$AB$345,"잡수",$AD$341:$AD$345)/1000</f>
        <v>0</v>
      </c>
      <c r="M340" s="107">
        <f>E340-D340</f>
        <v>0</v>
      </c>
      <c r="N340" s="115">
        <f>IF(D340=0,0,M340/D340)</f>
        <v>0</v>
      </c>
      <c r="O340" s="288"/>
      <c r="P340" s="305"/>
      <c r="Q340" s="305"/>
      <c r="R340" s="448"/>
      <c r="S340" s="448"/>
      <c r="T340" s="448"/>
      <c r="U340" s="448"/>
      <c r="V340" s="448"/>
      <c r="W340" s="449" t="s">
        <v>130</v>
      </c>
      <c r="X340" s="449"/>
      <c r="Y340" s="449"/>
      <c r="Z340" s="449"/>
      <c r="AA340" s="449"/>
      <c r="AB340" s="449"/>
      <c r="AC340" s="450"/>
      <c r="AD340" s="450">
        <f>SUM(AD341:AD344)</f>
        <v>100000</v>
      </c>
      <c r="AE340" s="451" t="s">
        <v>25</v>
      </c>
      <c r="AF340" s="16"/>
    </row>
    <row r="341" spans="1:32" s="15" customFormat="1" ht="24" customHeight="1">
      <c r="A341" s="46"/>
      <c r="B341" s="46"/>
      <c r="C341" s="46" t="s">
        <v>318</v>
      </c>
      <c r="D341" s="151"/>
      <c r="E341" s="103"/>
      <c r="F341" s="103"/>
      <c r="G341" s="103"/>
      <c r="H341" s="103"/>
      <c r="I341" s="103"/>
      <c r="J341" s="103"/>
      <c r="K341" s="103"/>
      <c r="L341" s="103"/>
      <c r="M341" s="103"/>
      <c r="N341" s="68"/>
      <c r="O341" s="550" t="s">
        <v>594</v>
      </c>
      <c r="P341" s="402"/>
      <c r="Q341" s="402"/>
      <c r="R341" s="398"/>
      <c r="S341" s="398"/>
      <c r="T341" s="398"/>
      <c r="U341" s="398"/>
      <c r="V341" s="398"/>
      <c r="W341" s="549"/>
      <c r="X341" s="549"/>
      <c r="Y341" s="549"/>
      <c r="Z341" s="549"/>
      <c r="AA341" s="549"/>
      <c r="AB341" s="549" t="s">
        <v>595</v>
      </c>
      <c r="AC341" s="130"/>
      <c r="AD341" s="130">
        <v>0</v>
      </c>
      <c r="AE341" s="131" t="s">
        <v>578</v>
      </c>
      <c r="AF341" s="16"/>
    </row>
    <row r="342" spans="1:32" s="15" customFormat="1" ht="24" customHeight="1">
      <c r="A342" s="46"/>
      <c r="B342" s="46"/>
      <c r="C342" s="46"/>
      <c r="D342" s="151"/>
      <c r="E342" s="103"/>
      <c r="F342" s="103"/>
      <c r="G342" s="103"/>
      <c r="H342" s="103"/>
      <c r="I342" s="103"/>
      <c r="J342" s="103"/>
      <c r="K342" s="103"/>
      <c r="L342" s="103"/>
      <c r="M342" s="103"/>
      <c r="N342" s="68"/>
      <c r="O342" s="550" t="s">
        <v>596</v>
      </c>
      <c r="P342" s="402"/>
      <c r="Q342" s="402"/>
      <c r="R342" s="398"/>
      <c r="S342" s="549">
        <v>15000</v>
      </c>
      <c r="T342" s="297" t="s">
        <v>578</v>
      </c>
      <c r="U342" s="297" t="s">
        <v>26</v>
      </c>
      <c r="V342" s="549">
        <v>4</v>
      </c>
      <c r="W342" s="550" t="s">
        <v>591</v>
      </c>
      <c r="X342" s="549"/>
      <c r="Y342" s="408"/>
      <c r="Z342" s="408" t="s">
        <v>581</v>
      </c>
      <c r="AA342" s="408"/>
      <c r="AB342" s="408" t="s">
        <v>152</v>
      </c>
      <c r="AC342" s="408"/>
      <c r="AD342" s="444">
        <f>S342*V342</f>
        <v>60000</v>
      </c>
      <c r="AE342" s="131" t="s">
        <v>56</v>
      </c>
      <c r="AF342" s="16"/>
    </row>
    <row r="343" spans="1:32" s="15" customFormat="1" ht="24" customHeight="1">
      <c r="A343" s="46"/>
      <c r="B343" s="46"/>
      <c r="C343" s="46"/>
      <c r="D343" s="151"/>
      <c r="E343" s="103"/>
      <c r="F343" s="103"/>
      <c r="G343" s="103"/>
      <c r="H343" s="103"/>
      <c r="I343" s="103"/>
      <c r="J343" s="103"/>
      <c r="K343" s="103"/>
      <c r="L343" s="103"/>
      <c r="M343" s="103"/>
      <c r="N343" s="68"/>
      <c r="O343" s="550" t="s">
        <v>597</v>
      </c>
      <c r="P343" s="402"/>
      <c r="Q343" s="402"/>
      <c r="R343" s="398"/>
      <c r="S343" s="549"/>
      <c r="T343" s="297"/>
      <c r="U343" s="297"/>
      <c r="V343" s="549"/>
      <c r="W343" s="550"/>
      <c r="X343" s="549"/>
      <c r="Y343" s="408"/>
      <c r="Z343" s="408"/>
      <c r="AA343" s="408"/>
      <c r="AB343" s="408" t="s">
        <v>595</v>
      </c>
      <c r="AC343" s="408"/>
      <c r="AD343" s="444">
        <v>0</v>
      </c>
      <c r="AE343" s="131" t="s">
        <v>56</v>
      </c>
      <c r="AF343" s="16"/>
    </row>
    <row r="344" spans="1:32" s="15" customFormat="1" ht="24" customHeight="1">
      <c r="A344" s="46"/>
      <c r="B344" s="46"/>
      <c r="C344" s="46"/>
      <c r="D344" s="151"/>
      <c r="E344" s="103"/>
      <c r="F344" s="103"/>
      <c r="G344" s="103"/>
      <c r="H344" s="103"/>
      <c r="I344" s="103"/>
      <c r="J344" s="103"/>
      <c r="K344" s="103"/>
      <c r="L344" s="103"/>
      <c r="M344" s="103"/>
      <c r="N344" s="68"/>
      <c r="O344" s="593" t="s">
        <v>730</v>
      </c>
      <c r="P344" s="402"/>
      <c r="Q344" s="402"/>
      <c r="R344" s="398"/>
      <c r="S344" s="439"/>
      <c r="T344" s="297"/>
      <c r="U344" s="297"/>
      <c r="V344" s="439"/>
      <c r="W344" s="440"/>
      <c r="X344" s="439"/>
      <c r="Y344" s="408"/>
      <c r="Z344" s="408"/>
      <c r="AA344" s="408"/>
      <c r="AB344" s="408" t="s">
        <v>152</v>
      </c>
      <c r="AC344" s="408"/>
      <c r="AD344" s="444">
        <v>40000</v>
      </c>
      <c r="AE344" s="131" t="s">
        <v>56</v>
      </c>
      <c r="AF344" s="16"/>
    </row>
    <row r="345" spans="1:32" s="15" customFormat="1" ht="24" customHeight="1">
      <c r="A345" s="46"/>
      <c r="B345" s="46"/>
      <c r="C345" s="59"/>
      <c r="D345" s="152"/>
      <c r="E345" s="105"/>
      <c r="F345" s="105"/>
      <c r="G345" s="105"/>
      <c r="H345" s="105"/>
      <c r="I345" s="105"/>
      <c r="J345" s="105"/>
      <c r="K345" s="105"/>
      <c r="L345" s="105"/>
      <c r="M345" s="105"/>
      <c r="N345" s="82"/>
      <c r="O345" s="438"/>
      <c r="P345" s="292"/>
      <c r="Q345" s="292"/>
      <c r="R345" s="454"/>
      <c r="S345" s="454"/>
      <c r="T345" s="454"/>
      <c r="U345" s="454"/>
      <c r="V345" s="454"/>
      <c r="W345" s="437"/>
      <c r="X345" s="437"/>
      <c r="Y345" s="437"/>
      <c r="Z345" s="437"/>
      <c r="AA345" s="437"/>
      <c r="AB345" s="437"/>
      <c r="AC345" s="412"/>
      <c r="AD345" s="412"/>
      <c r="AE345" s="401"/>
      <c r="AF345" s="16"/>
    </row>
    <row r="346" spans="1:32" s="11" customFormat="1" ht="21" customHeight="1">
      <c r="A346" s="106" t="s">
        <v>148</v>
      </c>
      <c r="B346" s="762" t="s">
        <v>20</v>
      </c>
      <c r="C346" s="763"/>
      <c r="D346" s="166">
        <f>SUM(D347)</f>
        <v>240</v>
      </c>
      <c r="E346" s="166">
        <f>SUM(E347)</f>
        <v>240</v>
      </c>
      <c r="F346" s="166">
        <f t="shared" ref="F346:L346" si="13">SUM(F347)</f>
        <v>205</v>
      </c>
      <c r="G346" s="166">
        <f t="shared" si="13"/>
        <v>30</v>
      </c>
      <c r="H346" s="166">
        <f t="shared" si="13"/>
        <v>5</v>
      </c>
      <c r="I346" s="166">
        <f t="shared" si="13"/>
        <v>0</v>
      </c>
      <c r="J346" s="166">
        <f t="shared" si="13"/>
        <v>0</v>
      </c>
      <c r="K346" s="166">
        <f t="shared" si="13"/>
        <v>0</v>
      </c>
      <c r="L346" s="166">
        <f t="shared" si="13"/>
        <v>0</v>
      </c>
      <c r="M346" s="166">
        <f>E346-D346</f>
        <v>0</v>
      </c>
      <c r="N346" s="167">
        <f>IF(D346=0,0,M346/D346)</f>
        <v>0</v>
      </c>
      <c r="O346" s="95" t="s">
        <v>151</v>
      </c>
      <c r="P346" s="168"/>
      <c r="Q346" s="168"/>
      <c r="R346" s="168"/>
      <c r="S346" s="169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>
        <f>SUM(AD347)</f>
        <v>240000</v>
      </c>
      <c r="AE346" s="170" t="s">
        <v>25</v>
      </c>
      <c r="AF346" s="1"/>
    </row>
    <row r="347" spans="1:32" s="11" customFormat="1" ht="21" customHeight="1">
      <c r="A347" s="184" t="s">
        <v>150</v>
      </c>
      <c r="B347" s="46" t="s">
        <v>148</v>
      </c>
      <c r="C347" s="46" t="s">
        <v>148</v>
      </c>
      <c r="D347" s="151">
        <v>240</v>
      </c>
      <c r="E347" s="103">
        <f>AD347/1000</f>
        <v>240</v>
      </c>
      <c r="F347" s="108">
        <f>SUMIF($AB$348:$AB$358,"보조",$AD$348:$AD$358)/1000</f>
        <v>205</v>
      </c>
      <c r="G347" s="108">
        <f>SUMIF($AB$348:$AB$358,"7종",$AD$348:$AD$358)/1000</f>
        <v>30</v>
      </c>
      <c r="H347" s="108">
        <f>SUMIF($AB$348:$AB$358,"4종",$AD$348:$AD$358)/1000</f>
        <v>5</v>
      </c>
      <c r="I347" s="108">
        <f>SUMIF($AB$348:$AB$358,"후원",$AD$348:$AD$358)/1000</f>
        <v>0</v>
      </c>
      <c r="J347" s="108">
        <f>SUMIF($AB$348:$AB$358,"입소",$AD$348:$AD$358)/1000</f>
        <v>0</v>
      </c>
      <c r="K347" s="108">
        <f>SUMIF($AB$348:$AB$358,"법인",$AD$348:$AD$358)/1000</f>
        <v>0</v>
      </c>
      <c r="L347" s="108">
        <f>SUMIF($AB$348:$AB$358,"잡수",$AD$348:$AD$358)/1000</f>
        <v>0</v>
      </c>
      <c r="M347" s="103">
        <f>E347-D347</f>
        <v>0</v>
      </c>
      <c r="N347" s="68">
        <f>IF(D347=0,0,M347/D347)</f>
        <v>0</v>
      </c>
      <c r="O347" s="292" t="s">
        <v>199</v>
      </c>
      <c r="P347" s="32"/>
      <c r="Q347" s="32"/>
      <c r="R347" s="32"/>
      <c r="S347" s="32"/>
      <c r="T347" s="33"/>
      <c r="U347" s="33"/>
      <c r="V347" s="33"/>
      <c r="W347" s="33"/>
      <c r="X347" s="33"/>
      <c r="Y347" s="169" t="s">
        <v>137</v>
      </c>
      <c r="Z347" s="97"/>
      <c r="AA347" s="97"/>
      <c r="AB347" s="97"/>
      <c r="AC347" s="112"/>
      <c r="AD347" s="112">
        <f>ROUNDUP(SUM(AD348:AD357),-3)</f>
        <v>240000</v>
      </c>
      <c r="AE347" s="113" t="s">
        <v>25</v>
      </c>
      <c r="AF347" s="1"/>
    </row>
    <row r="348" spans="1:32" ht="21" customHeight="1">
      <c r="A348" s="45"/>
      <c r="B348" s="46" t="s">
        <v>149</v>
      </c>
      <c r="C348" s="46" t="s">
        <v>149</v>
      </c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440" t="s">
        <v>328</v>
      </c>
      <c r="P348" s="377"/>
      <c r="Q348" s="377"/>
      <c r="R348" s="377"/>
      <c r="S348" s="376"/>
      <c r="T348" s="376"/>
      <c r="U348" s="376"/>
      <c r="V348" s="376"/>
      <c r="W348" s="376"/>
      <c r="X348" s="376"/>
      <c r="Y348" s="376"/>
      <c r="Z348" s="376"/>
      <c r="AA348" s="376"/>
      <c r="AB348" s="546" t="s">
        <v>558</v>
      </c>
      <c r="AC348" s="376"/>
      <c r="AD348" s="66">
        <v>0</v>
      </c>
      <c r="AE348" s="131" t="s">
        <v>25</v>
      </c>
    </row>
    <row r="349" spans="1:32" ht="21" customHeight="1">
      <c r="A349" s="45"/>
      <c r="B349" s="46"/>
      <c r="C349" s="46"/>
      <c r="D349" s="151"/>
      <c r="E349" s="103"/>
      <c r="F349" s="103"/>
      <c r="G349" s="103"/>
      <c r="H349" s="103"/>
      <c r="I349" s="103"/>
      <c r="J349" s="103"/>
      <c r="K349" s="103"/>
      <c r="L349" s="103"/>
      <c r="M349" s="103"/>
      <c r="N349" s="68"/>
      <c r="O349" s="377" t="s">
        <v>289</v>
      </c>
      <c r="P349" s="377"/>
      <c r="Q349" s="377"/>
      <c r="R349" s="377"/>
      <c r="S349" s="376"/>
      <c r="T349" s="376"/>
      <c r="U349" s="376"/>
      <c r="V349" s="376"/>
      <c r="W349" s="376"/>
      <c r="X349" s="376"/>
      <c r="Y349" s="376"/>
      <c r="Z349" s="376"/>
      <c r="AA349" s="376"/>
      <c r="AB349" s="546" t="s">
        <v>558</v>
      </c>
      <c r="AC349" s="376"/>
      <c r="AD349" s="66">
        <v>200000</v>
      </c>
      <c r="AE349" s="131" t="s">
        <v>258</v>
      </c>
    </row>
    <row r="350" spans="1:32" ht="21" customHeight="1">
      <c r="A350" s="45"/>
      <c r="B350" s="46"/>
      <c r="C350" s="46"/>
      <c r="D350" s="151"/>
      <c r="E350" s="103"/>
      <c r="F350" s="103"/>
      <c r="G350" s="103"/>
      <c r="H350" s="103"/>
      <c r="I350" s="103"/>
      <c r="J350" s="103"/>
      <c r="K350" s="103"/>
      <c r="L350" s="103"/>
      <c r="M350" s="103"/>
      <c r="N350" s="68"/>
      <c r="O350" s="440" t="s">
        <v>329</v>
      </c>
      <c r="P350" s="377"/>
      <c r="Q350" s="377"/>
      <c r="R350" s="377"/>
      <c r="S350" s="376"/>
      <c r="T350" s="376"/>
      <c r="U350" s="376"/>
      <c r="V350" s="376"/>
      <c r="W350" s="376"/>
      <c r="X350" s="376"/>
      <c r="Y350" s="376"/>
      <c r="Z350" s="376"/>
      <c r="AA350" s="376"/>
      <c r="AB350" s="546" t="s">
        <v>558</v>
      </c>
      <c r="AC350" s="376"/>
      <c r="AD350" s="66">
        <v>0</v>
      </c>
      <c r="AE350" s="131" t="s">
        <v>258</v>
      </c>
    </row>
    <row r="351" spans="1:32" ht="21" customHeight="1">
      <c r="A351" s="45"/>
      <c r="B351" s="46"/>
      <c r="C351" s="46"/>
      <c r="D351" s="151"/>
      <c r="E351" s="103"/>
      <c r="F351" s="103"/>
      <c r="G351" s="103"/>
      <c r="H351" s="103"/>
      <c r="I351" s="103"/>
      <c r="J351" s="103"/>
      <c r="K351" s="103"/>
      <c r="L351" s="103"/>
      <c r="M351" s="103"/>
      <c r="N351" s="68"/>
      <c r="O351" s="377" t="s">
        <v>290</v>
      </c>
      <c r="P351" s="377"/>
      <c r="Q351" s="377"/>
      <c r="R351" s="377"/>
      <c r="S351" s="376"/>
      <c r="T351" s="376"/>
      <c r="U351" s="376"/>
      <c r="V351" s="376"/>
      <c r="W351" s="376"/>
      <c r="X351" s="376"/>
      <c r="Y351" s="376"/>
      <c r="Z351" s="376"/>
      <c r="AA351" s="376"/>
      <c r="AB351" s="546" t="s">
        <v>565</v>
      </c>
      <c r="AC351" s="376"/>
      <c r="AD351" s="66">
        <v>5000</v>
      </c>
      <c r="AE351" s="131" t="s">
        <v>258</v>
      </c>
    </row>
    <row r="352" spans="1:32" ht="21" customHeight="1">
      <c r="A352" s="45"/>
      <c r="B352" s="46"/>
      <c r="C352" s="46"/>
      <c r="D352" s="151"/>
      <c r="E352" s="103"/>
      <c r="F352" s="103"/>
      <c r="G352" s="103"/>
      <c r="H352" s="103"/>
      <c r="I352" s="103"/>
      <c r="J352" s="103"/>
      <c r="K352" s="103"/>
      <c r="L352" s="103"/>
      <c r="M352" s="103"/>
      <c r="N352" s="68"/>
      <c r="O352" s="440" t="s">
        <v>330</v>
      </c>
      <c r="P352" s="377"/>
      <c r="Q352" s="377"/>
      <c r="R352" s="377"/>
      <c r="S352" s="376"/>
      <c r="T352" s="376"/>
      <c r="U352" s="376"/>
      <c r="V352" s="376"/>
      <c r="W352" s="376"/>
      <c r="X352" s="376"/>
      <c r="Y352" s="376"/>
      <c r="Z352" s="376"/>
      <c r="AA352" s="376"/>
      <c r="AB352" s="546" t="s">
        <v>566</v>
      </c>
      <c r="AC352" s="376"/>
      <c r="AD352" s="66">
        <v>0</v>
      </c>
      <c r="AE352" s="131" t="s">
        <v>25</v>
      </c>
    </row>
    <row r="353" spans="1:32" ht="21" customHeight="1">
      <c r="A353" s="45"/>
      <c r="B353" s="46"/>
      <c r="C353" s="46"/>
      <c r="D353" s="151"/>
      <c r="E353" s="103"/>
      <c r="F353" s="103"/>
      <c r="G353" s="103"/>
      <c r="H353" s="103"/>
      <c r="I353" s="103"/>
      <c r="J353" s="103"/>
      <c r="K353" s="103"/>
      <c r="L353" s="103"/>
      <c r="M353" s="103"/>
      <c r="N353" s="68"/>
      <c r="O353" s="377" t="s">
        <v>291</v>
      </c>
      <c r="P353" s="377"/>
      <c r="Q353" s="377"/>
      <c r="R353" s="377"/>
      <c r="S353" s="376"/>
      <c r="T353" s="376"/>
      <c r="U353" s="376"/>
      <c r="V353" s="376"/>
      <c r="W353" s="376"/>
      <c r="X353" s="376"/>
      <c r="Y353" s="376"/>
      <c r="Z353" s="376"/>
      <c r="AA353" s="376"/>
      <c r="AB353" s="546" t="s">
        <v>566</v>
      </c>
      <c r="AC353" s="376"/>
      <c r="AD353" s="66">
        <v>5000</v>
      </c>
      <c r="AE353" s="131" t="s">
        <v>258</v>
      </c>
    </row>
    <row r="354" spans="1:32" ht="21" customHeight="1">
      <c r="A354" s="45"/>
      <c r="B354" s="46"/>
      <c r="C354" s="46"/>
      <c r="D354" s="151"/>
      <c r="E354" s="103"/>
      <c r="F354" s="103"/>
      <c r="G354" s="103"/>
      <c r="H354" s="103"/>
      <c r="I354" s="103"/>
      <c r="J354" s="103"/>
      <c r="K354" s="103"/>
      <c r="L354" s="103"/>
      <c r="M354" s="103"/>
      <c r="N354" s="68"/>
      <c r="O354" s="440" t="s">
        <v>331</v>
      </c>
      <c r="P354" s="377"/>
      <c r="Q354" s="377"/>
      <c r="R354" s="377"/>
      <c r="S354" s="376"/>
      <c r="T354" s="376"/>
      <c r="U354" s="376"/>
      <c r="V354" s="376"/>
      <c r="W354" s="376"/>
      <c r="X354" s="376"/>
      <c r="Y354" s="376"/>
      <c r="Z354" s="376"/>
      <c r="AA354" s="376"/>
      <c r="AB354" s="546" t="s">
        <v>567</v>
      </c>
      <c r="AC354" s="376"/>
      <c r="AD354" s="66">
        <v>0</v>
      </c>
      <c r="AE354" s="131" t="s">
        <v>25</v>
      </c>
    </row>
    <row r="355" spans="1:32" ht="21" customHeight="1">
      <c r="A355" s="45"/>
      <c r="B355" s="46"/>
      <c r="C355" s="46"/>
      <c r="D355" s="151"/>
      <c r="E355" s="103"/>
      <c r="F355" s="103"/>
      <c r="G355" s="103"/>
      <c r="H355" s="103"/>
      <c r="I355" s="103"/>
      <c r="J355" s="103"/>
      <c r="K355" s="103"/>
      <c r="L355" s="103"/>
      <c r="M355" s="103"/>
      <c r="N355" s="68"/>
      <c r="O355" s="377" t="s">
        <v>292</v>
      </c>
      <c r="P355" s="377"/>
      <c r="Q355" s="377"/>
      <c r="R355" s="377"/>
      <c r="S355" s="376"/>
      <c r="T355" s="376"/>
      <c r="U355" s="376"/>
      <c r="V355" s="376"/>
      <c r="W355" s="376"/>
      <c r="X355" s="376"/>
      <c r="Y355" s="376"/>
      <c r="Z355" s="376"/>
      <c r="AA355" s="376"/>
      <c r="AB355" s="546" t="s">
        <v>567</v>
      </c>
      <c r="AC355" s="376"/>
      <c r="AD355" s="66">
        <v>25000</v>
      </c>
      <c r="AE355" s="131" t="s">
        <v>258</v>
      </c>
    </row>
    <row r="356" spans="1:32" ht="21" customHeight="1">
      <c r="A356" s="45"/>
      <c r="B356" s="46"/>
      <c r="C356" s="46"/>
      <c r="D356" s="151"/>
      <c r="E356" s="103"/>
      <c r="F356" s="103"/>
      <c r="G356" s="103"/>
      <c r="H356" s="103"/>
      <c r="I356" s="103"/>
      <c r="J356" s="103"/>
      <c r="K356" s="103"/>
      <c r="L356" s="103"/>
      <c r="M356" s="103"/>
      <c r="N356" s="68"/>
      <c r="O356" s="550" t="s">
        <v>592</v>
      </c>
      <c r="P356" s="377"/>
      <c r="Q356" s="377"/>
      <c r="R356" s="377"/>
      <c r="S356" s="376"/>
      <c r="T356" s="376"/>
      <c r="U356" s="376"/>
      <c r="V356" s="376"/>
      <c r="W356" s="376"/>
      <c r="X356" s="376"/>
      <c r="Y356" s="376"/>
      <c r="Z356" s="376"/>
      <c r="AA356" s="376"/>
      <c r="AB356" s="546" t="s">
        <v>567</v>
      </c>
      <c r="AC356" s="376"/>
      <c r="AD356" s="66">
        <v>0</v>
      </c>
      <c r="AE356" s="131" t="s">
        <v>25</v>
      </c>
    </row>
    <row r="357" spans="1:32" ht="21" customHeight="1">
      <c r="A357" s="45"/>
      <c r="B357" s="46"/>
      <c r="C357" s="46"/>
      <c r="D357" s="151"/>
      <c r="E357" s="103"/>
      <c r="F357" s="103"/>
      <c r="G357" s="103"/>
      <c r="H357" s="103"/>
      <c r="I357" s="103"/>
      <c r="J357" s="103"/>
      <c r="K357" s="103"/>
      <c r="L357" s="103"/>
      <c r="M357" s="103"/>
      <c r="N357" s="68"/>
      <c r="O357" s="550" t="s">
        <v>593</v>
      </c>
      <c r="P357" s="377"/>
      <c r="Q357" s="377"/>
      <c r="R357" s="377"/>
      <c r="S357" s="376"/>
      <c r="T357" s="376"/>
      <c r="U357" s="376"/>
      <c r="V357" s="376"/>
      <c r="W357" s="376"/>
      <c r="X357" s="376"/>
      <c r="Y357" s="376"/>
      <c r="Z357" s="376"/>
      <c r="AA357" s="376"/>
      <c r="AB357" s="546" t="s">
        <v>567</v>
      </c>
      <c r="AC357" s="376"/>
      <c r="AD357" s="66">
        <v>5000</v>
      </c>
      <c r="AE357" s="131" t="s">
        <v>25</v>
      </c>
    </row>
    <row r="358" spans="1:32" s="14" customFormat="1" ht="21" customHeight="1">
      <c r="A358" s="45"/>
      <c r="B358" s="59"/>
      <c r="C358" s="47"/>
      <c r="D358" s="151"/>
      <c r="E358" s="103"/>
      <c r="F358" s="103"/>
      <c r="G358" s="103"/>
      <c r="H358" s="103"/>
      <c r="I358" s="103"/>
      <c r="J358" s="103"/>
      <c r="K358" s="103"/>
      <c r="L358" s="103"/>
      <c r="M358" s="103"/>
      <c r="N358" s="68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1"/>
      <c r="AE358" s="57"/>
      <c r="AF358" s="4"/>
    </row>
    <row r="359" spans="1:32" s="11" customFormat="1" ht="21" customHeight="1">
      <c r="A359" s="35" t="s">
        <v>88</v>
      </c>
      <c r="B359" s="762" t="s">
        <v>20</v>
      </c>
      <c r="C359" s="763"/>
      <c r="D359" s="166">
        <f>D360</f>
        <v>0</v>
      </c>
      <c r="E359" s="166">
        <f>E360</f>
        <v>0</v>
      </c>
      <c r="F359" s="166">
        <f t="shared" ref="F359:L359" si="14">F360</f>
        <v>0</v>
      </c>
      <c r="G359" s="166">
        <f t="shared" si="14"/>
        <v>0</v>
      </c>
      <c r="H359" s="166">
        <f t="shared" si="14"/>
        <v>0</v>
      </c>
      <c r="I359" s="166">
        <f t="shared" si="14"/>
        <v>0</v>
      </c>
      <c r="J359" s="166">
        <f t="shared" si="14"/>
        <v>0</v>
      </c>
      <c r="K359" s="166">
        <f t="shared" si="14"/>
        <v>0</v>
      </c>
      <c r="L359" s="166">
        <f t="shared" si="14"/>
        <v>0</v>
      </c>
      <c r="M359" s="166">
        <f>E359-D359</f>
        <v>0</v>
      </c>
      <c r="N359" s="167">
        <f>IF(D359=0,0,M359/D359)</f>
        <v>0</v>
      </c>
      <c r="O359" s="168" t="s">
        <v>88</v>
      </c>
      <c r="P359" s="168"/>
      <c r="Q359" s="168"/>
      <c r="R359" s="168"/>
      <c r="S359" s="169"/>
      <c r="T359" s="169"/>
      <c r="U359" s="169"/>
      <c r="V359" s="169"/>
      <c r="W359" s="169"/>
      <c r="X359" s="169"/>
      <c r="Y359" s="169"/>
      <c r="Z359" s="169"/>
      <c r="AA359" s="169"/>
      <c r="AB359" s="169"/>
      <c r="AC359" s="169"/>
      <c r="AD359" s="169">
        <f>SUM(AD360)</f>
        <v>0</v>
      </c>
      <c r="AE359" s="170" t="s">
        <v>25</v>
      </c>
      <c r="AF359" s="1"/>
    </row>
    <row r="360" spans="1:32" s="11" customFormat="1" ht="21" customHeight="1">
      <c r="A360" s="45"/>
      <c r="B360" s="46" t="s">
        <v>88</v>
      </c>
      <c r="C360" s="46" t="s">
        <v>88</v>
      </c>
      <c r="D360" s="151">
        <v>0</v>
      </c>
      <c r="E360" s="103">
        <f>AD360/1000</f>
        <v>0</v>
      </c>
      <c r="F360" s="108">
        <f>SUMIF($AB$361:$AB$361,"보조",$AD$361:$AD$361)/1000</f>
        <v>0</v>
      </c>
      <c r="G360" s="108">
        <f>SUMIF($AB$361:$AB$361,"7종",$AD$361:$AD$361)/1000</f>
        <v>0</v>
      </c>
      <c r="H360" s="108">
        <f>SUMIF($AB$361:$AB$361,"4종",$AD$361:$AD$361)/1000</f>
        <v>0</v>
      </c>
      <c r="I360" s="108">
        <f>SUMIF($AB$361:$AB$361,"후원",$AD$361:$AD$361)/1000</f>
        <v>0</v>
      </c>
      <c r="J360" s="108">
        <f>SUMIF($AB$361:$AB$361,"입소",$AD$361:$AD$361)/1000</f>
        <v>0</v>
      </c>
      <c r="K360" s="108">
        <f>SUMIF($AB$361:$AB$361,"법인",$AD$361:$AD$361)/1000</f>
        <v>0</v>
      </c>
      <c r="L360" s="108">
        <f>SUMIF($AB$361:$AB$361,"잡수",$AD$361:$AD$361)/1000</f>
        <v>0</v>
      </c>
      <c r="M360" s="103">
        <f>E360-D360</f>
        <v>0</v>
      </c>
      <c r="N360" s="68">
        <f>IF(D360=0,0,M360/D360)</f>
        <v>0</v>
      </c>
      <c r="O360" s="110" t="s">
        <v>89</v>
      </c>
      <c r="P360" s="32"/>
      <c r="Q360" s="32"/>
      <c r="R360" s="32"/>
      <c r="S360" s="32"/>
      <c r="T360" s="33"/>
      <c r="U360" s="33"/>
      <c r="V360" s="33"/>
      <c r="W360" s="33"/>
      <c r="X360" s="33"/>
      <c r="Y360" s="169" t="s">
        <v>137</v>
      </c>
      <c r="Z360" s="97"/>
      <c r="AA360" s="97"/>
      <c r="AB360" s="97"/>
      <c r="AC360" s="112"/>
      <c r="AD360" s="112">
        <v>0</v>
      </c>
      <c r="AE360" s="113" t="s">
        <v>25</v>
      </c>
      <c r="AF360" s="1"/>
    </row>
    <row r="361" spans="1:32" s="1" customFormat="1" ht="21" customHeight="1" thickBot="1">
      <c r="A361" s="132"/>
      <c r="B361" s="46"/>
      <c r="C361" s="46"/>
      <c r="D361" s="151"/>
      <c r="E361" s="103"/>
      <c r="F361" s="103"/>
      <c r="G361" s="103"/>
      <c r="H361" s="103"/>
      <c r="I361" s="103"/>
      <c r="J361" s="103"/>
      <c r="K361" s="103"/>
      <c r="L361" s="103"/>
      <c r="M361" s="103"/>
      <c r="N361" s="68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135"/>
    </row>
    <row r="362" spans="1:32" s="11" customFormat="1" ht="21" customHeight="1">
      <c r="A362" s="35" t="s">
        <v>21</v>
      </c>
      <c r="B362" s="760" t="s">
        <v>20</v>
      </c>
      <c r="C362" s="761"/>
      <c r="D362" s="189">
        <f>SUM(D363)</f>
        <v>0</v>
      </c>
      <c r="E362" s="189">
        <f>SUM(E363)</f>
        <v>0</v>
      </c>
      <c r="F362" s="189">
        <f t="shared" ref="F362:L362" si="15">SUM(F363)</f>
        <v>0</v>
      </c>
      <c r="G362" s="189">
        <f t="shared" si="15"/>
        <v>0</v>
      </c>
      <c r="H362" s="189">
        <f t="shared" si="15"/>
        <v>0</v>
      </c>
      <c r="I362" s="189">
        <f t="shared" si="15"/>
        <v>0</v>
      </c>
      <c r="J362" s="189">
        <f t="shared" si="15"/>
        <v>0</v>
      </c>
      <c r="K362" s="189">
        <f t="shared" si="15"/>
        <v>0</v>
      </c>
      <c r="L362" s="189">
        <f t="shared" si="15"/>
        <v>0</v>
      </c>
      <c r="M362" s="189">
        <f>E362-D362</f>
        <v>0</v>
      </c>
      <c r="N362" s="190">
        <f>IF(D362=0,0,M362/D362)</f>
        <v>0</v>
      </c>
      <c r="O362" s="159" t="s">
        <v>21</v>
      </c>
      <c r="P362" s="160"/>
      <c r="Q362" s="160"/>
      <c r="R362" s="160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>
        <f>AD363</f>
        <v>0</v>
      </c>
      <c r="AE362" s="162" t="s">
        <v>25</v>
      </c>
      <c r="AF362" s="1"/>
    </row>
    <row r="363" spans="1:32" s="11" customFormat="1" ht="21" customHeight="1">
      <c r="A363" s="45"/>
      <c r="B363" s="46" t="s">
        <v>21</v>
      </c>
      <c r="C363" s="46" t="s">
        <v>21</v>
      </c>
      <c r="D363" s="103">
        <v>0</v>
      </c>
      <c r="E363" s="103">
        <f>SUM(F363:L363)</f>
        <v>0</v>
      </c>
      <c r="F363" s="108">
        <f>SUMIF($AB$363:$AB$368,"보조",$AD$363:$AD$368)/1000</f>
        <v>0</v>
      </c>
      <c r="G363" s="108">
        <f>SUMIF($AB$363:$AB$368,"7종",$AD$363:$AD$368)/1000</f>
        <v>0</v>
      </c>
      <c r="H363" s="108">
        <f>SUMIF($AB$363:$AB$368,"4종",$AD$363:$AD$368)/1000</f>
        <v>0</v>
      </c>
      <c r="I363" s="108">
        <f>SUMIF($AB$363:$AB$368,"후원",$AD$363:$AD$368)/1000</f>
        <v>0</v>
      </c>
      <c r="J363" s="108">
        <f>SUMIF($AB$363:$AB$368,"입소",$AD$363:$AD$368)/1000</f>
        <v>0</v>
      </c>
      <c r="K363" s="108">
        <f>SUMIF($AB$363:$AB$368,"법인",$AD$363:$AD$368)/1000</f>
        <v>0</v>
      </c>
      <c r="L363" s="108">
        <f>SUMIF($AB$363:$AB$368,"잡수",$AD$363:$AD$368)/1000</f>
        <v>0</v>
      </c>
      <c r="M363" s="103">
        <f>E363-D363</f>
        <v>0</v>
      </c>
      <c r="N363" s="68">
        <f>IF(D363=0,0,M363/D363)</f>
        <v>0</v>
      </c>
      <c r="O363" s="110" t="s">
        <v>52</v>
      </c>
      <c r="P363" s="32"/>
      <c r="Q363" s="32"/>
      <c r="R363" s="32"/>
      <c r="S363" s="32"/>
      <c r="T363" s="33"/>
      <c r="U363" s="33"/>
      <c r="V363" s="33"/>
      <c r="W363" s="33"/>
      <c r="X363" s="33"/>
      <c r="Y363" s="169" t="s">
        <v>137</v>
      </c>
      <c r="Z363" s="97"/>
      <c r="AA363" s="97"/>
      <c r="AB363" s="97"/>
      <c r="AC363" s="112"/>
      <c r="AD363" s="112">
        <f>SUM(AD364:AD367)</f>
        <v>0</v>
      </c>
      <c r="AE363" s="113" t="s">
        <v>25</v>
      </c>
      <c r="AF363" s="1"/>
    </row>
    <row r="364" spans="1:32" s="11" customFormat="1" ht="21" customHeight="1">
      <c r="A364" s="45"/>
      <c r="B364" s="46"/>
      <c r="C364" s="46"/>
      <c r="D364" s="151"/>
      <c r="E364" s="103"/>
      <c r="F364" s="103"/>
      <c r="G364" s="103"/>
      <c r="H364" s="103"/>
      <c r="I364" s="103"/>
      <c r="J364" s="103"/>
      <c r="K364" s="103"/>
      <c r="L364" s="103"/>
      <c r="M364" s="103"/>
      <c r="N364" s="68"/>
      <c r="O364" s="440" t="s">
        <v>324</v>
      </c>
      <c r="P364" s="377"/>
      <c r="Q364" s="377"/>
      <c r="R364" s="377"/>
      <c r="S364" s="377"/>
      <c r="T364" s="376"/>
      <c r="U364" s="376"/>
      <c r="V364" s="376"/>
      <c r="W364" s="376"/>
      <c r="X364" s="376"/>
      <c r="Y364" s="376"/>
      <c r="Z364" s="376"/>
      <c r="AA364" s="376"/>
      <c r="AB364" s="546" t="s">
        <v>568</v>
      </c>
      <c r="AC364" s="130"/>
      <c r="AD364" s="533">
        <v>0</v>
      </c>
      <c r="AE364" s="619" t="s">
        <v>780</v>
      </c>
      <c r="AF364" s="2"/>
    </row>
    <row r="365" spans="1:32" s="11" customFormat="1" ht="21" customHeight="1">
      <c r="A365" s="45"/>
      <c r="B365" s="46"/>
      <c r="C365" s="46"/>
      <c r="D365" s="151"/>
      <c r="E365" s="103"/>
      <c r="F365" s="103"/>
      <c r="G365" s="103"/>
      <c r="H365" s="103"/>
      <c r="I365" s="103"/>
      <c r="J365" s="103"/>
      <c r="K365" s="103"/>
      <c r="L365" s="103"/>
      <c r="M365" s="103"/>
      <c r="N365" s="68"/>
      <c r="O365" s="440" t="s">
        <v>325</v>
      </c>
      <c r="P365" s="377"/>
      <c r="Q365" s="377"/>
      <c r="R365" s="377"/>
      <c r="S365" s="377"/>
      <c r="T365" s="376"/>
      <c r="U365" s="376"/>
      <c r="V365" s="376"/>
      <c r="W365" s="376"/>
      <c r="X365" s="376"/>
      <c r="Y365" s="376"/>
      <c r="Z365" s="376"/>
      <c r="AA365" s="376"/>
      <c r="AB365" s="546" t="s">
        <v>561</v>
      </c>
      <c r="AC365" s="130"/>
      <c r="AD365" s="533">
        <v>0</v>
      </c>
      <c r="AE365" s="619" t="s">
        <v>780</v>
      </c>
      <c r="AF365" s="2"/>
    </row>
    <row r="366" spans="1:32" s="11" customFormat="1" ht="21" customHeight="1">
      <c r="A366" s="45"/>
      <c r="B366" s="46"/>
      <c r="C366" s="46"/>
      <c r="D366" s="151"/>
      <c r="E366" s="103"/>
      <c r="F366" s="103"/>
      <c r="G366" s="103"/>
      <c r="H366" s="103"/>
      <c r="I366" s="103"/>
      <c r="J366" s="103"/>
      <c r="K366" s="103"/>
      <c r="L366" s="103"/>
      <c r="M366" s="103"/>
      <c r="N366" s="68"/>
      <c r="O366" s="440" t="s">
        <v>326</v>
      </c>
      <c r="P366" s="377"/>
      <c r="Q366" s="377"/>
      <c r="R366" s="377"/>
      <c r="S366" s="377"/>
      <c r="T366" s="376"/>
      <c r="U366" s="376"/>
      <c r="V366" s="376"/>
      <c r="W366" s="376"/>
      <c r="X366" s="376"/>
      <c r="Y366" s="376"/>
      <c r="Z366" s="376"/>
      <c r="AA366" s="376"/>
      <c r="AB366" s="546" t="s">
        <v>560</v>
      </c>
      <c r="AC366" s="130"/>
      <c r="AD366" s="533">
        <v>0</v>
      </c>
      <c r="AE366" s="619" t="s">
        <v>780</v>
      </c>
      <c r="AF366" s="2"/>
    </row>
    <row r="367" spans="1:32" s="11" customFormat="1" ht="21" customHeight="1">
      <c r="A367" s="45"/>
      <c r="B367" s="46"/>
      <c r="C367" s="46"/>
      <c r="D367" s="151"/>
      <c r="E367" s="103"/>
      <c r="F367" s="103"/>
      <c r="G367" s="103"/>
      <c r="H367" s="103"/>
      <c r="I367" s="103"/>
      <c r="J367" s="103"/>
      <c r="K367" s="103"/>
      <c r="L367" s="103"/>
      <c r="M367" s="103"/>
      <c r="N367" s="68"/>
      <c r="O367" s="440" t="s">
        <v>327</v>
      </c>
      <c r="P367" s="377"/>
      <c r="Q367" s="377"/>
      <c r="R367" s="377"/>
      <c r="S367" s="377"/>
      <c r="T367" s="376"/>
      <c r="U367" s="376"/>
      <c r="V367" s="376"/>
      <c r="W367" s="376"/>
      <c r="X367" s="376"/>
      <c r="Y367" s="376"/>
      <c r="Z367" s="376"/>
      <c r="AA367" s="376"/>
      <c r="AB367" s="546" t="s">
        <v>569</v>
      </c>
      <c r="AC367" s="130"/>
      <c r="AD367" s="533">
        <v>0</v>
      </c>
      <c r="AE367" s="619" t="s">
        <v>780</v>
      </c>
      <c r="AF367" s="2"/>
    </row>
    <row r="368" spans="1:32" s="1" customFormat="1" ht="21" customHeight="1" thickBot="1">
      <c r="A368" s="132"/>
      <c r="B368" s="100"/>
      <c r="C368" s="100"/>
      <c r="D368" s="156"/>
      <c r="E368" s="133"/>
      <c r="F368" s="133"/>
      <c r="G368" s="133"/>
      <c r="H368" s="133"/>
      <c r="I368" s="133"/>
      <c r="J368" s="133"/>
      <c r="K368" s="133"/>
      <c r="L368" s="133"/>
      <c r="M368" s="133"/>
      <c r="N368" s="134"/>
      <c r="O368" s="415"/>
      <c r="P368" s="415"/>
      <c r="Q368" s="415"/>
      <c r="R368" s="415"/>
      <c r="S368" s="416"/>
      <c r="T368" s="416"/>
      <c r="U368" s="416"/>
      <c r="V368" s="416"/>
      <c r="W368" s="416"/>
      <c r="X368" s="416"/>
      <c r="Y368" s="416"/>
      <c r="Z368" s="416"/>
      <c r="AA368" s="416"/>
      <c r="AB368" s="416"/>
      <c r="AC368" s="416"/>
      <c r="AD368" s="416"/>
      <c r="AE368" s="417"/>
    </row>
    <row r="370" spans="5:6" ht="21" customHeight="1">
      <c r="E370" s="294"/>
      <c r="F370" s="294"/>
    </row>
    <row r="371" spans="5:6" ht="21" customHeight="1">
      <c r="E371" s="294"/>
      <c r="F371" s="294"/>
    </row>
    <row r="372" spans="5:6" ht="21" customHeight="1">
      <c r="F372" s="294"/>
    </row>
    <row r="373" spans="5:6" ht="21" customHeight="1">
      <c r="E373" s="294"/>
      <c r="F373" s="294"/>
    </row>
    <row r="374" spans="5:6" ht="21" customHeight="1">
      <c r="E374" s="294"/>
      <c r="F374" s="294"/>
    </row>
    <row r="375" spans="5:6" ht="21" customHeight="1">
      <c r="E375" s="294"/>
      <c r="F375" s="294"/>
    </row>
  </sheetData>
  <mergeCells count="23">
    <mergeCell ref="B362:C362"/>
    <mergeCell ref="B359:C359"/>
    <mergeCell ref="B346:C346"/>
    <mergeCell ref="B196:C196"/>
    <mergeCell ref="B168:C168"/>
    <mergeCell ref="O2:AE3"/>
    <mergeCell ref="A1:D1"/>
    <mergeCell ref="V143:W143"/>
    <mergeCell ref="V87:W87"/>
    <mergeCell ref="O129:S129"/>
    <mergeCell ref="B5:C5"/>
    <mergeCell ref="A4:C4"/>
    <mergeCell ref="M2:N2"/>
    <mergeCell ref="A2:C2"/>
    <mergeCell ref="D2:D3"/>
    <mergeCell ref="E2:L2"/>
    <mergeCell ref="V102:W102"/>
    <mergeCell ref="T147:T148"/>
    <mergeCell ref="U147:U148"/>
    <mergeCell ref="V147:V148"/>
    <mergeCell ref="W147:W148"/>
    <mergeCell ref="P255:R255"/>
    <mergeCell ref="S147:S148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2019-06-19T01:54:46Z</cp:lastPrinted>
  <dcterms:created xsi:type="dcterms:W3CDTF">2003-12-18T04:11:57Z</dcterms:created>
  <dcterms:modified xsi:type="dcterms:W3CDTF">2019-06-28T00:31:58Z</dcterms:modified>
</cp:coreProperties>
</file>