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2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세입!$A$1:$Y$295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I293" i="5"/>
  <c r="AD161"/>
  <c r="AD215"/>
  <c r="AD214"/>
  <c r="AD170"/>
  <c r="X210" i="29"/>
  <c r="X205"/>
  <c r="K293" i="5"/>
  <c r="AD152"/>
  <c r="AD151"/>
  <c r="AD150"/>
  <c r="AD69"/>
  <c r="M65" i="29"/>
  <c r="M129" s="1"/>
  <c r="M64"/>
  <c r="M128" s="1"/>
  <c r="AD110" i="5" l="1"/>
  <c r="X269" i="29"/>
  <c r="I259" i="5"/>
  <c r="AD259"/>
  <c r="X230" i="29"/>
  <c r="X225"/>
  <c r="AD16" i="5"/>
  <c r="AD251"/>
  <c r="E243" i="29"/>
  <c r="E258"/>
  <c r="AD91" i="5"/>
  <c r="AD90" s="1"/>
  <c r="E285" i="29"/>
  <c r="X254"/>
  <c r="AD148" i="5" l="1"/>
  <c r="AD169"/>
  <c r="X240" i="29"/>
  <c r="F256"/>
  <c r="G256" s="1"/>
  <c r="H256" s="1"/>
  <c r="F254"/>
  <c r="F261"/>
  <c r="G261" s="1"/>
  <c r="H261" s="1"/>
  <c r="F259"/>
  <c r="X258"/>
  <c r="X233"/>
  <c r="AD120" i="5"/>
  <c r="AD193"/>
  <c r="AD160"/>
  <c r="AD159" s="1"/>
  <c r="X238" i="29"/>
  <c r="X237" s="1"/>
  <c r="X227"/>
  <c r="X223"/>
  <c r="X221"/>
  <c r="X220" s="1"/>
  <c r="X215"/>
  <c r="X214"/>
  <c r="X213"/>
  <c r="X212"/>
  <c r="X211"/>
  <c r="X207"/>
  <c r="X204"/>
  <c r="E235"/>
  <c r="X22"/>
  <c r="X24"/>
  <c r="X15"/>
  <c r="M109"/>
  <c r="X109" s="1"/>
  <c r="M110"/>
  <c r="M108"/>
  <c r="M45"/>
  <c r="X45" s="1"/>
  <c r="M46"/>
  <c r="M44"/>
  <c r="X202" l="1"/>
  <c r="X235"/>
  <c r="F236" s="1"/>
  <c r="F235" s="1"/>
  <c r="F258"/>
  <c r="AD293" i="5"/>
  <c r="X199" i="29" l="1"/>
  <c r="AD307" i="5"/>
  <c r="AD212" l="1"/>
  <c r="X187" i="29"/>
  <c r="AD147" i="5"/>
  <c r="AD154"/>
  <c r="AD64"/>
  <c r="AD156"/>
  <c r="X289" i="29" l="1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AD121" i="5" l="1"/>
  <c r="X144" i="29" l="1"/>
  <c r="AD226" i="5"/>
  <c r="AD219" l="1"/>
  <c r="AD206" l="1"/>
  <c r="S38"/>
  <c r="X148" i="29"/>
  <c r="M150"/>
  <c r="X150" s="1"/>
  <c r="X113"/>
  <c r="M119"/>
  <c r="M122" s="1"/>
  <c r="X122" s="1"/>
  <c r="M55"/>
  <c r="M58" s="1"/>
  <c r="X290"/>
  <c r="AD194" i="5"/>
  <c r="AD188"/>
  <c r="X6" i="29"/>
  <c r="X166"/>
  <c r="M153" l="1"/>
  <c r="M156"/>
  <c r="X156" s="1"/>
  <c r="M155"/>
  <c r="X155" s="1"/>
  <c r="M152"/>
  <c r="X152" s="1"/>
  <c r="M121"/>
  <c r="M125"/>
  <c r="X125" s="1"/>
  <c r="M124"/>
  <c r="X124" s="1"/>
  <c r="M57"/>
  <c r="X57" s="1"/>
  <c r="M61"/>
  <c r="M60"/>
  <c r="X55"/>
  <c r="X153" l="1"/>
  <c r="M154" s="1"/>
  <c r="X154" s="1"/>
  <c r="X247"/>
  <c r="X244"/>
  <c r="AD157" i="5" l="1"/>
  <c r="I27" i="18"/>
  <c r="I23"/>
  <c r="I16"/>
  <c r="I12"/>
  <c r="I8"/>
  <c r="D22"/>
  <c r="D20"/>
  <c r="D18"/>
  <c r="D15"/>
  <c r="D10"/>
  <c r="D8"/>
  <c r="AD213" i="5"/>
  <c r="AD205"/>
  <c r="D7" i="18" l="1"/>
  <c r="I7"/>
  <c r="AD315" i="5"/>
  <c r="AD220"/>
  <c r="AD192"/>
  <c r="X16" i="29" l="1"/>
  <c r="X132"/>
  <c r="X117"/>
  <c r="X44"/>
  <c r="X36"/>
  <c r="X183" l="1"/>
  <c r="M26"/>
  <c r="X26" s="1"/>
  <c r="X146"/>
  <c r="X51"/>
  <c r="L344" i="5" l="1"/>
  <c r="K344"/>
  <c r="J344"/>
  <c r="I344"/>
  <c r="H344"/>
  <c r="G344"/>
  <c r="F344"/>
  <c r="J341"/>
  <c r="L341"/>
  <c r="K341"/>
  <c r="I341"/>
  <c r="H341"/>
  <c r="G341"/>
  <c r="F341"/>
  <c r="L328"/>
  <c r="K328"/>
  <c r="J328"/>
  <c r="I328"/>
  <c r="H328"/>
  <c r="G328"/>
  <c r="F328"/>
  <c r="L321"/>
  <c r="K321"/>
  <c r="H321"/>
  <c r="G321"/>
  <c r="F321"/>
  <c r="L315"/>
  <c r="K315"/>
  <c r="J315"/>
  <c r="I315"/>
  <c r="H315"/>
  <c r="G315"/>
  <c r="F315"/>
  <c r="L307"/>
  <c r="K307"/>
  <c r="J307"/>
  <c r="I307"/>
  <c r="H307"/>
  <c r="G307"/>
  <c r="F307"/>
  <c r="L304"/>
  <c r="K304"/>
  <c r="J304"/>
  <c r="I304"/>
  <c r="H304"/>
  <c r="G304"/>
  <c r="F304"/>
  <c r="L293"/>
  <c r="J293"/>
  <c r="H293"/>
  <c r="G293"/>
  <c r="F293"/>
  <c r="L289"/>
  <c r="K289"/>
  <c r="J289"/>
  <c r="I289"/>
  <c r="H289"/>
  <c r="G289"/>
  <c r="F289"/>
  <c r="L285"/>
  <c r="K285"/>
  <c r="J285"/>
  <c r="I285"/>
  <c r="H285"/>
  <c r="G285"/>
  <c r="F285"/>
  <c r="L279"/>
  <c r="K279"/>
  <c r="I279"/>
  <c r="H279"/>
  <c r="G279"/>
  <c r="F279"/>
  <c r="L270"/>
  <c r="K270"/>
  <c r="J270"/>
  <c r="I270"/>
  <c r="H270"/>
  <c r="G270"/>
  <c r="F270"/>
  <c r="L259"/>
  <c r="K259"/>
  <c r="J259"/>
  <c r="H259"/>
  <c r="G259"/>
  <c r="F259"/>
  <c r="L251"/>
  <c r="K251"/>
  <c r="J251"/>
  <c r="I251"/>
  <c r="H251"/>
  <c r="G251"/>
  <c r="F251"/>
  <c r="L244"/>
  <c r="K244"/>
  <c r="J244"/>
  <c r="I244"/>
  <c r="H244"/>
  <c r="G244"/>
  <c r="F244"/>
  <c r="L231"/>
  <c r="K231"/>
  <c r="H231"/>
  <c r="G231"/>
  <c r="L226"/>
  <c r="K226"/>
  <c r="J226"/>
  <c r="I226"/>
  <c r="H226"/>
  <c r="G226"/>
  <c r="F226"/>
  <c r="L217"/>
  <c r="K217"/>
  <c r="J217"/>
  <c r="H217"/>
  <c r="G217"/>
  <c r="L209"/>
  <c r="K209"/>
  <c r="J209"/>
  <c r="L204"/>
  <c r="K204"/>
  <c r="I204"/>
  <c r="G204"/>
  <c r="F204"/>
  <c r="L200"/>
  <c r="K200"/>
  <c r="J200"/>
  <c r="I200"/>
  <c r="H200"/>
  <c r="G200"/>
  <c r="F200"/>
  <c r="K186"/>
  <c r="J186"/>
  <c r="I186"/>
  <c r="G186"/>
  <c r="L173"/>
  <c r="K173"/>
  <c r="J173"/>
  <c r="I173"/>
  <c r="H173"/>
  <c r="G173"/>
  <c r="L169"/>
  <c r="K169"/>
  <c r="J169"/>
  <c r="H169"/>
  <c r="G169"/>
  <c r="F169"/>
  <c r="L166"/>
  <c r="K166"/>
  <c r="J166"/>
  <c r="I166"/>
  <c r="H166"/>
  <c r="G166"/>
  <c r="F166"/>
  <c r="L142"/>
  <c r="J142"/>
  <c r="H142"/>
  <c r="G142"/>
  <c r="L136"/>
  <c r="K136"/>
  <c r="J136"/>
  <c r="I136"/>
  <c r="H136"/>
  <c r="L124"/>
  <c r="K124"/>
  <c r="J124"/>
  <c r="I124"/>
  <c r="H124"/>
  <c r="G124"/>
  <c r="L116"/>
  <c r="K116"/>
  <c r="J116"/>
  <c r="I116"/>
  <c r="H116"/>
  <c r="G116"/>
  <c r="L93"/>
  <c r="K93"/>
  <c r="J93"/>
  <c r="H93"/>
  <c r="G93"/>
  <c r="L90"/>
  <c r="J90"/>
  <c r="H90"/>
  <c r="G90"/>
  <c r="F90"/>
  <c r="J85"/>
  <c r="I85"/>
  <c r="H85"/>
  <c r="G85"/>
  <c r="F85"/>
  <c r="L83"/>
  <c r="K83"/>
  <c r="J83"/>
  <c r="I83"/>
  <c r="H83"/>
  <c r="G83"/>
  <c r="F83"/>
  <c r="L81"/>
  <c r="K81"/>
  <c r="J81"/>
  <c r="I81"/>
  <c r="H81"/>
  <c r="G81"/>
  <c r="F81"/>
  <c r="J62"/>
  <c r="H62"/>
  <c r="F62"/>
  <c r="L40"/>
  <c r="K40"/>
  <c r="J40"/>
  <c r="I40"/>
  <c r="H40"/>
  <c r="L32"/>
  <c r="J32"/>
  <c r="H32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I32"/>
  <c r="F209" l="1"/>
  <c r="AD97"/>
  <c r="AD87"/>
  <c r="AD85" s="1"/>
  <c r="F244" i="29"/>
  <c r="G244" l="1"/>
  <c r="H244" s="1"/>
  <c r="K85" i="5"/>
  <c r="L85"/>
  <c r="X119" i="29"/>
  <c r="AD285" i="5"/>
  <c r="AD38"/>
  <c r="X182" i="29"/>
  <c r="X181" s="1"/>
  <c r="M123" l="1"/>
  <c r="X58"/>
  <c r="M59" s="1"/>
  <c r="X59" s="1"/>
  <c r="X61"/>
  <c r="X60"/>
  <c r="AD218" i="5" l="1"/>
  <c r="AD217" s="1"/>
  <c r="F142"/>
  <c r="AD119"/>
  <c r="AD118"/>
  <c r="I90"/>
  <c r="AD187"/>
  <c r="AD7"/>
  <c r="X20" i="29"/>
  <c r="I209" i="5" l="1"/>
  <c r="I169"/>
  <c r="X169" i="29"/>
  <c r="X5" l="1"/>
  <c r="H8"/>
  <c r="X8"/>
  <c r="F8" s="1"/>
  <c r="G8" s="1"/>
  <c r="H10"/>
  <c r="X10"/>
  <c r="F10" s="1"/>
  <c r="G10" s="1"/>
  <c r="E13"/>
  <c r="X17"/>
  <c r="X23"/>
  <c r="X35"/>
  <c r="X39"/>
  <c r="X38" s="1"/>
  <c r="E42"/>
  <c r="X46"/>
  <c r="X49"/>
  <c r="X52"/>
  <c r="X64"/>
  <c r="X65"/>
  <c r="X68"/>
  <c r="X71"/>
  <c r="X72"/>
  <c r="X73"/>
  <c r="X74"/>
  <c r="X76"/>
  <c r="X82"/>
  <c r="X83"/>
  <c r="X85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72"/>
  <c r="X174"/>
  <c r="X173" s="1"/>
  <c r="F181"/>
  <c r="G181" s="1"/>
  <c r="H181" s="1"/>
  <c r="E185"/>
  <c r="X186"/>
  <c r="E191"/>
  <c r="H191" s="1"/>
  <c r="H192"/>
  <c r="X192"/>
  <c r="X191" s="1"/>
  <c r="E194"/>
  <c r="H194" s="1"/>
  <c r="X194"/>
  <c r="F195"/>
  <c r="F194" s="1"/>
  <c r="H195"/>
  <c r="E198"/>
  <c r="X198"/>
  <c r="X250"/>
  <c r="X243" s="1"/>
  <c r="G254"/>
  <c r="H254" s="1"/>
  <c r="E264"/>
  <c r="H264" s="1"/>
  <c r="H265"/>
  <c r="X264"/>
  <c r="E268"/>
  <c r="E267" s="1"/>
  <c r="X268"/>
  <c r="E273"/>
  <c r="X274"/>
  <c r="X273" s="1"/>
  <c r="X287"/>
  <c r="X291"/>
  <c r="X293"/>
  <c r="X292" s="1"/>
  <c r="X163" l="1"/>
  <c r="F163" s="1"/>
  <c r="G163" s="1"/>
  <c r="H163" s="1"/>
  <c r="F250"/>
  <c r="G250" s="1"/>
  <c r="H250" s="1"/>
  <c r="X286"/>
  <c r="X285" s="1"/>
  <c r="X267" s="1"/>
  <c r="F292"/>
  <c r="X102"/>
  <c r="F102" s="1"/>
  <c r="G102" s="1"/>
  <c r="H102" s="1"/>
  <c r="F274"/>
  <c r="G274" s="1"/>
  <c r="H274" s="1"/>
  <c r="M91"/>
  <c r="X91" s="1"/>
  <c r="X88"/>
  <c r="X158"/>
  <c r="X127"/>
  <c r="F127" s="1"/>
  <c r="G127" s="1"/>
  <c r="H127" s="1"/>
  <c r="X50"/>
  <c r="X43"/>
  <c r="F43" s="1"/>
  <c r="G43" s="1"/>
  <c r="H43" s="1"/>
  <c r="X141"/>
  <c r="F199"/>
  <c r="G199" s="1"/>
  <c r="H199" s="1"/>
  <c r="G168"/>
  <c r="H168" s="1"/>
  <c r="E190"/>
  <c r="H190" s="1"/>
  <c r="G194"/>
  <c r="X14"/>
  <c r="F14" s="1"/>
  <c r="E171"/>
  <c r="X80"/>
  <c r="E242"/>
  <c r="G195"/>
  <c r="F265"/>
  <c r="G265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0"/>
  <c r="X131"/>
  <c r="F131" s="1"/>
  <c r="G131" s="1"/>
  <c r="H131" s="1"/>
  <c r="X70"/>
  <c r="F70" s="1"/>
  <c r="G70" s="1"/>
  <c r="H70" s="1"/>
  <c r="G169"/>
  <c r="H169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7"/>
  <c r="E12"/>
  <c r="F5"/>
  <c r="E9" i="18" s="1"/>
  <c r="F186" i="29"/>
  <c r="X185"/>
  <c r="F173"/>
  <c r="X172"/>
  <c r="G259"/>
  <c r="H259" s="1"/>
  <c r="G258"/>
  <c r="H258" s="1"/>
  <c r="F269"/>
  <c r="F247"/>
  <c r="F192"/>
  <c r="M32"/>
  <c r="X32" s="1"/>
  <c r="F243" l="1"/>
  <c r="G292"/>
  <c r="H292" s="1"/>
  <c r="M30"/>
  <c r="X30" s="1"/>
  <c r="M93"/>
  <c r="X93" s="1"/>
  <c r="F198"/>
  <c r="G198" s="1"/>
  <c r="H198" s="1"/>
  <c r="F273"/>
  <c r="G273" s="1"/>
  <c r="H273" s="1"/>
  <c r="F264"/>
  <c r="G264" s="1"/>
  <c r="X120"/>
  <c r="X112" s="1"/>
  <c r="F286"/>
  <c r="X242"/>
  <c r="X56"/>
  <c r="X48" s="1"/>
  <c r="F48" s="1"/>
  <c r="G48" s="1"/>
  <c r="H48" s="1"/>
  <c r="G107"/>
  <c r="H107" s="1"/>
  <c r="G269"/>
  <c r="H269" s="1"/>
  <c r="F268"/>
  <c r="G14"/>
  <c r="H14" s="1"/>
  <c r="G186"/>
  <c r="H186" s="1"/>
  <c r="F185"/>
  <c r="G192"/>
  <c r="F191"/>
  <c r="G173"/>
  <c r="H173" s="1"/>
  <c r="F172"/>
  <c r="E16" i="18" s="1"/>
  <c r="G247" i="29"/>
  <c r="H247" s="1"/>
  <c r="G5"/>
  <c r="E4"/>
  <c r="X171"/>
  <c r="G185" l="1"/>
  <c r="H185" s="1"/>
  <c r="E17" i="18"/>
  <c r="G286" i="29"/>
  <c r="H286" s="1"/>
  <c r="F285"/>
  <c r="G285" s="1"/>
  <c r="H285" s="1"/>
  <c r="X90"/>
  <c r="X79" s="1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68"/>
  <c r="H268" s="1"/>
  <c r="F242"/>
  <c r="G243"/>
  <c r="H243" s="1"/>
  <c r="F190"/>
  <c r="G190" s="1"/>
  <c r="G191"/>
  <c r="G242" l="1"/>
  <c r="H242" s="1"/>
  <c r="E21" i="18"/>
  <c r="F267" i="29"/>
  <c r="F78"/>
  <c r="X42"/>
  <c r="X13"/>
  <c r="F13"/>
  <c r="F139"/>
  <c r="G139" s="1"/>
  <c r="H139" s="1"/>
  <c r="X106"/>
  <c r="G112"/>
  <c r="H112" s="1"/>
  <c r="G267" l="1"/>
  <c r="H267" s="1"/>
  <c r="E23" i="18"/>
  <c r="E22" s="1"/>
  <c r="G13" i="29"/>
  <c r="H13" s="1"/>
  <c r="E11" i="18"/>
  <c r="G78" i="29"/>
  <c r="H78" s="1"/>
  <c r="F42"/>
  <c r="X12"/>
  <c r="F106"/>
  <c r="G42" l="1"/>
  <c r="H42" s="1"/>
  <c r="E12" i="18"/>
  <c r="G106" i="29"/>
  <c r="H106" s="1"/>
  <c r="E13" i="18"/>
  <c r="F13" s="1"/>
  <c r="F12" i="29"/>
  <c r="G12" l="1"/>
  <c r="AD96" i="5"/>
  <c r="AD94"/>
  <c r="K225"/>
  <c r="H225"/>
  <c r="G225"/>
  <c r="D225"/>
  <c r="AD323"/>
  <c r="I321" s="1"/>
  <c r="E307"/>
  <c r="M307" s="1"/>
  <c r="N307" s="1"/>
  <c r="AD304"/>
  <c r="E304" s="1"/>
  <c r="M304" s="1"/>
  <c r="N304" s="1"/>
  <c r="AD289"/>
  <c r="E289" s="1"/>
  <c r="M289" s="1"/>
  <c r="N289" s="1"/>
  <c r="E285"/>
  <c r="M285" s="1"/>
  <c r="N285" s="1"/>
  <c r="AD279"/>
  <c r="AD270"/>
  <c r="E270" s="1"/>
  <c r="M270" s="1"/>
  <c r="N270" s="1"/>
  <c r="L225"/>
  <c r="E251"/>
  <c r="M251" s="1"/>
  <c r="N251" s="1"/>
  <c r="E226"/>
  <c r="M226" s="1"/>
  <c r="N226" s="1"/>
  <c r="AD27"/>
  <c r="F231" l="1"/>
  <c r="F225" s="1"/>
  <c r="AD231"/>
  <c r="J231"/>
  <c r="I231"/>
  <c r="AD321"/>
  <c r="E321" s="1"/>
  <c r="M321" s="1"/>
  <c r="N321" s="1"/>
  <c r="J321"/>
  <c r="J279"/>
  <c r="E293"/>
  <c r="M293" s="1"/>
  <c r="N293" s="1"/>
  <c r="E315"/>
  <c r="M315" s="1"/>
  <c r="N315" s="1"/>
  <c r="H12" i="29"/>
  <c r="E279" i="5"/>
  <c r="M279" s="1"/>
  <c r="N279" s="1"/>
  <c r="I225" l="1"/>
  <c r="J225"/>
  <c r="AD67" l="1"/>
  <c r="F217"/>
  <c r="I217"/>
  <c r="I142"/>
  <c r="AD127"/>
  <c r="AD101"/>
  <c r="AD95"/>
  <c r="AD98" l="1"/>
  <c r="F93" s="1"/>
  <c r="J204" l="1"/>
  <c r="AD207"/>
  <c r="H204" s="1"/>
  <c r="AD328"/>
  <c r="J27" i="18" l="1"/>
  <c r="J25"/>
  <c r="K26"/>
  <c r="K25" s="1"/>
  <c r="E20"/>
  <c r="E15"/>
  <c r="E10"/>
  <c r="E8"/>
  <c r="E231" i="5" l="1"/>
  <c r="M231" l="1"/>
  <c r="N231" s="1"/>
  <c r="AD153"/>
  <c r="AD143" s="1"/>
  <c r="AD142" s="1"/>
  <c r="E142" s="1"/>
  <c r="AD137" l="1"/>
  <c r="AD196" l="1"/>
  <c r="E259" l="1"/>
  <c r="M259" s="1"/>
  <c r="N259" s="1"/>
  <c r="AD244"/>
  <c r="AD225" s="1"/>
  <c r="S36"/>
  <c r="S34"/>
  <c r="AD34" s="1"/>
  <c r="AD36" l="1"/>
  <c r="E244"/>
  <c r="E225" s="1"/>
  <c r="J22" i="18" s="1"/>
  <c r="K22" s="1"/>
  <c r="F186" i="5"/>
  <c r="F32"/>
  <c r="AD211"/>
  <c r="G209" s="1"/>
  <c r="AD35" l="1"/>
  <c r="G32"/>
  <c r="M244"/>
  <c r="N244" s="1"/>
  <c r="AD75" l="1"/>
  <c r="L62" s="1"/>
  <c r="AD74"/>
  <c r="I62" s="1"/>
  <c r="D343" l="1"/>
  <c r="D340"/>
  <c r="D327"/>
  <c r="D165"/>
  <c r="D164" s="1"/>
  <c r="K28" i="18" l="1"/>
  <c r="K27" s="1"/>
  <c r="F23"/>
  <c r="F22" s="1"/>
  <c r="F21"/>
  <c r="F20" s="1"/>
  <c r="F17"/>
  <c r="F16"/>
  <c r="K13"/>
  <c r="F14"/>
  <c r="F12"/>
  <c r="F11"/>
  <c r="F9"/>
  <c r="F8" s="1"/>
  <c r="F15" l="1"/>
  <c r="F10"/>
  <c r="AD138" i="5"/>
  <c r="AD72"/>
  <c r="G62" s="1"/>
  <c r="F136" l="1"/>
  <c r="G136"/>
  <c r="AD136"/>
  <c r="AD189"/>
  <c r="AD19"/>
  <c r="D185"/>
  <c r="D184" s="1"/>
  <c r="D89"/>
  <c r="D80"/>
  <c r="S44"/>
  <c r="AD44" s="1"/>
  <c r="S48" l="1"/>
  <c r="AD48" s="1"/>
  <c r="S43"/>
  <c r="AD43" s="1"/>
  <c r="F343"/>
  <c r="G343"/>
  <c r="H343"/>
  <c r="I343"/>
  <c r="J343"/>
  <c r="K343"/>
  <c r="L343"/>
  <c r="AD344"/>
  <c r="AD343" s="1"/>
  <c r="F340"/>
  <c r="G340"/>
  <c r="H340"/>
  <c r="I340"/>
  <c r="J340"/>
  <c r="K340"/>
  <c r="L340"/>
  <c r="I327"/>
  <c r="J327"/>
  <c r="K327"/>
  <c r="L327"/>
  <c r="H327"/>
  <c r="G327"/>
  <c r="F327"/>
  <c r="G89"/>
  <c r="H89"/>
  <c r="G185"/>
  <c r="K185"/>
  <c r="AD200"/>
  <c r="AD197"/>
  <c r="AD175"/>
  <c r="AD174"/>
  <c r="G165"/>
  <c r="G164" s="1"/>
  <c r="H165"/>
  <c r="H164" s="1"/>
  <c r="I165"/>
  <c r="I164" s="1"/>
  <c r="J165"/>
  <c r="J164" s="1"/>
  <c r="K165"/>
  <c r="K164" s="1"/>
  <c r="L165"/>
  <c r="L164" s="1"/>
  <c r="AD166"/>
  <c r="E166" s="1"/>
  <c r="M166" s="1"/>
  <c r="N166" s="1"/>
  <c r="AD117"/>
  <c r="F116" s="1"/>
  <c r="J89"/>
  <c r="J6"/>
  <c r="G80"/>
  <c r="H80"/>
  <c r="I80"/>
  <c r="J80"/>
  <c r="L80"/>
  <c r="AD81"/>
  <c r="F173" l="1"/>
  <c r="F165" s="1"/>
  <c r="F164" s="1"/>
  <c r="AD173"/>
  <c r="AD165" s="1"/>
  <c r="L186"/>
  <c r="K90"/>
  <c r="AD116"/>
  <c r="S56"/>
  <c r="AD56" s="1"/>
  <c r="S52"/>
  <c r="AD52" s="1"/>
  <c r="S47"/>
  <c r="AD47" s="1"/>
  <c r="E344"/>
  <c r="K184"/>
  <c r="J5"/>
  <c r="G184"/>
  <c r="AD42"/>
  <c r="G40" l="1"/>
  <c r="S55"/>
  <c r="AD55" s="1"/>
  <c r="AD54" s="1"/>
  <c r="S60"/>
  <c r="AD60" s="1"/>
  <c r="J185"/>
  <c r="S59" l="1"/>
  <c r="AD59" s="1"/>
  <c r="S51"/>
  <c r="AD51" s="1"/>
  <c r="AD46"/>
  <c r="J184"/>
  <c r="J4" s="1"/>
  <c r="I185"/>
  <c r="AD204"/>
  <c r="E204" s="1"/>
  <c r="J19" i="18" s="1"/>
  <c r="K19" s="1"/>
  <c r="AD58" i="5" l="1"/>
  <c r="AD50"/>
  <c r="F40"/>
  <c r="I184"/>
  <c r="E7"/>
  <c r="M7" l="1"/>
  <c r="K18"/>
  <c r="AD40" l="1"/>
  <c r="E40" s="1"/>
  <c r="M40" s="1"/>
  <c r="N40" s="1"/>
  <c r="AD33"/>
  <c r="F6" l="1"/>
  <c r="AD327" l="1"/>
  <c r="K142"/>
  <c r="F80"/>
  <c r="AD63"/>
  <c r="AD62" s="1"/>
  <c r="AD23"/>
  <c r="AD18" s="1"/>
  <c r="AD15"/>
  <c r="AD126"/>
  <c r="AD128"/>
  <c r="AD113"/>
  <c r="AD114"/>
  <c r="AD190"/>
  <c r="AD191"/>
  <c r="AD210"/>
  <c r="H209" s="1"/>
  <c r="AD186" l="1"/>
  <c r="E186" s="1"/>
  <c r="J17" i="18" s="1"/>
  <c r="H186" i="5"/>
  <c r="F124"/>
  <c r="F89" s="1"/>
  <c r="F5" s="1"/>
  <c r="AD37"/>
  <c r="K32"/>
  <c r="K62"/>
  <c r="AD13"/>
  <c r="G13"/>
  <c r="AD124"/>
  <c r="E124" s="1"/>
  <c r="M124" s="1"/>
  <c r="N124" s="1"/>
  <c r="H6"/>
  <c r="H5" s="1"/>
  <c r="L185"/>
  <c r="L184" s="1"/>
  <c r="K89"/>
  <c r="AD209"/>
  <c r="E209" s="1"/>
  <c r="I6"/>
  <c r="L89"/>
  <c r="L6"/>
  <c r="E169"/>
  <c r="E62"/>
  <c r="E18"/>
  <c r="N7"/>
  <c r="E173"/>
  <c r="J15" i="18" s="1"/>
  <c r="K15" s="1"/>
  <c r="AD112" i="5"/>
  <c r="E81"/>
  <c r="E90"/>
  <c r="E200"/>
  <c r="E328"/>
  <c r="M169" l="1"/>
  <c r="N169" s="1"/>
  <c r="J14" i="18"/>
  <c r="M200" i="5"/>
  <c r="N200" s="1"/>
  <c r="J18" i="18"/>
  <c r="K18" s="1"/>
  <c r="M209" i="5"/>
  <c r="N209" s="1"/>
  <c r="J20" i="18"/>
  <c r="K20" s="1"/>
  <c r="K17"/>
  <c r="AD32" i="5"/>
  <c r="AD6" s="1"/>
  <c r="I93"/>
  <c r="I89" s="1"/>
  <c r="I5" s="1"/>
  <c r="I4" s="1"/>
  <c r="AD93"/>
  <c r="AD89" s="1"/>
  <c r="AD80"/>
  <c r="K80"/>
  <c r="E85"/>
  <c r="M85" s="1"/>
  <c r="N85" s="1"/>
  <c r="H185"/>
  <c r="H184" s="1"/>
  <c r="H4" s="1"/>
  <c r="L5"/>
  <c r="L4" s="1"/>
  <c r="M62"/>
  <c r="N62" s="1"/>
  <c r="G6"/>
  <c r="G5" s="1"/>
  <c r="G4" s="1"/>
  <c r="M186"/>
  <c r="N186" s="1"/>
  <c r="AD185"/>
  <c r="AD184" s="1"/>
  <c r="M90"/>
  <c r="N90" s="1"/>
  <c r="F185"/>
  <c r="F184" s="1"/>
  <c r="F4" s="1"/>
  <c r="M173"/>
  <c r="N173" s="1"/>
  <c r="E165"/>
  <c r="E164" s="1"/>
  <c r="AD164"/>
  <c r="M142"/>
  <c r="N142" s="1"/>
  <c r="E136"/>
  <c r="M136" s="1"/>
  <c r="N136" s="1"/>
  <c r="K6"/>
  <c r="M81"/>
  <c r="N81" s="1"/>
  <c r="E116"/>
  <c r="M116" s="1"/>
  <c r="N116" s="1"/>
  <c r="M204"/>
  <c r="N204" s="1"/>
  <c r="E217"/>
  <c r="M328"/>
  <c r="N328" s="1"/>
  <c r="E327"/>
  <c r="J24" i="18" s="1"/>
  <c r="D6" i="5"/>
  <c r="D5" s="1"/>
  <c r="D4" s="1"/>
  <c r="E13"/>
  <c r="M225"/>
  <c r="E83"/>
  <c r="M83" s="1"/>
  <c r="N83" s="1"/>
  <c r="K24" i="18" l="1"/>
  <c r="K23" s="1"/>
  <c r="J23"/>
  <c r="K14"/>
  <c r="K12" s="1"/>
  <c r="J12"/>
  <c r="M217" i="5"/>
  <c r="N217" s="1"/>
  <c r="J21" i="18"/>
  <c r="K21" s="1"/>
  <c r="K16" s="1"/>
  <c r="E32" i="5"/>
  <c r="M32" s="1"/>
  <c r="N32" s="1"/>
  <c r="K5"/>
  <c r="K4" s="1"/>
  <c r="N225"/>
  <c r="M13"/>
  <c r="N13" s="1"/>
  <c r="AD5"/>
  <c r="M327"/>
  <c r="N327" s="1"/>
  <c r="E341"/>
  <c r="AD340"/>
  <c r="E185"/>
  <c r="E184" s="1"/>
  <c r="M164"/>
  <c r="N164" s="1"/>
  <c r="M165"/>
  <c r="N165" s="1"/>
  <c r="E80"/>
  <c r="M18"/>
  <c r="N18" s="1"/>
  <c r="E93"/>
  <c r="M344"/>
  <c r="N344" s="1"/>
  <c r="E343"/>
  <c r="M343" s="1"/>
  <c r="N343" s="1"/>
  <c r="J16" i="18" l="1"/>
  <c r="M80" i="5"/>
  <c r="N80" s="1"/>
  <c r="J10" i="18"/>
  <c r="E6" i="5"/>
  <c r="AD4"/>
  <c r="M185"/>
  <c r="M341"/>
  <c r="N341" s="1"/>
  <c r="E340"/>
  <c r="M340" s="1"/>
  <c r="N340" s="1"/>
  <c r="M93"/>
  <c r="N93" s="1"/>
  <c r="E89"/>
  <c r="M6" l="1"/>
  <c r="N6" s="1"/>
  <c r="J9" i="18"/>
  <c r="K9" s="1"/>
  <c r="M89" i="5"/>
  <c r="N89" s="1"/>
  <c r="J11" i="18"/>
  <c r="K11" s="1"/>
  <c r="K10"/>
  <c r="N185" i="5"/>
  <c r="M184"/>
  <c r="N184" s="1"/>
  <c r="E5"/>
  <c r="E4" s="1"/>
  <c r="J8" i="18" l="1"/>
  <c r="J7" s="1"/>
  <c r="K8"/>
  <c r="K7" s="1"/>
  <c r="M4" i="5"/>
  <c r="N4" s="1"/>
  <c r="M5"/>
  <c r="N5" s="1"/>
  <c r="X197" i="29"/>
  <c r="X4" s="1"/>
  <c r="G236" l="1"/>
  <c r="H236" s="1"/>
  <c r="F197"/>
  <c r="G235"/>
  <c r="H235" s="1"/>
  <c r="F4" l="1"/>
  <c r="E19" i="18"/>
  <c r="G197" i="29"/>
  <c r="E18" i="18" l="1"/>
  <c r="E7" s="1"/>
  <c r="F19"/>
  <c r="F18" s="1"/>
  <c r="F7" s="1"/>
  <c r="H197" i="29"/>
  <c r="G4"/>
  <c r="H4" s="1"/>
</calcChain>
</file>

<file path=xl/sharedStrings.xml><?xml version="1.0" encoding="utf-8"?>
<sst xmlns="http://schemas.openxmlformats.org/spreadsheetml/2006/main" count="2701" uniqueCount="885">
  <si>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</si>
  <si>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</si>
  <si>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</si>
  <si>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</si>
  <si>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</si>
  <si>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</si>
  <si>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</si>
  <si>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</si>
  <si>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</si>
  <si>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</si>
  <si>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</si>
  <si>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</si>
  <si>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</si>
  <si>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</si>
  <si>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</si>
  <si>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</si>
  <si>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</si>
  <si>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</si>
  <si>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</si>
  <si>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</si>
  <si>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</si>
  <si>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</si>
  <si>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</si>
  <si>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</si>
  <si>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</si>
  <si>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</si>
  <si>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</si>
  <si>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</si>
  <si>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</si>
  <si>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</si>
  <si>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</si>
  <si>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</si>
  <si>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</si>
  <si>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</si>
  <si>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</si>
  <si>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</si>
  <si>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</si>
  <si>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</si>
  <si>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</si>
  <si>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</si>
  <si>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</si>
  <si>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</si>
  <si>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</si>
  <si>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</si>
  <si>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</si>
  <si>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</si>
  <si>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</si>
  <si>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</si>
  <si>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</si>
  <si>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</si>
  <si>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</si>
  <si>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</si>
  <si>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</si>
  <si>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</si>
  <si>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</si>
  <si>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</si>
  <si>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</si>
  <si>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</si>
  <si>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</si>
  <si>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</si>
  <si>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</si>
  <si>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</si>
  <si>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</si>
  <si>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</si>
  <si>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</si>
  <si>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</si>
  <si>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</si>
  <si>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</si>
  <si>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</si>
  <si>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</si>
  <si>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</si>
  <si>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</si>
  <si>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</si>
  <si>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</si>
  <si>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</si>
  <si>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</si>
  <si>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</si>
  <si>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</si>
  <si>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</si>
  <si>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</si>
  <si>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</si>
  <si>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</si>
  <si>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</si>
  <si>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</si>
  <si>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</si>
  <si>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</si>
  <si>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</si>
  <si>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</si>
  <si>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</si>
  <si>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</si>
  <si>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</si>
  <si>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</si>
  <si>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</si>
  <si>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</si>
  <si>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</si>
  <si>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</si>
  <si>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</si>
  <si>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</si>
  <si>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</si>
  <si>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</si>
  <si>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</si>
  <si>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</si>
  <si>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</si>
  <si>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</si>
  <si>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</si>
  <si>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</si>
  <si>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</si>
  <si>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</si>
  <si>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</si>
  <si>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</si>
  <si>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</si>
  <si>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</si>
  <si>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</si>
  <si>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</si>
  <si>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</si>
  <si>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</si>
  <si>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</si>
  <si>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</si>
  <si>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</si>
  <si>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</si>
  <si>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</si>
  <si>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</si>
  <si>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</si>
  <si>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</si>
  <si>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</si>
  <si>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</si>
  <si>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</si>
  <si>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</si>
  <si>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</si>
  <si>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</si>
  <si>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</si>
  <si>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</si>
  <si>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</si>
  <si>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</si>
  <si>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</si>
  <si>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</si>
  <si>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</si>
  <si>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</si>
  <si>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</si>
  <si>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</si>
  <si>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</si>
  <si>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</si>
  <si>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</si>
  <si>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</si>
  <si>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</si>
  <si>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</si>
  <si>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</si>
  <si>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</si>
  <si>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</si>
  <si>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</si>
  <si>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</si>
  <si>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</si>
  <si>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</si>
  <si>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</si>
  <si>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</si>
  <si>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</si>
  <si>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</si>
  <si>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</si>
  <si>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</si>
  <si>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</si>
  <si>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</si>
  <si>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</si>
  <si>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</si>
  <si>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</si>
  <si>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</si>
  <si>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</si>
  <si>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</si>
  <si>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</si>
  <si>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</si>
  <si>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</si>
  <si>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</si>
  <si>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</si>
  <si>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</si>
  <si>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</si>
  <si>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</si>
  <si>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</si>
  <si>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</si>
  <si>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</si>
  <si>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</si>
  <si>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</si>
  <si>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</si>
  <si>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</si>
  <si>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</si>
  <si>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</si>
  <si>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</si>
  <si>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</si>
  <si>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</si>
  <si>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</si>
  <si>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</si>
  <si>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</si>
  <si>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</si>
  <si>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</si>
  <si>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</si>
  <si>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</si>
  <si>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</si>
  <si>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</si>
  <si>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</si>
  <si>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예금이자(잡수입)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</si>
  <si>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</si>
  <si>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</si>
  <si>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</si>
  <si>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</si>
  <si>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</si>
  <si>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</si>
  <si>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</si>
  <si>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</si>
  <si>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</si>
  <si>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</si>
  <si>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</si>
  <si>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</si>
  <si>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</si>
  <si>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</si>
  <si>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</si>
  <si>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</si>
  <si>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</si>
  <si>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</si>
  <si>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</si>
  <si>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</si>
  <si>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</si>
  <si>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</si>
  <si>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</si>
  <si>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</si>
  <si>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</si>
  <si>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</si>
  <si>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</si>
  <si>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</si>
  <si>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</si>
  <si>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</si>
  <si>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</si>
  <si>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</si>
  <si>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</si>
  <si>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</si>
  <si>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</si>
  <si>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=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</si>
  <si>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</si>
  <si>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</si>
  <si>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</si>
  <si>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</si>
  <si>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</si>
  <si>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</si>
  <si>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</si>
  <si>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</si>
  <si>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</si>
  <si>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</si>
  <si>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</si>
  <si>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</si>
  <si>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</si>
  <si>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</si>
  <si>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</si>
  <si>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</si>
  <si>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우수직원 포상금(12월)</t>
    <phoneticPr fontId="7" type="noConversion"/>
  </si>
  <si>
    <t>보조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</si>
  <si>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</si>
  <si>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</si>
  <si>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</si>
  <si>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</si>
  <si>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</si>
  <si>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</si>
  <si>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</si>
  <si>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</si>
  <si>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</si>
  <si>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</si>
  <si>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</si>
  <si>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</si>
  <si>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</si>
  <si>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</si>
  <si>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</si>
  <si>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</si>
  <si>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</si>
  <si>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</si>
  <si>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</si>
  <si>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</si>
  <si>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</si>
  <si>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</si>
  <si>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</si>
  <si>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</si>
  <si>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</si>
  <si>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</si>
  <si>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</si>
  <si>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</si>
  <si>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</si>
  <si>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</si>
  <si>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</si>
  <si>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</si>
  <si>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</si>
  <si>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</si>
  <si>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</si>
  <si>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</si>
  <si>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4. 상하수도요금</t>
    <phoneticPr fontId="7" type="noConversion"/>
  </si>
  <si>
    <t xml:space="preserve"> A.경상보조금 34명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</si>
  <si>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</si>
  <si>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</si>
  <si>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</si>
  <si>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</si>
  <si>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</si>
  <si>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3. 연료비 자부담 보충액</t>
    <phoneticPr fontId="7" type="noConversion"/>
  </si>
  <si>
    <t>후원</t>
    <phoneticPr fontId="7" type="noConversion"/>
  </si>
  <si>
    <t>원내행사</t>
    <phoneticPr fontId="7" type="noConversion"/>
  </si>
  <si>
    <t>사업비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</si>
  <si>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</si>
  <si>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</si>
  <si>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</si>
  <si>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지역사회</t>
    <phoneticPr fontId="7" type="noConversion"/>
  </si>
  <si>
    <t>연계사업비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</si>
  <si>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</si>
  <si>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</si>
  <si>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</si>
  <si>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재활</t>
    <phoneticPr fontId="7" type="noConversion"/>
  </si>
  <si>
    <t>프로그램</t>
    <phoneticPr fontId="7" type="noConversion"/>
  </si>
  <si>
    <t>체험홈</t>
    <phoneticPr fontId="7" type="noConversion"/>
  </si>
  <si>
    <t>2. 자치회의</t>
    <phoneticPr fontId="7" type="noConversion"/>
  </si>
  <si>
    <t>의료실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</si>
  <si>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</si>
  <si>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</si>
  <si>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</si>
  <si>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</si>
  <si>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</si>
  <si>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</si>
  <si>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</si>
  <si>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</si>
  <si>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</si>
  <si>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</si>
  <si>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</si>
  <si>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</si>
  <si>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</si>
  <si>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</si>
  <si>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</si>
  <si>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</si>
  <si>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</si>
  <si>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</si>
  <si>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</si>
  <si>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 xml:space="preserve"> * 예금이자(후원금)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</si>
  <si>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</si>
  <si>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</si>
  <si>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</si>
  <si>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</si>
  <si>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</si>
  <si>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</si>
  <si>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</si>
  <si>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</si>
  <si>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</si>
  <si>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</si>
  <si>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</si>
  <si>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</si>
  <si>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</si>
  <si>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</si>
  <si>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</si>
  <si>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</si>
  <si>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</si>
  <si>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</si>
  <si>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</si>
  <si>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</si>
  <si>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</si>
  <si>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</si>
  <si>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</si>
  <si>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</si>
  <si>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</si>
  <si>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</si>
  <si>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</si>
  <si>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</si>
  <si>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</si>
  <si>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</si>
  <si>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</si>
  <si>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</si>
  <si>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</si>
  <si>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</si>
  <si>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</si>
  <si>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</si>
  <si>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</si>
  <si>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</si>
  <si>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</si>
  <si>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</si>
  <si>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</si>
  <si>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</si>
  <si>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</si>
  <si>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</si>
  <si>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</si>
  <si>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</si>
  <si>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</si>
  <si>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</si>
  <si>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</si>
  <si>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</si>
  <si>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</si>
  <si>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</si>
  <si>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</si>
  <si>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</si>
  <si>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</si>
  <si>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</si>
  <si>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</si>
  <si>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</si>
  <si>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</si>
  <si>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</si>
  <si>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</si>
  <si>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</si>
  <si>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</si>
  <si>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</si>
  <si>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</si>
  <si>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</si>
  <si>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</si>
  <si>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</si>
  <si>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</si>
  <si>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</si>
  <si>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</si>
  <si>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</si>
  <si>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</si>
  <si>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</si>
  <si>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</si>
  <si>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</si>
  <si>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</si>
  <si>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</si>
  <si>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</si>
  <si>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</si>
  <si>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</si>
  <si>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</si>
  <si>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</si>
  <si>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</si>
  <si>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</si>
  <si>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</si>
  <si>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</si>
  <si>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</si>
  <si>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</si>
  <si>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</si>
  <si>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</si>
  <si>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</si>
  <si>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</si>
  <si>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</si>
  <si>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</si>
  <si>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</si>
  <si>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</si>
  <si>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</si>
  <si>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</si>
  <si>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</si>
  <si>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</si>
  <si>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</si>
  <si>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</si>
  <si>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</si>
  <si>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</si>
  <si>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</si>
  <si>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</si>
  <si>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</si>
  <si>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</si>
  <si>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</si>
  <si>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</si>
  <si>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</si>
  <si>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</si>
  <si>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</si>
  <si>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</si>
  <si>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</si>
  <si>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</si>
  <si>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</si>
  <si>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</si>
  <si>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</si>
  <si>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</si>
  <si>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</si>
  <si>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</si>
  <si>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</si>
  <si>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</si>
  <si>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</si>
  <si>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</si>
  <si>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</si>
  <si>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</si>
  <si>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</si>
  <si>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</si>
  <si>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</si>
  <si>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</si>
  <si>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</si>
  <si>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</si>
  <si>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</si>
  <si>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</si>
  <si>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</si>
  <si>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</si>
  <si>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</si>
  <si>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</si>
  <si>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</si>
  <si>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</si>
  <si>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</si>
  <si>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</si>
  <si>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</si>
  <si>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</si>
  <si>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</si>
  <si>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</si>
  <si>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</si>
  <si>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</si>
  <si>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</si>
  <si>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</si>
  <si>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</si>
  <si>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</si>
  <si>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</si>
  <si>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</si>
  <si>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</si>
  <si>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</si>
  <si>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</si>
  <si>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</si>
  <si>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</si>
  <si>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</si>
  <si>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</si>
  <si>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</si>
  <si>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</si>
  <si>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</si>
  <si>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</si>
  <si>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</si>
  <si>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</si>
  <si>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</si>
  <si>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</si>
  <si>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</si>
  <si>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</si>
  <si>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</si>
  <si>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</si>
  <si>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</si>
  <si>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</si>
  <si>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</si>
  <si>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>기타 보조금</t>
    <phoneticPr fontId="28" type="noConversion"/>
  </si>
  <si>
    <t>*기능보강사업비(외벽 및 건물 창호교체, 대피계단 설치 등)</t>
    <phoneticPr fontId="7" type="noConversion"/>
  </si>
  <si>
    <t xml:space="preserve"> - 인권지킴이단 홍보(공모전, 사진, 현수막 등)</t>
    <phoneticPr fontId="7" type="noConversion"/>
  </si>
  <si>
    <t>기타법인 지원금 :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</si>
  <si>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</si>
  <si>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</si>
  <si>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</si>
  <si>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</si>
  <si>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</si>
  <si>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</si>
  <si>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</si>
  <si>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</si>
  <si>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</si>
  <si>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</si>
  <si>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</si>
  <si>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</si>
  <si>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</si>
  <si>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>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</si>
  <si>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</si>
  <si>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</si>
  <si>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* 추가 연장야간근로수당(5h)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</si>
  <si>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</si>
  <si>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</si>
  <si>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</si>
  <si>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</si>
  <si>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</si>
  <si>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</si>
  <si>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</si>
  <si>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</si>
  <si>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</si>
  <si>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</si>
  <si>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</si>
  <si>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</si>
  <si>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</si>
  <si>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</si>
  <si>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</si>
  <si>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</si>
  <si>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</si>
  <si>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</si>
  <si>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</si>
  <si>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</si>
  <si>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</si>
  <si>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 xml:space="preserve"> - 인권지킴이단 회의수당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</si>
  <si>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</si>
  <si>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</si>
  <si>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</si>
  <si>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</si>
  <si>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</si>
  <si>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</si>
  <si>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회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</si>
  <si>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</si>
  <si>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</si>
  <si>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</si>
  <si>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</si>
  <si>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</si>
  <si>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*차량운영비</t>
    <phoneticPr fontId="7" type="noConversion"/>
  </si>
  <si>
    <t>원</t>
    <phoneticPr fontId="7" type="noConversion"/>
  </si>
  <si>
    <t>7종</t>
    <phoneticPr fontId="7" type="noConversion"/>
  </si>
  <si>
    <t xml:space="preserve"> A.경상보조금 36명</t>
    <phoneticPr fontId="7" type="noConversion"/>
  </si>
  <si>
    <t xml:space="preserve">                (7종)</t>
    <phoneticPr fontId="7" type="noConversion"/>
  </si>
  <si>
    <t>월</t>
    <phoneticPr fontId="7" type="noConversion"/>
  </si>
  <si>
    <t>원</t>
    <phoneticPr fontId="7" type="noConversion"/>
  </si>
  <si>
    <t>회</t>
    <phoneticPr fontId="7" type="noConversion"/>
  </si>
  <si>
    <t>* 직원 축일/생일 축하 문화상품권</t>
    <phoneticPr fontId="7" type="noConversion"/>
  </si>
  <si>
    <t>원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</si>
  <si>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</si>
  <si>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</si>
  <si>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</si>
  <si>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</si>
  <si>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</si>
  <si>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입소</t>
    <phoneticPr fontId="7" type="noConversion"/>
  </si>
  <si>
    <t>원</t>
    <phoneticPr fontId="7" type="noConversion"/>
  </si>
  <si>
    <t>회</t>
    <phoneticPr fontId="7" type="noConversion"/>
  </si>
  <si>
    <t>후원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</si>
  <si>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</si>
  <si>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</si>
  <si>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</si>
  <si>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</si>
  <si>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</si>
  <si>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</si>
  <si>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</si>
  <si>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</si>
  <si>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</si>
  <si>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</si>
  <si>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>9.직원급식비(직재)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</si>
  <si>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</si>
  <si>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</si>
  <si>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</si>
  <si>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</si>
  <si>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</si>
  <si>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</si>
  <si>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</si>
  <si>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</si>
  <si>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</si>
  <si>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월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</si>
  <si>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</si>
  <si>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</si>
  <si>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</si>
  <si>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</si>
  <si>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</si>
  <si>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</si>
  <si>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</si>
  <si>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</si>
  <si>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경장연 대체인력 지원금</t>
    <phoneticPr fontId="7" type="noConversion"/>
  </si>
  <si>
    <t>일</t>
    <phoneticPr fontId="7" type="noConversion"/>
  </si>
  <si>
    <t>* 운영위원 참석수당</t>
    <phoneticPr fontId="7" type="noConversion"/>
  </si>
  <si>
    <t>* 입소비용수입</t>
    <phoneticPr fontId="7" type="noConversion"/>
  </si>
  <si>
    <t>월</t>
    <phoneticPr fontId="7" type="noConversion"/>
  </si>
  <si>
    <t>* 직원단체복지원</t>
    <phoneticPr fontId="7" type="noConversion"/>
  </si>
  <si>
    <t>* 명절선물구입</t>
    <phoneticPr fontId="7" type="noConversion"/>
  </si>
  <si>
    <t>* 사업운영평가</t>
    <phoneticPr fontId="7" type="noConversion"/>
  </si>
  <si>
    <t>* 예산심의 및 사업계획수립</t>
    <phoneticPr fontId="7" type="noConversion"/>
  </si>
  <si>
    <t>* 팀별/층별 워크숍</t>
    <phoneticPr fontId="7" type="noConversion"/>
  </si>
  <si>
    <t>÷</t>
    <phoneticPr fontId="7" type="noConversion"/>
  </si>
  <si>
    <t>법인</t>
    <phoneticPr fontId="7" type="noConversion"/>
  </si>
  <si>
    <t>7.팀별/층별 워크숍</t>
    <phoneticPr fontId="7" type="noConversion"/>
  </si>
  <si>
    <t>4.사업운영평가</t>
    <phoneticPr fontId="7" type="noConversion"/>
  </si>
  <si>
    <t>보조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</si>
  <si>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</si>
  <si>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</si>
  <si>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1.차량유류대/정비(운영비)</t>
    <phoneticPr fontId="7" type="noConversion"/>
  </si>
  <si>
    <t xml:space="preserve"> 1)직무교육</t>
    <phoneticPr fontId="7" type="noConversion"/>
  </si>
  <si>
    <t xml:space="preserve"> 2)보수교육</t>
    <phoneticPr fontId="7" type="noConversion"/>
  </si>
  <si>
    <t xml:space="preserve"> 3) 연찬회 및 피정등</t>
    <phoneticPr fontId="7" type="noConversion"/>
  </si>
  <si>
    <t>2.내부교육</t>
    <phoneticPr fontId="7" type="noConversion"/>
  </si>
  <si>
    <t xml:space="preserve"> 3)윤리경영교육</t>
    <phoneticPr fontId="7" type="noConversion"/>
  </si>
  <si>
    <t>3. 경로잔치</t>
    <phoneticPr fontId="7" type="noConversion"/>
  </si>
  <si>
    <t>5. 정규활동(몸짱)</t>
    <phoneticPr fontId="7" type="noConversion"/>
  </si>
  <si>
    <t>2. 종교활동(레지오)</t>
    <phoneticPr fontId="7" type="noConversion"/>
  </si>
  <si>
    <t>1. 자원봉사자 교육/연계프로그램</t>
    <phoneticPr fontId="7" type="noConversion"/>
  </si>
  <si>
    <t>(지정후원금)</t>
    <phoneticPr fontId="7" type="noConversion"/>
  </si>
  <si>
    <t>1. 마음의소리</t>
    <phoneticPr fontId="7" type="noConversion"/>
  </si>
  <si>
    <t>2. 스누젤렌</t>
    <phoneticPr fontId="7" type="noConversion"/>
  </si>
  <si>
    <t>개별지원</t>
    <phoneticPr fontId="7" type="noConversion"/>
  </si>
  <si>
    <t>서비스</t>
    <phoneticPr fontId="7" type="noConversion"/>
  </si>
  <si>
    <t>3. 송년회</t>
    <phoneticPr fontId="7" type="noConversion"/>
  </si>
  <si>
    <t>4. 사회적응/여가활동</t>
    <phoneticPr fontId="7" type="noConversion"/>
  </si>
  <si>
    <t>1. 건강관리(경기마라톤)</t>
    <phoneticPr fontId="7" type="noConversion"/>
  </si>
  <si>
    <t>4. 이용인 자치회의</t>
    <phoneticPr fontId="7" type="noConversion"/>
  </si>
  <si>
    <t>4. 이용인 식습관 및 기호도 조사</t>
    <phoneticPr fontId="7" type="noConversion"/>
  </si>
  <si>
    <t>*실습사회복무요원 다과비</t>
    <phoneticPr fontId="7" type="noConversion"/>
  </si>
  <si>
    <t>10. 기타행사 생계비</t>
    <phoneticPr fontId="7" type="noConversion"/>
  </si>
  <si>
    <t>원</t>
    <phoneticPr fontId="7" type="noConversion"/>
  </si>
  <si>
    <t>식대수입</t>
    <phoneticPr fontId="7" type="noConversion"/>
  </si>
  <si>
    <t>건강관리</t>
    <phoneticPr fontId="7" type="noConversion"/>
  </si>
  <si>
    <t>프로그램</t>
    <phoneticPr fontId="7" type="noConversion"/>
  </si>
  <si>
    <t>심리안정</t>
    <phoneticPr fontId="7" type="noConversion"/>
  </si>
  <si>
    <t>1.법인지원 퇴직금적립금</t>
    <phoneticPr fontId="7" type="noConversion"/>
  </si>
  <si>
    <t>2.직원 기타후생경비</t>
    <phoneticPr fontId="7" type="noConversion"/>
  </si>
  <si>
    <t>3.직원 연수 및 교육훈련비</t>
    <phoneticPr fontId="7" type="noConversion"/>
  </si>
  <si>
    <t xml:space="preserve">4.기타 운영비 </t>
    <phoneticPr fontId="7" type="noConversion"/>
  </si>
  <si>
    <t>※ 기타운영비</t>
    <phoneticPr fontId="7" type="noConversion"/>
  </si>
  <si>
    <t>원</t>
    <phoneticPr fontId="7" type="noConversion"/>
  </si>
  <si>
    <t>※ 기타운영비</t>
    <phoneticPr fontId="7" type="noConversion"/>
  </si>
  <si>
    <t>계</t>
    <phoneticPr fontId="7" type="noConversion"/>
  </si>
  <si>
    <t>5.기관운영비</t>
    <phoneticPr fontId="7" type="noConversion"/>
  </si>
  <si>
    <t>* 기관운영비</t>
    <phoneticPr fontId="7" type="noConversion"/>
  </si>
  <si>
    <t>기관운영비 :</t>
    <phoneticPr fontId="7" type="noConversion"/>
  </si>
  <si>
    <t>* 회의비</t>
    <phoneticPr fontId="7" type="noConversion"/>
  </si>
  <si>
    <t xml:space="preserve"> * 잡수입이월액(식권수입)</t>
    <phoneticPr fontId="7" type="noConversion"/>
  </si>
  <si>
    <t>(지정후원금)</t>
    <phoneticPr fontId="7" type="noConversion"/>
  </si>
  <si>
    <t>전년도이월금</t>
    <phoneticPr fontId="7" type="noConversion"/>
  </si>
  <si>
    <t>(비지정후원금)</t>
    <phoneticPr fontId="7" type="noConversion"/>
  </si>
  <si>
    <t>(식권수입)</t>
    <phoneticPr fontId="7" type="noConversion"/>
  </si>
  <si>
    <t xml:space="preserve"> 가.추가 연장야간근로수당(5h)</t>
    <phoneticPr fontId="7" type="noConversion"/>
  </si>
  <si>
    <t>합계 :</t>
    <phoneticPr fontId="7" type="noConversion"/>
  </si>
  <si>
    <t>후원</t>
    <phoneticPr fontId="7" type="noConversion"/>
  </si>
  <si>
    <t>8. 거주시설 직원급식비(김장비 포함)</t>
    <phoneticPr fontId="7" type="noConversion"/>
  </si>
  <si>
    <t>*기능보강사업비</t>
    <phoneticPr fontId="7" type="noConversion"/>
  </si>
  <si>
    <t xml:space="preserve">* 사회복무요원 소집해제 선물(문화상품권)                  </t>
    <phoneticPr fontId="7" type="noConversion"/>
  </si>
  <si>
    <t>2.시설장비유지비</t>
    <phoneticPr fontId="7" type="noConversion"/>
  </si>
  <si>
    <t>1. 시설장비유지비</t>
    <phoneticPr fontId="7" type="noConversion"/>
  </si>
  <si>
    <t>잡수입이월금</t>
    <phoneticPr fontId="7" type="noConversion"/>
  </si>
  <si>
    <t xml:space="preserve"> * 잡수입이월액(기타잡수입)</t>
    <phoneticPr fontId="7" type="noConversion"/>
  </si>
  <si>
    <t>원</t>
    <phoneticPr fontId="7" type="noConversion"/>
  </si>
  <si>
    <t>(기타잡수입)</t>
    <phoneticPr fontId="7" type="noConversion"/>
  </si>
  <si>
    <t>기타잡수입</t>
    <phoneticPr fontId="7" type="noConversion"/>
  </si>
  <si>
    <t xml:space="preserve"> &lt;기타잡수입&gt;</t>
    <phoneticPr fontId="7" type="noConversion"/>
  </si>
  <si>
    <t>(단위:천원)</t>
    <phoneticPr fontId="28" type="noConversion"/>
  </si>
  <si>
    <t>원</t>
    <phoneticPr fontId="7" type="noConversion"/>
  </si>
  <si>
    <t>후원</t>
    <phoneticPr fontId="7" type="noConversion"/>
  </si>
  <si>
    <t>④신원보증보험갱신</t>
    <phoneticPr fontId="7" type="noConversion"/>
  </si>
  <si>
    <t>5. 성탄행사(이용인선물)</t>
    <phoneticPr fontId="7" type="noConversion"/>
  </si>
  <si>
    <t xml:space="preserve"> * 수원시장애인체육회(태권도)</t>
    <phoneticPr fontId="7" type="noConversion"/>
  </si>
  <si>
    <t xml:space="preserve"> * 직원후생복지 및 직원교육</t>
    <phoneticPr fontId="7" type="noConversion"/>
  </si>
  <si>
    <t xml:space="preserve">  *경장협 결연후원금</t>
    <phoneticPr fontId="7" type="noConversion"/>
  </si>
  <si>
    <t>법인</t>
    <phoneticPr fontId="7" type="noConversion"/>
  </si>
  <si>
    <t>8. 기타 시설장비유지비</t>
    <phoneticPr fontId="7" type="noConversion"/>
  </si>
  <si>
    <t>원</t>
    <phoneticPr fontId="7" type="noConversion"/>
  </si>
  <si>
    <t>* 스승의날/가정의달 직원선물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</si>
  <si>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</si>
  <si>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</si>
  <si>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</si>
  <si>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기타후생경비</t>
    <phoneticPr fontId="7" type="noConversion"/>
  </si>
  <si>
    <t>* 산하시설견학</t>
    <phoneticPr fontId="7" type="noConversion"/>
  </si>
  <si>
    <t>회</t>
    <phoneticPr fontId="7" type="noConversion"/>
  </si>
  <si>
    <t>* 해외여행지원금</t>
    <phoneticPr fontId="7" type="noConversion"/>
  </si>
  <si>
    <t>* 일용잡급(주방 보조인력)</t>
    <phoneticPr fontId="7" type="noConversion"/>
  </si>
  <si>
    <t>* 직원해외연수</t>
    <phoneticPr fontId="7" type="noConversion"/>
  </si>
  <si>
    <t>* 경장협작품전시회 참가비</t>
    <phoneticPr fontId="7" type="noConversion"/>
  </si>
  <si>
    <t>원</t>
    <phoneticPr fontId="7" type="noConversion"/>
  </si>
  <si>
    <t>법인</t>
    <phoneticPr fontId="7" type="noConversion"/>
  </si>
  <si>
    <t>1. 회의관련 다과비등</t>
    <phoneticPr fontId="7" type="noConversion"/>
  </si>
  <si>
    <t>후원</t>
    <phoneticPr fontId="7" type="noConversion"/>
  </si>
  <si>
    <t xml:space="preserve"> 1)하계직원교육</t>
    <phoneticPr fontId="7" type="noConversion"/>
  </si>
  <si>
    <t xml:space="preserve"> 2)역량강화교육</t>
    <phoneticPr fontId="7" type="noConversion"/>
  </si>
  <si>
    <t>5.직원 해외연수</t>
    <phoneticPr fontId="7" type="noConversion"/>
  </si>
  <si>
    <t>6.신입직원교육(산하시설견학)</t>
    <phoneticPr fontId="7" type="noConversion"/>
  </si>
  <si>
    <t>(지정후원금)</t>
    <phoneticPr fontId="7" type="noConversion"/>
  </si>
  <si>
    <t>3.생활실 리모델링공사  설계비</t>
    <phoneticPr fontId="7" type="noConversion"/>
  </si>
  <si>
    <t>입소</t>
    <phoneticPr fontId="7" type="noConversion"/>
  </si>
  <si>
    <t>1. 부활절 나눔행사</t>
    <phoneticPr fontId="7" type="noConversion"/>
  </si>
  <si>
    <t>6.시설장여비</t>
    <phoneticPr fontId="7" type="noConversion"/>
  </si>
  <si>
    <t>7. 해외여행지원금</t>
    <phoneticPr fontId="7" type="noConversion"/>
  </si>
  <si>
    <t>8. 일용잡금(주방 보조인력)</t>
    <phoneticPr fontId="7" type="noConversion"/>
  </si>
  <si>
    <t>9. 직원해외연수</t>
    <phoneticPr fontId="7" type="noConversion"/>
  </si>
  <si>
    <t>*일용잡금(고용보험)</t>
    <phoneticPr fontId="7" type="noConversion"/>
  </si>
  <si>
    <t xml:space="preserve">2.주방 보조인력 </t>
    <phoneticPr fontId="7" type="noConversion"/>
  </si>
  <si>
    <t>일</t>
    <phoneticPr fontId="7" type="noConversion"/>
  </si>
  <si>
    <t>6. 신규후원자개발</t>
    <phoneticPr fontId="7" type="noConversion"/>
  </si>
  <si>
    <t>7. 후원자관리</t>
    <phoneticPr fontId="7" type="noConversion"/>
  </si>
  <si>
    <t>2. 자원봉사자 나들이&amp;간담회</t>
    <phoneticPr fontId="7" type="noConversion"/>
  </si>
  <si>
    <t>12. 시설방역</t>
    <phoneticPr fontId="7" type="noConversion"/>
  </si>
  <si>
    <t>13. 기타 수용비 및 수수료</t>
    <phoneticPr fontId="7" type="noConversion"/>
  </si>
  <si>
    <t>14. CMS수수료,보증보험료,이용료</t>
    <phoneticPr fontId="7" type="noConversion"/>
  </si>
  <si>
    <r>
      <t xml:space="preserve">* </t>
    </r>
    <r>
      <rPr>
        <sz val="8.5"/>
        <rFont val="맑은 고딕"/>
        <family val="3"/>
        <charset val="129"/>
      </rPr>
      <t>보일러 교체공사</t>
    </r>
    <phoneticPr fontId="7" type="noConversion"/>
  </si>
  <si>
    <t>□ 2020년도 본예산 세 입 · 세 출 총  괄  표</t>
    <phoneticPr fontId="28" type="noConversion"/>
  </si>
  <si>
    <t>2019년
3차추경예산</t>
    <phoneticPr fontId="28" type="noConversion"/>
  </si>
  <si>
    <t>2020년
본예산</t>
    <phoneticPr fontId="28" type="noConversion"/>
  </si>
  <si>
    <t>&lt;2020년도 본예산 세입내역&gt;</t>
    <phoneticPr fontId="7" type="noConversion"/>
  </si>
  <si>
    <t>2019년
3차추경예산
(A)
(단위:천원)</t>
    <phoneticPr fontId="7" type="noConversion"/>
  </si>
  <si>
    <t>2020년
본예산
(B)
(단위:천원)</t>
    <phoneticPr fontId="7" type="noConversion"/>
  </si>
  <si>
    <t>&lt;2020년도 본예산 세출내역&gt;</t>
    <phoneticPr fontId="7" type="noConversion"/>
  </si>
  <si>
    <t>2020년 본예산액(B)         (단위:천원)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</si>
  <si>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</si>
  <si>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</si>
  <si>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</si>
  <si>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</si>
  <si>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</si>
  <si>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*간병인비 지원</t>
    <phoneticPr fontId="7" type="noConversion"/>
  </si>
  <si>
    <t>일</t>
    <phoneticPr fontId="7" type="noConversion"/>
  </si>
  <si>
    <t xml:space="preserve">  *후원금 수입</t>
    <phoneticPr fontId="7" type="noConversion"/>
  </si>
  <si>
    <t>비지정</t>
    <phoneticPr fontId="7" type="noConversion"/>
  </si>
  <si>
    <t>* 직원하계수련회</t>
    <phoneticPr fontId="7" type="noConversion"/>
  </si>
  <si>
    <t xml:space="preserve"> * 기타 불용품매각대</t>
    <phoneticPr fontId="7" type="noConversion"/>
  </si>
  <si>
    <t>* 식권 수입(공익 등)</t>
    <phoneticPr fontId="7" type="noConversion"/>
  </si>
  <si>
    <t>* 사회복지 실습비</t>
    <phoneticPr fontId="7" type="noConversion"/>
  </si>
  <si>
    <t>* 기타 잡수입(공익실습비- 연2회)</t>
    <phoneticPr fontId="7" type="noConversion"/>
  </si>
  <si>
    <t xml:space="preserve"> * 공동모금회(사랑빚은)</t>
    <phoneticPr fontId="7" type="noConversion"/>
  </si>
  <si>
    <t>원</t>
    <phoneticPr fontId="7" type="noConversion"/>
  </si>
  <si>
    <t xml:space="preserve"> * 연합모금(설계비)</t>
    <phoneticPr fontId="7" type="noConversion"/>
  </si>
  <si>
    <t xml:space="preserve"> * 서울교구(화장실 개보수등)</t>
    <phoneticPr fontId="7" type="noConversion"/>
  </si>
  <si>
    <t xml:space="preserve">  *일일바자회</t>
    <phoneticPr fontId="7" type="noConversion"/>
  </si>
  <si>
    <t xml:space="preserve"> * 감동드림프로젝트</t>
    <phoneticPr fontId="7" type="noConversion"/>
  </si>
  <si>
    <t>* 명절선물구입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</si>
  <si>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</si>
  <si>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</si>
  <si>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</si>
  <si>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</si>
  <si>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</si>
  <si>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법인</t>
    <phoneticPr fontId="7" type="noConversion"/>
  </si>
  <si>
    <t>후원</t>
    <phoneticPr fontId="7" type="noConversion"/>
  </si>
  <si>
    <t>* 직원 연찬회</t>
    <phoneticPr fontId="7" type="noConversion"/>
  </si>
  <si>
    <t>잡수</t>
    <phoneticPr fontId="7" type="noConversion"/>
  </si>
  <si>
    <t>* 경장협 종사자 체육대회</t>
    <phoneticPr fontId="7" type="noConversion"/>
  </si>
  <si>
    <t>* 스승의날/가정의달 직원선물</t>
    <phoneticPr fontId="7" type="noConversion"/>
  </si>
  <si>
    <t>* 우수직원 포상금(12월)</t>
    <phoneticPr fontId="7" type="noConversion"/>
  </si>
  <si>
    <t>* 직원건강검진비(순수시비)</t>
    <phoneticPr fontId="7" type="noConversion"/>
  </si>
  <si>
    <t>7종</t>
    <phoneticPr fontId="7" type="noConversion"/>
  </si>
  <si>
    <t>* 직원독감 예방접종(지정후원금)</t>
    <phoneticPr fontId="7" type="noConversion"/>
  </si>
  <si>
    <t>* 직원하계수련회비용</t>
    <phoneticPr fontId="7" type="noConversion"/>
  </si>
  <si>
    <t>* 조리원, 영양사 위생복</t>
    <phoneticPr fontId="7" type="noConversion"/>
  </si>
  <si>
    <t>법인</t>
    <phoneticPr fontId="7" type="noConversion"/>
  </si>
  <si>
    <t>* 기관방문 손님접대용 다과 및 운영위원 선물구입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</si>
  <si>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</si>
  <si>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</si>
  <si>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보조</t>
    <phoneticPr fontId="7" type="noConversion"/>
  </si>
  <si>
    <t>1.사무실 노후 컴퓨터 교체</t>
    <phoneticPr fontId="7" type="noConversion"/>
  </si>
  <si>
    <t>대</t>
    <phoneticPr fontId="7" type="noConversion"/>
  </si>
  <si>
    <t>후원</t>
    <phoneticPr fontId="7" type="noConversion"/>
  </si>
  <si>
    <t>원</t>
    <phoneticPr fontId="7" type="noConversion"/>
  </si>
  <si>
    <t>(지정후원금)</t>
    <phoneticPr fontId="7" type="noConversion"/>
  </si>
  <si>
    <t>입소</t>
    <phoneticPr fontId="7" type="noConversion"/>
  </si>
  <si>
    <t>월</t>
    <phoneticPr fontId="7" type="noConversion"/>
  </si>
  <si>
    <t>(생계비)</t>
    <phoneticPr fontId="7" type="noConversion"/>
  </si>
  <si>
    <t>2. 환경미화</t>
    <phoneticPr fontId="7" type="noConversion"/>
  </si>
  <si>
    <t>3. 이용인 송년회</t>
    <phoneticPr fontId="7" type="noConversion"/>
  </si>
  <si>
    <t>2. 부모여행</t>
    <phoneticPr fontId="7" type="noConversion"/>
  </si>
  <si>
    <t>3. 퇴소자사후관리</t>
    <phoneticPr fontId="7" type="noConversion"/>
  </si>
  <si>
    <t>4. 가정방문</t>
    <phoneticPr fontId="7" type="noConversion"/>
  </si>
  <si>
    <t>5. 어버이날 행사</t>
    <phoneticPr fontId="7" type="noConversion"/>
  </si>
  <si>
    <t>4. 비둘기캠프</t>
    <phoneticPr fontId="7" type="noConversion"/>
  </si>
  <si>
    <t>5. 경기도장애인체육대회</t>
    <phoneticPr fontId="7" type="noConversion"/>
  </si>
  <si>
    <t>2. 사랑채 여가누리</t>
    <phoneticPr fontId="7" type="noConversion"/>
  </si>
  <si>
    <t>소  계 :</t>
    <phoneticPr fontId="7" type="noConversion"/>
  </si>
  <si>
    <t>1. 마라톤 대회 참가</t>
    <phoneticPr fontId="7" type="noConversion"/>
  </si>
  <si>
    <t>2. 재활치료(통증/수중치료)</t>
    <phoneticPr fontId="7" type="noConversion"/>
  </si>
  <si>
    <t>4. BMW</t>
    <phoneticPr fontId="7" type="noConversion"/>
  </si>
  <si>
    <t>* 직원 단체복 구입</t>
    <phoneticPr fontId="7" type="noConversion"/>
  </si>
  <si>
    <t>* 10년 장기근속자 포상(3명)</t>
    <phoneticPr fontId="7" type="noConversion"/>
  </si>
  <si>
    <t>* 야간근로자 특수건강검진(18명)</t>
    <phoneticPr fontId="7" type="noConversion"/>
  </si>
  <si>
    <t>* 퇴직자 선물 및 기타경비(10회)</t>
    <phoneticPr fontId="7" type="noConversion"/>
  </si>
  <si>
    <t>3. 예산심의 사업계획수립(실무자워크숍)</t>
    <phoneticPr fontId="7" type="noConversion"/>
  </si>
  <si>
    <t>1. 제주도여행(하늘채)</t>
    <phoneticPr fontId="7" type="noConversion"/>
  </si>
  <si>
    <t>* 10년 장기근속자(3명)</t>
    <phoneticPr fontId="7" type="noConversion"/>
  </si>
  <si>
    <t>* 직원윤리경영교육</t>
    <phoneticPr fontId="7" type="noConversion"/>
  </si>
  <si>
    <t>원</t>
    <phoneticPr fontId="7" type="noConversion"/>
  </si>
  <si>
    <t>* 하계직원교육</t>
    <phoneticPr fontId="7" type="noConversion"/>
  </si>
  <si>
    <t>* 역량강화교육</t>
    <phoneticPr fontId="7" type="noConversion"/>
  </si>
  <si>
    <t>* 직원외부교육(직무교육,보수교육,연찬회,피정)</t>
    <phoneticPr fontId="7" type="noConversion"/>
  </si>
  <si>
    <t>* 여비</t>
    <phoneticPr fontId="7" type="noConversion"/>
  </si>
  <si>
    <t>2. 명절행사(추석)</t>
    <phoneticPr fontId="7" type="noConversion"/>
  </si>
  <si>
    <t>5. 이용인 회갑연</t>
    <phoneticPr fontId="7" type="noConversion"/>
  </si>
  <si>
    <t>원</t>
    <phoneticPr fontId="7" type="noConversion"/>
  </si>
  <si>
    <t>6. 미귀가생프로그램</t>
    <phoneticPr fontId="7" type="noConversion"/>
  </si>
  <si>
    <t>3. 여름캠프</t>
    <phoneticPr fontId="7" type="noConversion"/>
  </si>
  <si>
    <t>6. 경장협 작품전시회</t>
    <phoneticPr fontId="7" type="noConversion"/>
  </si>
  <si>
    <t>7. 실습생관리</t>
    <phoneticPr fontId="7" type="noConversion"/>
  </si>
  <si>
    <t>1. 사회적응(하늘)</t>
    <phoneticPr fontId="7" type="noConversion"/>
  </si>
  <si>
    <t>2. 사회적응(사랑)</t>
    <phoneticPr fontId="7" type="noConversion"/>
  </si>
  <si>
    <t>3. 사회적응(아름)</t>
    <phoneticPr fontId="7" type="noConversion"/>
  </si>
  <si>
    <t>프로그램</t>
    <phoneticPr fontId="7" type="noConversion"/>
  </si>
  <si>
    <t>1. 태권도(수원시장애인체육회 지원)</t>
    <phoneticPr fontId="7" type="noConversion"/>
  </si>
  <si>
    <t>2. 재활승마(수원시복지기금)</t>
    <phoneticPr fontId="7" type="noConversion"/>
  </si>
  <si>
    <t>3. 장애인한마음체육대회</t>
    <phoneticPr fontId="7" type="noConversion"/>
  </si>
  <si>
    <t>개별지원</t>
    <phoneticPr fontId="7" type="noConversion"/>
  </si>
  <si>
    <t>서비스 및</t>
    <phoneticPr fontId="7" type="noConversion"/>
  </si>
  <si>
    <t>여가활동</t>
    <phoneticPr fontId="7" type="noConversion"/>
  </si>
  <si>
    <t>1. 하늘채 여가누리</t>
    <phoneticPr fontId="7" type="noConversion"/>
  </si>
  <si>
    <t>3. 아름채 여가누리</t>
    <phoneticPr fontId="7" type="noConversion"/>
  </si>
  <si>
    <t>4. 사랑빚은(공동모금회)</t>
    <phoneticPr fontId="7" type="noConversion"/>
  </si>
  <si>
    <t>5. 봉사동아리</t>
    <phoneticPr fontId="7" type="noConversion"/>
  </si>
  <si>
    <t>6. 문화센터이용</t>
    <phoneticPr fontId="7" type="noConversion"/>
  </si>
  <si>
    <t>4. 사회적응(해외문화탐방)</t>
    <phoneticPr fontId="7" type="noConversion"/>
  </si>
  <si>
    <t>5. 행복공장</t>
    <phoneticPr fontId="7" type="noConversion"/>
  </si>
  <si>
    <t>6. 자립준비가정</t>
    <phoneticPr fontId="7" type="noConversion"/>
  </si>
  <si>
    <t>7. 금전관리교육</t>
    <phoneticPr fontId="7" type="noConversion"/>
  </si>
  <si>
    <t>법인</t>
    <phoneticPr fontId="7" type="noConversion"/>
  </si>
  <si>
    <t>7. 생일프로그램</t>
    <phoneticPr fontId="7" type="noConversion"/>
  </si>
  <si>
    <t>5. 생일프로그램</t>
    <phoneticPr fontId="7" type="noConversion"/>
  </si>
  <si>
    <t>6. 자립가정체험(요리활동)</t>
    <phoneticPr fontId="7" type="noConversion"/>
  </si>
  <si>
    <t>6. 계절별여행</t>
    <phoneticPr fontId="7" type="noConversion"/>
  </si>
  <si>
    <t>3. 육상필드(전국하계대회)</t>
    <phoneticPr fontId="7" type="noConversion"/>
  </si>
  <si>
    <t>3. 푸드트럭 'café바다'</t>
    <phoneticPr fontId="7" type="noConversion"/>
  </si>
  <si>
    <t xml:space="preserve">   감동프로젝트</t>
    <phoneticPr fontId="7" type="noConversion"/>
  </si>
  <si>
    <t xml:space="preserve">7. 자원개발 </t>
    <phoneticPr fontId="7" type="noConversion"/>
  </si>
  <si>
    <t>8. 지역사회초청의 날</t>
    <phoneticPr fontId="7" type="noConversion"/>
  </si>
  <si>
    <t>원</t>
    <phoneticPr fontId="7" type="noConversion"/>
  </si>
  <si>
    <t>회</t>
    <phoneticPr fontId="7" type="noConversion"/>
  </si>
  <si>
    <t>3. 도시락이벤트/쿠킹클래스(영양)</t>
    <phoneticPr fontId="7" type="noConversion"/>
  </si>
  <si>
    <t>* 직원야유회(2회)</t>
    <phoneticPr fontId="7" type="noConversion"/>
  </si>
  <si>
    <t>잡수</t>
    <phoneticPr fontId="7" type="noConversion"/>
  </si>
  <si>
    <t>8. 기관방문(2회)/영양팀 포함예산</t>
    <phoneticPr fontId="7" type="noConversion"/>
  </si>
  <si>
    <t>2.회의용 테이블,의자</t>
    <phoneticPr fontId="7" type="noConversion"/>
  </si>
  <si>
    <t>4.소방방화문 설치공사</t>
    <phoneticPr fontId="7" type="noConversion"/>
  </si>
  <si>
    <t>6. 화장실개보수(서울교구)</t>
    <phoneticPr fontId="7" type="noConversion"/>
  </si>
  <si>
    <t>7. 4층 리모델링공사(서울교구)</t>
    <phoneticPr fontId="7" type="noConversion"/>
  </si>
  <si>
    <t>5. 시설물안전관리(2회)</t>
    <phoneticPr fontId="7" type="noConversion"/>
  </si>
  <si>
    <t>①자동차보험료(32인승, 25인승, 12인승, 레이,니로, 모닝, 스타렉스 12인승)</t>
    <phoneticPr fontId="7" type="noConversion"/>
  </si>
  <si>
    <t>후원</t>
    <phoneticPr fontId="7" type="noConversion"/>
  </si>
  <si>
    <t xml:space="preserve">  (폐기물스티커/맨홀청소/물탱크청소 등)</t>
    <phoneticPr fontId="7" type="noConversion"/>
  </si>
  <si>
    <t xml:space="preserve"> * 수원시복지기금(재활승마)</t>
    <phoneticPr fontId="7" type="noConversion"/>
  </si>
  <si>
    <t>7종</t>
    <phoneticPr fontId="7" type="noConversion"/>
  </si>
  <si>
    <t>후원</t>
    <phoneticPr fontId="7" type="noConversion"/>
  </si>
  <si>
    <t>입소</t>
    <phoneticPr fontId="7" type="noConversion"/>
  </si>
  <si>
    <t>입소</t>
    <phoneticPr fontId="7" type="noConversion"/>
  </si>
  <si>
    <t>입소</t>
    <phoneticPr fontId="7" type="noConversion"/>
  </si>
  <si>
    <t>2. 세탁세제구입 등</t>
    <phoneticPr fontId="7" type="noConversion"/>
  </si>
  <si>
    <t>2. 주방가스요금( 할부금 포함)</t>
    <phoneticPr fontId="7" type="noConversion"/>
  </si>
  <si>
    <t xml:space="preserve"> * 예금이자(수원시복지기금)</t>
    <phoneticPr fontId="7" type="noConversion"/>
  </si>
  <si>
    <t>1. 인권지킴이단 운영(후원금 2,850,000원/보조금 800,000원</t>
    <phoneticPr fontId="7" type="noConversion"/>
  </si>
  <si>
    <t>5.이용인/직원/봉사자 등 구충제</t>
    <phoneticPr fontId="7" type="noConversion"/>
  </si>
  <si>
    <t>7. 일반전기요금/ 상하수도요금 자부담 보충액</t>
    <phoneticPr fontId="7" type="noConversion"/>
  </si>
  <si>
    <t>원</t>
    <phoneticPr fontId="7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</si>
</sst>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시간&quot;;[Red]#,##0"/>
    <numFmt numFmtId="192" formatCode="#,##0&quot;명&quot;;[Red]#,##0"/>
    <numFmt numFmtId="193" formatCode="#,##0&quot;대&quot;;[Red]#,##0\ &quot;개&quot;"/>
    <numFmt numFmtId="194" formatCode="&quot;×&quot;0.0%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8.5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69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0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1" fontId="26" fillId="0" borderId="0" xfId="3" applyNumberFormat="1" applyFont="1" applyFill="1" applyBorder="1" applyAlignment="1">
      <alignment vertical="center"/>
    </xf>
    <xf numFmtId="192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182" fontId="46" fillId="0" borderId="36" xfId="8" applyNumberFormat="1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41" xfId="8" applyNumberFormat="1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82" fontId="46" fillId="0" borderId="18" xfId="8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4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93" fontId="26" fillId="0" borderId="0" xfId="3" applyNumberFormat="1" applyFont="1" applyFill="1" applyBorder="1" applyAlignment="1">
      <alignment horizontal="center"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48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49" fillId="0" borderId="0" xfId="0" applyNumberFormat="1" applyFont="1" applyFill="1">
      <alignment vertical="center"/>
    </xf>
    <xf numFmtId="0" fontId="24" fillId="0" borderId="0" xfId="0" applyFont="1" applyFill="1">
      <alignment vertical="center"/>
    </xf>
    <xf numFmtId="176" fontId="41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33" xfId="3" applyFont="1" applyFill="1" applyBorder="1" applyAlignment="1">
      <alignment horizontal="left" vertical="center"/>
    </xf>
    <xf numFmtId="181" fontId="26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176" fontId="49" fillId="0" borderId="0" xfId="3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27" xfId="3" applyFont="1" applyFill="1" applyBorder="1" applyAlignment="1">
      <alignment horizontal="center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horizontal="left" vertical="center"/>
    </xf>
    <xf numFmtId="176" fontId="34" fillId="0" borderId="44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36" fillId="0" borderId="0" xfId="2" applyFont="1" applyFill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0" fontId="26" fillId="0" borderId="7" xfId="3" applyFont="1" applyFill="1" applyBorder="1" applyAlignment="1">
      <alignment horizontal="center" vertical="center" wrapText="1"/>
    </xf>
    <xf numFmtId="178" fontId="26" fillId="0" borderId="7" xfId="3" applyNumberFormat="1" applyFont="1" applyFill="1" applyBorder="1" applyAlignment="1">
      <alignment vertical="center"/>
    </xf>
    <xf numFmtId="177" fontId="26" fillId="0" borderId="7" xfId="3" applyNumberFormat="1" applyFont="1" applyFill="1" applyBorder="1" applyAlignment="1">
      <alignment vertical="center"/>
    </xf>
    <xf numFmtId="9" fontId="26" fillId="0" borderId="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5" fillId="0" borderId="38" xfId="3" applyFont="1" applyFill="1" applyBorder="1" applyAlignment="1">
      <alignment vertical="center"/>
    </xf>
    <xf numFmtId="0" fontId="35" fillId="0" borderId="13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0" fontId="26" fillId="0" borderId="0" xfId="1" applyNumberFormat="1" applyFont="1" applyFill="1" applyBorder="1" applyAlignment="1">
      <alignment horizontal="center"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42" fontId="26" fillId="0" borderId="14" xfId="3" applyNumberFormat="1" applyFont="1" applyFill="1" applyBorder="1" applyAlignment="1">
      <alignment horizontal="center" vertical="center"/>
    </xf>
    <xf numFmtId="178" fontId="26" fillId="0" borderId="14" xfId="3" applyNumberFormat="1" applyFont="1" applyFill="1" applyBorder="1" applyAlignment="1">
      <alignment horizontal="center" vertical="center"/>
    </xf>
    <xf numFmtId="180" fontId="26" fillId="0" borderId="14" xfId="2" applyNumberFormat="1" applyFont="1" applyFill="1" applyBorder="1" applyAlignment="1">
      <alignment horizontal="center" vertical="center"/>
    </xf>
    <xf numFmtId="0" fontId="35" fillId="0" borderId="40" xfId="3" applyFont="1" applyFill="1" applyBorder="1" applyAlignment="1">
      <alignment vertical="center"/>
    </xf>
    <xf numFmtId="0" fontId="35" fillId="0" borderId="22" xfId="3" applyFont="1" applyFill="1" applyBorder="1" applyAlignment="1">
      <alignment vertical="center"/>
    </xf>
    <xf numFmtId="176" fontId="26" fillId="0" borderId="56" xfId="3" applyNumberFormat="1" applyFont="1" applyFill="1" applyBorder="1" applyAlignment="1">
      <alignment horizontal="right" vertical="center"/>
    </xf>
    <xf numFmtId="0" fontId="26" fillId="0" borderId="38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33" fillId="0" borderId="33" xfId="3" applyFont="1" applyFill="1" applyBorder="1" applyAlignment="1">
      <alignment horizontal="left" vertical="center"/>
    </xf>
    <xf numFmtId="176" fontId="33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38" fontId="33" fillId="0" borderId="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7" fontId="35" fillId="0" borderId="13" xfId="3" applyNumberFormat="1" applyFont="1" applyFill="1" applyBorder="1" applyAlignment="1">
      <alignment horizontal="right" vertical="center"/>
    </xf>
    <xf numFmtId="176" fontId="35" fillId="0" borderId="39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41" fontId="14" fillId="0" borderId="0" xfId="2" applyFont="1" applyFill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26" fillId="0" borderId="0" xfId="0" applyNumberFormat="1" applyFont="1" applyFill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38" fontId="26" fillId="0" borderId="20" xfId="3" applyNumberFormat="1" applyFont="1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26" fillId="0" borderId="53" xfId="3" applyNumberFormat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7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horizontal="right" vertical="center"/>
    </xf>
    <xf numFmtId="0" fontId="16" fillId="0" borderId="2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FFFF"/>
      <color rgb="FFFFFF00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E26" sqref="E26"/>
    </sheetView>
  </sheetViews>
  <sheetFormatPr defaultRowHeight="16.5"/>
  <cols>
    <col min="1" max="1" width="1.44140625" style="189" customWidth="1"/>
    <col min="2" max="2" width="11.5546875" style="189" bestFit="1" customWidth="1"/>
    <col min="3" max="3" width="13.33203125" style="189" bestFit="1" customWidth="1"/>
    <col min="4" max="5" width="18" style="189" bestFit="1" customWidth="1"/>
    <col min="6" max="6" width="16" style="189" bestFit="1" customWidth="1"/>
    <col min="7" max="7" width="9.6640625" style="189" bestFit="1" customWidth="1"/>
    <col min="8" max="8" width="13.33203125" style="189" bestFit="1" customWidth="1"/>
    <col min="9" max="10" width="18" style="189" bestFit="1" customWidth="1"/>
    <col min="11" max="11" width="16" style="189" bestFit="1" customWidth="1"/>
    <col min="12" max="16384" width="8.88671875" style="189"/>
  </cols>
  <sheetData>
    <row r="1" spans="2:11" ht="9.9499999999999993" customHeight="1"/>
    <row r="2" spans="2:11" ht="26.25">
      <c r="B2" s="190" t="s">
        <v>737</v>
      </c>
      <c r="K2" s="191" t="s">
        <v>689</v>
      </c>
    </row>
    <row r="3" spans="2:11" ht="9.9499999999999993" customHeight="1" thickBot="1"/>
    <row r="4" spans="2:11" ht="30" customHeight="1">
      <c r="B4" s="704" t="s">
        <v>157</v>
      </c>
      <c r="C4" s="705"/>
      <c r="D4" s="705"/>
      <c r="E4" s="705"/>
      <c r="F4" s="706"/>
      <c r="G4" s="704" t="s">
        <v>158</v>
      </c>
      <c r="H4" s="705"/>
      <c r="I4" s="705"/>
      <c r="J4" s="705"/>
      <c r="K4" s="707"/>
    </row>
    <row r="5" spans="2:11" ht="16.5" customHeight="1">
      <c r="B5" s="708" t="s">
        <v>159</v>
      </c>
      <c r="C5" s="709"/>
      <c r="D5" s="712" t="s">
        <v>738</v>
      </c>
      <c r="E5" s="712" t="s">
        <v>739</v>
      </c>
      <c r="F5" s="714" t="s">
        <v>160</v>
      </c>
      <c r="G5" s="708" t="s">
        <v>159</v>
      </c>
      <c r="H5" s="709"/>
      <c r="I5" s="712" t="s">
        <v>738</v>
      </c>
      <c r="J5" s="712" t="s">
        <v>739</v>
      </c>
      <c r="K5" s="716" t="s">
        <v>160</v>
      </c>
    </row>
    <row r="6" spans="2:11" ht="22.5" customHeight="1" thickBot="1">
      <c r="B6" s="710"/>
      <c r="C6" s="711"/>
      <c r="D6" s="713"/>
      <c r="E6" s="713"/>
      <c r="F6" s="715"/>
      <c r="G6" s="710"/>
      <c r="H6" s="711"/>
      <c r="I6" s="713"/>
      <c r="J6" s="713"/>
      <c r="K6" s="717"/>
    </row>
    <row r="7" spans="2:11" ht="24.95" customHeight="1" thickTop="1">
      <c r="B7" s="696" t="s">
        <v>161</v>
      </c>
      <c r="C7" s="697"/>
      <c r="D7" s="414">
        <f>SUM(D8:D23)/2</f>
        <v>2379951</v>
      </c>
      <c r="E7" s="414">
        <f>SUM(E8:E23)/2</f>
        <v>2531631</v>
      </c>
      <c r="F7" s="415">
        <f>SUM(F8:F23)/2</f>
        <v>151680</v>
      </c>
      <c r="G7" s="696" t="s">
        <v>161</v>
      </c>
      <c r="H7" s="697"/>
      <c r="I7" s="414">
        <f>SUM(I8:I28)/2</f>
        <v>2379951</v>
      </c>
      <c r="J7" s="414">
        <f>SUM(J8:J28)/2</f>
        <v>2531631</v>
      </c>
      <c r="K7" s="416">
        <f>SUM(K8:K28)/2</f>
        <v>151680</v>
      </c>
    </row>
    <row r="8" spans="2:11" ht="24.95" customHeight="1">
      <c r="B8" s="698" t="s">
        <v>162</v>
      </c>
      <c r="C8" s="417" t="s">
        <v>287</v>
      </c>
      <c r="D8" s="418">
        <f>D9</f>
        <v>117700</v>
      </c>
      <c r="E8" s="418">
        <f>E9</f>
        <v>117600</v>
      </c>
      <c r="F8" s="419">
        <f>F9</f>
        <v>-100</v>
      </c>
      <c r="G8" s="698" t="s">
        <v>164</v>
      </c>
      <c r="H8" s="417" t="s">
        <v>287</v>
      </c>
      <c r="I8" s="418">
        <f>SUM(I9:I11)</f>
        <v>1900131</v>
      </c>
      <c r="J8" s="418">
        <f>SUM(J9:J11)</f>
        <v>2036430</v>
      </c>
      <c r="K8" s="423">
        <f>SUM(K9:K11)</f>
        <v>136299</v>
      </c>
    </row>
    <row r="9" spans="2:11" ht="24.95" customHeight="1">
      <c r="B9" s="699"/>
      <c r="C9" s="192" t="s">
        <v>163</v>
      </c>
      <c r="D9" s="193">
        <v>117700</v>
      </c>
      <c r="E9" s="193">
        <f>세입!F5</f>
        <v>117600</v>
      </c>
      <c r="F9" s="194">
        <f>E9-D9</f>
        <v>-100</v>
      </c>
      <c r="G9" s="700"/>
      <c r="H9" s="192" t="s">
        <v>165</v>
      </c>
      <c r="I9" s="193">
        <v>1785022</v>
      </c>
      <c r="J9" s="193">
        <f>세출!E6</f>
        <v>1933136</v>
      </c>
      <c r="K9" s="195">
        <f>J9-I9</f>
        <v>148114</v>
      </c>
    </row>
    <row r="10" spans="2:11" ht="24.95" customHeight="1">
      <c r="B10" s="698" t="s">
        <v>166</v>
      </c>
      <c r="C10" s="420" t="s">
        <v>287</v>
      </c>
      <c r="D10" s="421">
        <f>SUM(D11:D14)</f>
        <v>1959096</v>
      </c>
      <c r="E10" s="421">
        <f>SUM(E11:E14)</f>
        <v>2109307</v>
      </c>
      <c r="F10" s="422">
        <f>SUM(F11:F14)</f>
        <v>150211</v>
      </c>
      <c r="G10" s="700"/>
      <c r="H10" s="192" t="s">
        <v>167</v>
      </c>
      <c r="I10" s="193">
        <v>1768</v>
      </c>
      <c r="J10" s="193">
        <f>세출!E80</f>
        <v>2080</v>
      </c>
      <c r="K10" s="195">
        <f>J10-I10</f>
        <v>312</v>
      </c>
    </row>
    <row r="11" spans="2:11" ht="24.95" customHeight="1">
      <c r="B11" s="700"/>
      <c r="C11" s="274" t="s">
        <v>191</v>
      </c>
      <c r="D11" s="193">
        <v>1265010</v>
      </c>
      <c r="E11" s="193">
        <f>세입!F13</f>
        <v>1366503</v>
      </c>
      <c r="F11" s="194">
        <f t="shared" ref="F11:F23" si="0">E11-D11</f>
        <v>101493</v>
      </c>
      <c r="G11" s="699"/>
      <c r="H11" s="192" t="s">
        <v>92</v>
      </c>
      <c r="I11" s="193">
        <v>113341</v>
      </c>
      <c r="J11" s="193">
        <f>세출!E89</f>
        <v>101214</v>
      </c>
      <c r="K11" s="195">
        <f>J11-I11</f>
        <v>-12127</v>
      </c>
    </row>
    <row r="12" spans="2:11" ht="24.95" customHeight="1">
      <c r="B12" s="700"/>
      <c r="C12" s="274" t="s">
        <v>192</v>
      </c>
      <c r="D12" s="193">
        <v>111435</v>
      </c>
      <c r="E12" s="193">
        <f>세입!F42</f>
        <v>117467</v>
      </c>
      <c r="F12" s="194">
        <f t="shared" si="0"/>
        <v>6032</v>
      </c>
      <c r="G12" s="698" t="s">
        <v>93</v>
      </c>
      <c r="H12" s="420" t="s">
        <v>287</v>
      </c>
      <c r="I12" s="421">
        <f>SUM(I13:I15)</f>
        <v>98308</v>
      </c>
      <c r="J12" s="421">
        <f>SUM(J13:J15)</f>
        <v>82112</v>
      </c>
      <c r="K12" s="424">
        <f>SUM(K13:K15)</f>
        <v>-16196</v>
      </c>
    </row>
    <row r="13" spans="2:11" ht="24.95" customHeight="1">
      <c r="B13" s="700"/>
      <c r="C13" s="274" t="s">
        <v>193</v>
      </c>
      <c r="D13" s="193">
        <v>582651</v>
      </c>
      <c r="E13" s="193">
        <f>세입!F106</f>
        <v>625337</v>
      </c>
      <c r="F13" s="194">
        <f>E13-D13</f>
        <v>42686</v>
      </c>
      <c r="G13" s="700"/>
      <c r="H13" s="192" t="s">
        <v>94</v>
      </c>
      <c r="I13" s="193">
        <v>0</v>
      </c>
      <c r="J13" s="193">
        <v>0</v>
      </c>
      <c r="K13" s="195">
        <f>J13-I13</f>
        <v>0</v>
      </c>
    </row>
    <row r="14" spans="2:11" ht="24.95" customHeight="1">
      <c r="B14" s="699"/>
      <c r="C14" s="509" t="s">
        <v>511</v>
      </c>
      <c r="D14" s="193">
        <v>0</v>
      </c>
      <c r="E14" s="193">
        <v>0</v>
      </c>
      <c r="F14" s="194">
        <f t="shared" si="0"/>
        <v>0</v>
      </c>
      <c r="G14" s="700"/>
      <c r="H14" s="192" t="s">
        <v>97</v>
      </c>
      <c r="I14" s="193">
        <v>55120</v>
      </c>
      <c r="J14" s="193">
        <f>세출!E169</f>
        <v>12200</v>
      </c>
      <c r="K14" s="195">
        <f>J14-I14</f>
        <v>-42920</v>
      </c>
    </row>
    <row r="15" spans="2:11" ht="24.95" customHeight="1">
      <c r="B15" s="698" t="s">
        <v>95</v>
      </c>
      <c r="C15" s="420" t="s">
        <v>287</v>
      </c>
      <c r="D15" s="421">
        <f>SUM(D16:D17)</f>
        <v>153079</v>
      </c>
      <c r="E15" s="421">
        <f>SUM(E16:E17)</f>
        <v>163152</v>
      </c>
      <c r="F15" s="422">
        <f>SUM(F16:F17)</f>
        <v>10073</v>
      </c>
      <c r="G15" s="699"/>
      <c r="H15" s="192" t="s">
        <v>99</v>
      </c>
      <c r="I15" s="193">
        <v>43188</v>
      </c>
      <c r="J15" s="193">
        <f>세출!E173</f>
        <v>69912</v>
      </c>
      <c r="K15" s="195">
        <f>J15-I15</f>
        <v>26724</v>
      </c>
    </row>
    <row r="16" spans="2:11" ht="24.95" customHeight="1">
      <c r="B16" s="700"/>
      <c r="C16" s="192" t="s">
        <v>96</v>
      </c>
      <c r="D16" s="193">
        <v>73879</v>
      </c>
      <c r="E16" s="193">
        <f>세입!F172</f>
        <v>72992</v>
      </c>
      <c r="F16" s="194">
        <f t="shared" si="0"/>
        <v>-887</v>
      </c>
      <c r="G16" s="698" t="s">
        <v>102</v>
      </c>
      <c r="H16" s="420" t="s">
        <v>287</v>
      </c>
      <c r="I16" s="421">
        <f>SUM(I17:I22)</f>
        <v>381272</v>
      </c>
      <c r="J16" s="421">
        <f>SUM(J17:J22)</f>
        <v>412849</v>
      </c>
      <c r="K16" s="424">
        <f>SUM(K17:K22)</f>
        <v>31577</v>
      </c>
    </row>
    <row r="17" spans="2:11" ht="24.95" customHeight="1">
      <c r="B17" s="699"/>
      <c r="C17" s="192" t="s">
        <v>98</v>
      </c>
      <c r="D17" s="193">
        <v>79200</v>
      </c>
      <c r="E17" s="193">
        <f>세입!F185</f>
        <v>90160</v>
      </c>
      <c r="F17" s="194">
        <f t="shared" si="0"/>
        <v>10960</v>
      </c>
      <c r="G17" s="700"/>
      <c r="H17" s="192" t="s">
        <v>103</v>
      </c>
      <c r="I17" s="193">
        <v>227815</v>
      </c>
      <c r="J17" s="193">
        <f>세출!E186</f>
        <v>226234</v>
      </c>
      <c r="K17" s="195">
        <f t="shared" ref="K17:K22" si="1">J17-I17</f>
        <v>-1581</v>
      </c>
    </row>
    <row r="18" spans="2:11" ht="24.95" customHeight="1">
      <c r="B18" s="698" t="s">
        <v>100</v>
      </c>
      <c r="C18" s="420" t="s">
        <v>287</v>
      </c>
      <c r="D18" s="421">
        <f>D19</f>
        <v>43607</v>
      </c>
      <c r="E18" s="421">
        <f>E19</f>
        <v>43607</v>
      </c>
      <c r="F18" s="422">
        <f>F19</f>
        <v>0</v>
      </c>
      <c r="G18" s="700"/>
      <c r="H18" s="192" t="s">
        <v>106</v>
      </c>
      <c r="I18" s="193">
        <v>7773</v>
      </c>
      <c r="J18" s="193">
        <f>세출!E200</f>
        <v>7773</v>
      </c>
      <c r="K18" s="195">
        <f t="shared" si="1"/>
        <v>0</v>
      </c>
    </row>
    <row r="19" spans="2:11" ht="24.95" customHeight="1">
      <c r="B19" s="699"/>
      <c r="C19" s="192" t="s">
        <v>101</v>
      </c>
      <c r="D19" s="193">
        <v>43607</v>
      </c>
      <c r="E19" s="193">
        <f>세입!F197</f>
        <v>43607</v>
      </c>
      <c r="F19" s="194">
        <f t="shared" si="0"/>
        <v>0</v>
      </c>
      <c r="G19" s="700"/>
      <c r="H19" s="192" t="s">
        <v>109</v>
      </c>
      <c r="I19" s="193">
        <v>16640</v>
      </c>
      <c r="J19" s="193">
        <f>세출!E204</f>
        <v>16640</v>
      </c>
      <c r="K19" s="195">
        <f t="shared" si="1"/>
        <v>0</v>
      </c>
    </row>
    <row r="20" spans="2:11" ht="24.95" customHeight="1">
      <c r="B20" s="698" t="s">
        <v>104</v>
      </c>
      <c r="C20" s="420" t="s">
        <v>287</v>
      </c>
      <c r="D20" s="421">
        <f>D21</f>
        <v>49405</v>
      </c>
      <c r="E20" s="421">
        <f>E21</f>
        <v>41567</v>
      </c>
      <c r="F20" s="422">
        <f>F21</f>
        <v>-7838</v>
      </c>
      <c r="G20" s="700"/>
      <c r="H20" s="192" t="s">
        <v>110</v>
      </c>
      <c r="I20" s="193">
        <v>3786</v>
      </c>
      <c r="J20" s="193">
        <f>세출!E209</f>
        <v>18480</v>
      </c>
      <c r="K20" s="195">
        <f t="shared" si="1"/>
        <v>14694</v>
      </c>
    </row>
    <row r="21" spans="2:11" ht="24.95" customHeight="1">
      <c r="B21" s="699"/>
      <c r="C21" s="192" t="s">
        <v>105</v>
      </c>
      <c r="D21" s="193">
        <v>49405</v>
      </c>
      <c r="E21" s="193">
        <f>세입!F242</f>
        <v>41567</v>
      </c>
      <c r="F21" s="194">
        <f t="shared" si="0"/>
        <v>-7838</v>
      </c>
      <c r="G21" s="700"/>
      <c r="H21" s="192" t="s">
        <v>111</v>
      </c>
      <c r="I21" s="193">
        <v>22617</v>
      </c>
      <c r="J21" s="193">
        <f>세출!E217</f>
        <v>22715</v>
      </c>
      <c r="K21" s="195">
        <f t="shared" si="1"/>
        <v>98</v>
      </c>
    </row>
    <row r="22" spans="2:11" ht="24.95" customHeight="1">
      <c r="B22" s="698" t="s">
        <v>107</v>
      </c>
      <c r="C22" s="420" t="s">
        <v>287</v>
      </c>
      <c r="D22" s="421">
        <f>D23</f>
        <v>57064</v>
      </c>
      <c r="E22" s="421">
        <f>E23</f>
        <v>56398</v>
      </c>
      <c r="F22" s="422">
        <f>F23</f>
        <v>-666</v>
      </c>
      <c r="G22" s="699"/>
      <c r="H22" s="192" t="s">
        <v>112</v>
      </c>
      <c r="I22" s="193">
        <v>102641</v>
      </c>
      <c r="J22" s="193">
        <f>세출!E225</f>
        <v>121007</v>
      </c>
      <c r="K22" s="195">
        <f t="shared" si="1"/>
        <v>18366</v>
      </c>
    </row>
    <row r="23" spans="2:11" ht="24.95" customHeight="1">
      <c r="B23" s="699"/>
      <c r="C23" s="192" t="s">
        <v>108</v>
      </c>
      <c r="D23" s="193">
        <v>57064</v>
      </c>
      <c r="E23" s="193">
        <f>세입!F267</f>
        <v>56398</v>
      </c>
      <c r="F23" s="194">
        <f t="shared" si="0"/>
        <v>-666</v>
      </c>
      <c r="G23" s="702" t="s">
        <v>155</v>
      </c>
      <c r="H23" s="420" t="s">
        <v>287</v>
      </c>
      <c r="I23" s="421">
        <f>I24</f>
        <v>240</v>
      </c>
      <c r="J23" s="421">
        <f>J24</f>
        <v>240</v>
      </c>
      <c r="K23" s="424">
        <f>K24</f>
        <v>0</v>
      </c>
    </row>
    <row r="24" spans="2:11" ht="24.95" customHeight="1">
      <c r="B24" s="510"/>
      <c r="C24" s="511"/>
      <c r="D24" s="511"/>
      <c r="E24" s="511"/>
      <c r="F24" s="511"/>
      <c r="G24" s="703"/>
      <c r="H24" s="192" t="s">
        <v>113</v>
      </c>
      <c r="I24" s="193">
        <v>240</v>
      </c>
      <c r="J24" s="193">
        <f>세출!E327</f>
        <v>240</v>
      </c>
      <c r="K24" s="195">
        <f>J24-I24</f>
        <v>0</v>
      </c>
    </row>
    <row r="25" spans="2:11" ht="24.95" customHeight="1">
      <c r="B25" s="512"/>
      <c r="C25" s="513"/>
      <c r="D25" s="513"/>
      <c r="E25" s="513"/>
      <c r="F25" s="513"/>
      <c r="G25" s="698" t="s">
        <v>114</v>
      </c>
      <c r="H25" s="420" t="s">
        <v>287</v>
      </c>
      <c r="I25" s="421">
        <v>0</v>
      </c>
      <c r="J25" s="421">
        <f>J26</f>
        <v>0</v>
      </c>
      <c r="K25" s="424">
        <f>K26</f>
        <v>0</v>
      </c>
    </row>
    <row r="26" spans="2:11" ht="24.95" customHeight="1">
      <c r="B26" s="512"/>
      <c r="C26" s="513"/>
      <c r="D26" s="513"/>
      <c r="E26" s="513"/>
      <c r="F26" s="513"/>
      <c r="G26" s="699"/>
      <c r="H26" s="192" t="s">
        <v>115</v>
      </c>
      <c r="I26" s="193">
        <v>0</v>
      </c>
      <c r="J26" s="193">
        <v>0</v>
      </c>
      <c r="K26" s="195">
        <f>J26-I26</f>
        <v>0</v>
      </c>
    </row>
    <row r="27" spans="2:11" ht="24.95" customHeight="1">
      <c r="B27" s="512"/>
      <c r="C27" s="513"/>
      <c r="D27" s="513"/>
      <c r="E27" s="513"/>
      <c r="F27" s="513"/>
      <c r="G27" s="698" t="s">
        <v>116</v>
      </c>
      <c r="H27" s="420" t="s">
        <v>287</v>
      </c>
      <c r="I27" s="421">
        <f>I28</f>
        <v>0</v>
      </c>
      <c r="J27" s="421">
        <f>J28</f>
        <v>0</v>
      </c>
      <c r="K27" s="424">
        <f>K28</f>
        <v>0</v>
      </c>
    </row>
    <row r="28" spans="2:11" ht="24.95" customHeight="1" thickBot="1">
      <c r="B28" s="514"/>
      <c r="C28" s="515"/>
      <c r="D28" s="515"/>
      <c r="E28" s="515"/>
      <c r="F28" s="515"/>
      <c r="G28" s="701"/>
      <c r="H28" s="196" t="s">
        <v>117</v>
      </c>
      <c r="I28" s="197">
        <v>0</v>
      </c>
      <c r="J28" s="197">
        <v>0</v>
      </c>
      <c r="K28" s="198">
        <f>J28-I28</f>
        <v>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6"/>
  <sheetViews>
    <sheetView zoomScale="85" zoomScaleNormal="85" workbookViewId="0">
      <pane xSplit="4" ySplit="4" topLeftCell="E107" activePane="bottomRight" state="frozen"/>
      <selection pane="topRight" activeCell="E1" sqref="E1"/>
      <selection pane="bottomLeft" activeCell="A5" sqref="A5"/>
      <selection pane="bottomRight" activeCell="AA122" sqref="AA122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26" t="s">
        <v>740</v>
      </c>
      <c r="B1" s="726"/>
      <c r="C1" s="726"/>
      <c r="D1" s="726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27" t="s">
        <v>509</v>
      </c>
      <c r="B2" s="728"/>
      <c r="C2" s="728"/>
      <c r="D2" s="728"/>
      <c r="E2" s="724" t="s">
        <v>741</v>
      </c>
      <c r="F2" s="724" t="s">
        <v>742</v>
      </c>
      <c r="G2" s="732" t="s">
        <v>23</v>
      </c>
      <c r="H2" s="732"/>
      <c r="I2" s="732" t="s">
        <v>508</v>
      </c>
      <c r="J2" s="732"/>
      <c r="K2" s="732"/>
      <c r="L2" s="732"/>
      <c r="M2" s="732"/>
      <c r="N2" s="732"/>
      <c r="O2" s="732"/>
      <c r="P2" s="732"/>
      <c r="Q2" s="732"/>
      <c r="R2" s="732"/>
      <c r="S2" s="732"/>
      <c r="T2" s="732"/>
      <c r="U2" s="732"/>
      <c r="V2" s="732"/>
      <c r="W2" s="732"/>
      <c r="X2" s="732"/>
      <c r="Y2" s="733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507</v>
      </c>
      <c r="D3" s="26" t="s">
        <v>506</v>
      </c>
      <c r="E3" s="725"/>
      <c r="F3" s="725"/>
      <c r="G3" s="143" t="s">
        <v>505</v>
      </c>
      <c r="H3" s="27" t="s">
        <v>4</v>
      </c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5"/>
      <c r="Z3" s="8"/>
    </row>
    <row r="4" spans="1:26" s="3" customFormat="1" ht="19.5" customHeight="1">
      <c r="A4" s="729" t="s">
        <v>24</v>
      </c>
      <c r="B4" s="730"/>
      <c r="C4" s="730"/>
      <c r="D4" s="731"/>
      <c r="E4" s="220">
        <f>SUM(E5,E8,E10,E12,E171,E190,E197,E242,E267)</f>
        <v>2379951</v>
      </c>
      <c r="F4" s="220">
        <f>SUM(F5,F8,F10,F12,F171,F190,F197,F242,F267)</f>
        <v>2531631</v>
      </c>
      <c r="G4" s="288">
        <f>SUM(G5,G8,G10,G12,G171,G190,G197,G242,G267)</f>
        <v>151680</v>
      </c>
      <c r="H4" s="221">
        <f>IF(E4=0,0,G4/E4)</f>
        <v>6.3732404574716031E-2</v>
      </c>
      <c r="I4" s="28" t="s">
        <v>504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73">
        <f>SUM(X5,X8,X10,X12,X171,X190,X197,X242,X267)</f>
        <v>2531631000</v>
      </c>
      <c r="Y4" s="30" t="s">
        <v>368</v>
      </c>
      <c r="Z4" s="8"/>
    </row>
    <row r="5" spans="1:26" ht="21" customHeight="1" thickBot="1">
      <c r="A5" s="35" t="s">
        <v>503</v>
      </c>
      <c r="B5" s="36" t="s">
        <v>503</v>
      </c>
      <c r="C5" s="200" t="s">
        <v>502</v>
      </c>
      <c r="D5" s="200" t="s">
        <v>501</v>
      </c>
      <c r="E5" s="214">
        <v>117700</v>
      </c>
      <c r="F5" s="214">
        <f>ROUND(X5/1000,0)</f>
        <v>117600</v>
      </c>
      <c r="G5" s="215">
        <f>F5-E5</f>
        <v>-100</v>
      </c>
      <c r="H5" s="216">
        <f>IF(E5=0,0,G5/E5)</f>
        <v>-8.4961767204757861E-4</v>
      </c>
      <c r="I5" s="40" t="s">
        <v>500</v>
      </c>
      <c r="J5" s="137"/>
      <c r="K5" s="41"/>
      <c r="L5" s="41"/>
      <c r="M5" s="41"/>
      <c r="N5" s="41"/>
      <c r="O5" s="41"/>
      <c r="P5" s="42"/>
      <c r="Q5" s="42" t="s">
        <v>496</v>
      </c>
      <c r="R5" s="42"/>
      <c r="S5" s="42"/>
      <c r="T5" s="42"/>
      <c r="U5" s="42"/>
      <c r="V5" s="42"/>
      <c r="W5" s="43"/>
      <c r="X5" s="43">
        <f>SUM(X6:X7)</f>
        <v>117600000</v>
      </c>
      <c r="Y5" s="44" t="s">
        <v>25</v>
      </c>
    </row>
    <row r="6" spans="1:26" ht="21" customHeight="1">
      <c r="A6" s="45" t="s">
        <v>499</v>
      </c>
      <c r="B6" s="46" t="s">
        <v>119</v>
      </c>
      <c r="C6" s="47" t="s">
        <v>119</v>
      </c>
      <c r="D6" s="47" t="s">
        <v>119</v>
      </c>
      <c r="E6" s="552"/>
      <c r="F6" s="552"/>
      <c r="G6" s="553"/>
      <c r="H6" s="554"/>
      <c r="I6" s="574" t="s">
        <v>617</v>
      </c>
      <c r="J6" s="568"/>
      <c r="K6" s="295"/>
      <c r="L6" s="295"/>
      <c r="M6" s="570">
        <v>350000</v>
      </c>
      <c r="N6" s="570" t="s">
        <v>609</v>
      </c>
      <c r="O6" s="571" t="s">
        <v>610</v>
      </c>
      <c r="P6" s="570">
        <v>28</v>
      </c>
      <c r="Q6" s="570" t="s">
        <v>611</v>
      </c>
      <c r="R6" s="571" t="s">
        <v>610</v>
      </c>
      <c r="S6" s="296">
        <v>12</v>
      </c>
      <c r="T6" s="549" t="s">
        <v>618</v>
      </c>
      <c r="U6" s="549" t="s">
        <v>613</v>
      </c>
      <c r="V6" s="549"/>
      <c r="W6" s="570"/>
      <c r="X6" s="570">
        <f>M6*P6*S6</f>
        <v>117600000</v>
      </c>
      <c r="Y6" s="131" t="s">
        <v>609</v>
      </c>
    </row>
    <row r="7" spans="1:26" ht="21" customHeight="1">
      <c r="A7" s="45"/>
      <c r="B7" s="46"/>
      <c r="C7" s="47"/>
      <c r="D7" s="47"/>
      <c r="E7" s="48"/>
      <c r="F7" s="48"/>
      <c r="G7" s="49"/>
      <c r="H7" s="31"/>
      <c r="I7" s="654"/>
      <c r="J7" s="655"/>
      <c r="K7" s="282"/>
      <c r="L7" s="282"/>
      <c r="M7" s="376"/>
      <c r="N7" s="663" t="s">
        <v>745</v>
      </c>
      <c r="O7" s="664" t="s">
        <v>746</v>
      </c>
      <c r="P7" s="663"/>
      <c r="Q7" s="663" t="s">
        <v>747</v>
      </c>
      <c r="R7" s="664" t="s">
        <v>746</v>
      </c>
      <c r="S7" s="296"/>
      <c r="T7" s="661" t="s">
        <v>748</v>
      </c>
      <c r="U7" s="661" t="s">
        <v>749</v>
      </c>
      <c r="V7" s="661"/>
      <c r="W7" s="663"/>
      <c r="X7" s="663"/>
      <c r="Y7" s="131" t="s">
        <v>745</v>
      </c>
    </row>
    <row r="8" spans="1:26" s="11" customFormat="1" ht="19.5" customHeight="1" thickBot="1">
      <c r="A8" s="35" t="s">
        <v>498</v>
      </c>
      <c r="B8" s="36" t="s">
        <v>498</v>
      </c>
      <c r="C8" s="36" t="s">
        <v>498</v>
      </c>
      <c r="D8" s="36" t="s">
        <v>498</v>
      </c>
      <c r="E8" s="214">
        <v>0</v>
      </c>
      <c r="F8" s="214">
        <f>ROUND(X8/1000,0)</f>
        <v>0</v>
      </c>
      <c r="G8" s="215">
        <f>F8-E8</f>
        <v>0</v>
      </c>
      <c r="H8" s="216">
        <f>IF(E8=0,0,G8/E8)</f>
        <v>0</v>
      </c>
      <c r="I8" s="40" t="s">
        <v>497</v>
      </c>
      <c r="J8" s="137"/>
      <c r="K8" s="41"/>
      <c r="L8" s="41"/>
      <c r="M8" s="41"/>
      <c r="N8" s="41"/>
      <c r="O8" s="41"/>
      <c r="P8" s="42"/>
      <c r="Q8" s="42" t="s">
        <v>496</v>
      </c>
      <c r="R8" s="42"/>
      <c r="S8" s="42"/>
      <c r="T8" s="42"/>
      <c r="U8" s="42"/>
      <c r="V8" s="42"/>
      <c r="W8" s="43"/>
      <c r="X8" s="43">
        <f>X9</f>
        <v>0</v>
      </c>
      <c r="Y8" s="44" t="s">
        <v>25</v>
      </c>
      <c r="Z8" s="6"/>
    </row>
    <row r="9" spans="1:26" ht="21" customHeight="1">
      <c r="A9" s="58" t="s">
        <v>489</v>
      </c>
      <c r="B9" s="59" t="s">
        <v>489</v>
      </c>
      <c r="C9" s="59" t="s">
        <v>489</v>
      </c>
      <c r="D9" s="59" t="s">
        <v>489</v>
      </c>
      <c r="E9" s="48"/>
      <c r="F9" s="48"/>
      <c r="G9" s="49"/>
      <c r="H9" s="31"/>
      <c r="I9" s="53" t="s">
        <v>495</v>
      </c>
      <c r="J9" s="54"/>
      <c r="K9" s="55"/>
      <c r="L9" s="55"/>
      <c r="M9" s="293"/>
      <c r="N9" s="293"/>
      <c r="O9" s="294"/>
      <c r="P9" s="293"/>
      <c r="Q9" s="293"/>
      <c r="R9" s="294"/>
      <c r="S9" s="56"/>
      <c r="T9" s="449"/>
      <c r="U9" s="449"/>
      <c r="V9" s="449"/>
      <c r="W9" s="293"/>
      <c r="X9" s="293">
        <v>0</v>
      </c>
      <c r="Y9" s="57" t="s">
        <v>345</v>
      </c>
    </row>
    <row r="10" spans="1:26" ht="21" customHeight="1" thickBot="1">
      <c r="A10" s="35" t="s">
        <v>494</v>
      </c>
      <c r="B10" s="36" t="s">
        <v>494</v>
      </c>
      <c r="C10" s="36" t="s">
        <v>494</v>
      </c>
      <c r="D10" s="36" t="s">
        <v>494</v>
      </c>
      <c r="E10" s="214">
        <v>0</v>
      </c>
      <c r="F10" s="214">
        <f>ROUND(X10/1000,0)</f>
        <v>0</v>
      </c>
      <c r="G10" s="215">
        <f>F10-E10</f>
        <v>0</v>
      </c>
      <c r="H10" s="216">
        <f>IF(E10=0,0,G10/E10)</f>
        <v>0</v>
      </c>
      <c r="I10" s="40" t="s">
        <v>493</v>
      </c>
      <c r="J10" s="137"/>
      <c r="K10" s="41"/>
      <c r="L10" s="41"/>
      <c r="M10" s="41"/>
      <c r="N10" s="41"/>
      <c r="O10" s="41"/>
      <c r="P10" s="42"/>
      <c r="Q10" s="42" t="s">
        <v>492</v>
      </c>
      <c r="R10" s="42"/>
      <c r="S10" s="42"/>
      <c r="T10" s="42"/>
      <c r="U10" s="42"/>
      <c r="V10" s="42"/>
      <c r="W10" s="43"/>
      <c r="X10" s="43">
        <f>X11</f>
        <v>0</v>
      </c>
      <c r="Y10" s="44" t="s">
        <v>25</v>
      </c>
    </row>
    <row r="11" spans="1:26" ht="21" customHeight="1">
      <c r="A11" s="58" t="s">
        <v>489</v>
      </c>
      <c r="B11" s="59" t="s">
        <v>489</v>
      </c>
      <c r="C11" s="59" t="s">
        <v>489</v>
      </c>
      <c r="D11" s="505" t="s">
        <v>489</v>
      </c>
      <c r="E11" s="223"/>
      <c r="F11" s="224">
        <v>0</v>
      </c>
      <c r="G11" s="225"/>
      <c r="H11" s="226"/>
      <c r="I11" s="227"/>
      <c r="J11" s="228"/>
      <c r="K11" s="229"/>
      <c r="L11" s="229"/>
      <c r="M11" s="229"/>
      <c r="N11" s="229"/>
      <c r="O11" s="229"/>
      <c r="P11" s="230"/>
      <c r="Q11" s="230"/>
      <c r="R11" s="230"/>
      <c r="S11" s="230"/>
      <c r="T11" s="230"/>
      <c r="U11" s="230"/>
      <c r="V11" s="230"/>
      <c r="W11" s="231"/>
      <c r="X11" s="231">
        <v>0</v>
      </c>
      <c r="Y11" s="263" t="s">
        <v>345</v>
      </c>
    </row>
    <row r="12" spans="1:26" s="11" customFormat="1" ht="19.5" customHeight="1">
      <c r="A12" s="35" t="s">
        <v>471</v>
      </c>
      <c r="B12" s="36" t="s">
        <v>471</v>
      </c>
      <c r="C12" s="722" t="s">
        <v>357</v>
      </c>
      <c r="D12" s="723"/>
      <c r="E12" s="246">
        <f>SUM(E13,E42,E106,E168)</f>
        <v>1959096</v>
      </c>
      <c r="F12" s="246">
        <f>SUM(F13,F42,F106,F168)</f>
        <v>2109307</v>
      </c>
      <c r="G12" s="247">
        <f>F12-E12</f>
        <v>150211</v>
      </c>
      <c r="H12" s="248">
        <f>IF(E12=0,0,G12/E12)</f>
        <v>7.6673629061567175E-2</v>
      </c>
      <c r="I12" s="249" t="s">
        <v>491</v>
      </c>
      <c r="J12" s="250"/>
      <c r="K12" s="251"/>
      <c r="L12" s="251"/>
      <c r="M12" s="250"/>
      <c r="N12" s="250"/>
      <c r="O12" s="250"/>
      <c r="P12" s="250"/>
      <c r="Q12" s="250"/>
      <c r="R12" s="252"/>
      <c r="S12" s="252"/>
      <c r="T12" s="252"/>
      <c r="U12" s="252"/>
      <c r="V12" s="252"/>
      <c r="W12" s="252"/>
      <c r="X12" s="253">
        <f>SUM(X13,X42,X106,X168)</f>
        <v>2109307000</v>
      </c>
      <c r="Y12" s="264" t="s">
        <v>25</v>
      </c>
      <c r="Z12" s="6"/>
    </row>
    <row r="13" spans="1:26" s="11" customFormat="1" ht="19.5" customHeight="1">
      <c r="A13" s="45" t="s">
        <v>490</v>
      </c>
      <c r="B13" s="46" t="s">
        <v>489</v>
      </c>
      <c r="C13" s="36" t="s">
        <v>488</v>
      </c>
      <c r="D13" s="451" t="s">
        <v>353</v>
      </c>
      <c r="E13" s="217">
        <f>SUM(E14:E34)</f>
        <v>1265010</v>
      </c>
      <c r="F13" s="217">
        <f>SUM(F14:F34)</f>
        <v>1366503</v>
      </c>
      <c r="G13" s="218">
        <f>F13-E13</f>
        <v>101493</v>
      </c>
      <c r="H13" s="219">
        <f>IF(E13=0,0,G13/E13)</f>
        <v>8.0230986316313702E-2</v>
      </c>
      <c r="I13" s="202" t="s">
        <v>487</v>
      </c>
      <c r="J13" s="203"/>
      <c r="K13" s="204"/>
      <c r="L13" s="204"/>
      <c r="M13" s="204"/>
      <c r="N13" s="204"/>
      <c r="O13" s="204"/>
      <c r="P13" s="205"/>
      <c r="Q13" s="205"/>
      <c r="R13" s="205"/>
      <c r="S13" s="205"/>
      <c r="T13" s="205"/>
      <c r="U13" s="205"/>
      <c r="V13" s="232" t="s">
        <v>346</v>
      </c>
      <c r="W13" s="233"/>
      <c r="X13" s="234">
        <f>SUM(X14,X19,X34)</f>
        <v>1366503000</v>
      </c>
      <c r="Y13" s="265" t="s">
        <v>345</v>
      </c>
      <c r="Z13" s="6"/>
    </row>
    <row r="14" spans="1:26" s="11" customFormat="1" ht="19.5" customHeight="1">
      <c r="A14" s="45"/>
      <c r="B14" s="46"/>
      <c r="C14" s="46" t="s">
        <v>471</v>
      </c>
      <c r="D14" s="46" t="s">
        <v>470</v>
      </c>
      <c r="E14" s="504">
        <v>67863</v>
      </c>
      <c r="F14" s="504">
        <f>ROUND(X14/1000,0)</f>
        <v>67863</v>
      </c>
      <c r="G14" s="269">
        <f>F14-E14</f>
        <v>0</v>
      </c>
      <c r="H14" s="270">
        <f>IF(E14=0,0,G14/E14)</f>
        <v>0</v>
      </c>
      <c r="I14" s="138" t="s">
        <v>469</v>
      </c>
      <c r="J14" s="294"/>
      <c r="K14" s="293"/>
      <c r="L14" s="293"/>
      <c r="M14" s="293"/>
      <c r="N14" s="449"/>
      <c r="O14" s="206"/>
      <c r="P14" s="293"/>
      <c r="Q14" s="54"/>
      <c r="R14" s="207"/>
      <c r="S14" s="209"/>
      <c r="T14" s="209"/>
      <c r="U14" s="449"/>
      <c r="V14" s="482" t="s">
        <v>438</v>
      </c>
      <c r="W14" s="140"/>
      <c r="X14" s="140">
        <f>SUM(X15:X17)</f>
        <v>67863000</v>
      </c>
      <c r="Y14" s="141" t="s">
        <v>345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503"/>
      <c r="G15" s="49"/>
      <c r="H15" s="68"/>
      <c r="I15" s="283" t="s">
        <v>468</v>
      </c>
      <c r="J15" s="294"/>
      <c r="K15" s="293"/>
      <c r="L15" s="293"/>
      <c r="M15" s="293">
        <v>252812</v>
      </c>
      <c r="N15" s="449" t="s">
        <v>25</v>
      </c>
      <c r="O15" s="206" t="s">
        <v>26</v>
      </c>
      <c r="P15" s="450">
        <v>24</v>
      </c>
      <c r="Q15" s="54" t="s">
        <v>138</v>
      </c>
      <c r="R15" s="207" t="s">
        <v>26</v>
      </c>
      <c r="S15" s="209">
        <v>12</v>
      </c>
      <c r="T15" s="209" t="s">
        <v>29</v>
      </c>
      <c r="U15" s="449" t="s">
        <v>26</v>
      </c>
      <c r="V15" s="481">
        <v>0.9</v>
      </c>
      <c r="W15" s="66" t="s">
        <v>27</v>
      </c>
      <c r="X15" s="66">
        <f>ROUND(M15*P15*S15*V15,-3)</f>
        <v>65529000</v>
      </c>
      <c r="Y15" s="57" t="s">
        <v>345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503"/>
      <c r="G16" s="49"/>
      <c r="H16" s="68"/>
      <c r="I16" s="283" t="s">
        <v>467</v>
      </c>
      <c r="J16" s="294"/>
      <c r="K16" s="293"/>
      <c r="L16" s="293"/>
      <c r="M16" s="293">
        <v>35394</v>
      </c>
      <c r="N16" s="449" t="s">
        <v>25</v>
      </c>
      <c r="O16" s="206" t="s">
        <v>26</v>
      </c>
      <c r="P16" s="450">
        <v>24</v>
      </c>
      <c r="Q16" s="54" t="s">
        <v>138</v>
      </c>
      <c r="R16" s="467" t="s">
        <v>26</v>
      </c>
      <c r="S16" s="209">
        <v>1</v>
      </c>
      <c r="T16" s="209" t="s">
        <v>465</v>
      </c>
      <c r="U16" s="449" t="s">
        <v>26</v>
      </c>
      <c r="V16" s="481">
        <v>0.9</v>
      </c>
      <c r="W16" s="66" t="s">
        <v>27</v>
      </c>
      <c r="X16" s="66">
        <f>ROUNDUP(M16*P16*S16*V16,-3)</f>
        <v>765000</v>
      </c>
      <c r="Y16" s="57" t="s">
        <v>345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68"/>
      <c r="I17" s="283" t="s">
        <v>466</v>
      </c>
      <c r="J17" s="66"/>
      <c r="K17" s="208"/>
      <c r="L17" s="208"/>
      <c r="M17" s="293">
        <v>36300</v>
      </c>
      <c r="N17" s="293" t="s">
        <v>25</v>
      </c>
      <c r="O17" s="206" t="s">
        <v>26</v>
      </c>
      <c r="P17" s="450">
        <v>24</v>
      </c>
      <c r="Q17" s="54" t="s">
        <v>138</v>
      </c>
      <c r="R17" s="467" t="s">
        <v>26</v>
      </c>
      <c r="S17" s="56">
        <v>2</v>
      </c>
      <c r="T17" s="449" t="s">
        <v>465</v>
      </c>
      <c r="U17" s="449" t="s">
        <v>26</v>
      </c>
      <c r="V17" s="481">
        <v>0.9</v>
      </c>
      <c r="W17" s="294" t="s">
        <v>27</v>
      </c>
      <c r="X17" s="66">
        <f>ROUNDUP(M17*P17*S17*V17,-3)</f>
        <v>1569000</v>
      </c>
      <c r="Y17" s="57" t="s">
        <v>345</v>
      </c>
      <c r="Z17" s="6"/>
    </row>
    <row r="18" spans="1:26" s="11" customFormat="1" ht="19.5" customHeight="1">
      <c r="A18" s="60"/>
      <c r="B18" s="46"/>
      <c r="C18" s="46"/>
      <c r="D18" s="46"/>
      <c r="E18" s="48"/>
      <c r="F18" s="48"/>
      <c r="G18" s="49"/>
      <c r="H18" s="68"/>
      <c r="I18" s="283"/>
      <c r="J18" s="66"/>
      <c r="K18" s="208"/>
      <c r="L18" s="208"/>
      <c r="M18" s="293"/>
      <c r="N18" s="293"/>
      <c r="O18" s="206"/>
      <c r="P18" s="450"/>
      <c r="Q18" s="54"/>
      <c r="R18" s="467"/>
      <c r="S18" s="56"/>
      <c r="T18" s="449"/>
      <c r="U18" s="449"/>
      <c r="V18" s="481"/>
      <c r="W18" s="294"/>
      <c r="X18" s="66"/>
      <c r="Y18" s="57"/>
      <c r="Z18" s="6"/>
    </row>
    <row r="19" spans="1:26" s="11" customFormat="1" ht="19.5" customHeight="1" thickBot="1">
      <c r="A19" s="60"/>
      <c r="B19" s="46"/>
      <c r="C19" s="46"/>
      <c r="D19" s="36" t="s">
        <v>464</v>
      </c>
      <c r="E19" s="37">
        <v>1139824</v>
      </c>
      <c r="F19" s="235">
        <f>ROUND(X19/1000,0)</f>
        <v>1238944</v>
      </c>
      <c r="G19" s="38">
        <f>F19-E19</f>
        <v>99120</v>
      </c>
      <c r="H19" s="115">
        <f>IF(E19=0,0,G19/E19)</f>
        <v>8.6960793947135698E-2</v>
      </c>
      <c r="I19" s="241" t="s">
        <v>543</v>
      </c>
      <c r="J19" s="240"/>
      <c r="K19" s="245"/>
      <c r="L19" s="245"/>
      <c r="M19" s="86"/>
      <c r="N19" s="86"/>
      <c r="O19" s="236"/>
      <c r="P19" s="86"/>
      <c r="Q19" s="237"/>
      <c r="R19" s="238"/>
      <c r="S19" s="239"/>
      <c r="T19" s="244"/>
      <c r="U19" s="244"/>
      <c r="V19" s="242" t="s">
        <v>438</v>
      </c>
      <c r="W19" s="243"/>
      <c r="X19" s="243">
        <f>SUM(X20,X21,X25,X27)</f>
        <v>1238944000</v>
      </c>
      <c r="Y19" s="266" t="s">
        <v>345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68"/>
      <c r="I20" s="284" t="s">
        <v>463</v>
      </c>
      <c r="J20" s="294"/>
      <c r="K20" s="293"/>
      <c r="L20" s="293"/>
      <c r="M20" s="293">
        <v>1127048000</v>
      </c>
      <c r="N20" s="293" t="s">
        <v>345</v>
      </c>
      <c r="O20" s="72" t="s">
        <v>359</v>
      </c>
      <c r="P20" s="480">
        <v>0.7</v>
      </c>
      <c r="Q20" s="293"/>
      <c r="R20" s="293"/>
      <c r="S20" s="293"/>
      <c r="T20" s="293"/>
      <c r="U20" s="293" t="s">
        <v>358</v>
      </c>
      <c r="V20" s="222" t="s">
        <v>346</v>
      </c>
      <c r="W20" s="70"/>
      <c r="X20" s="222">
        <f>ROUNDUP(M20*P20,-3)</f>
        <v>788934000</v>
      </c>
      <c r="Y20" s="71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68"/>
      <c r="I21" s="285" t="s">
        <v>462</v>
      </c>
      <c r="J21" s="294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139" t="s">
        <v>346</v>
      </c>
      <c r="W21" s="140"/>
      <c r="X21" s="139">
        <f>SUM(X22:X24)</f>
        <v>260295000</v>
      </c>
      <c r="Y21" s="141" t="s">
        <v>25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68"/>
      <c r="I22" s="283" t="s">
        <v>429</v>
      </c>
      <c r="J22" s="294"/>
      <c r="K22" s="293"/>
      <c r="L22" s="293"/>
      <c r="M22" s="293">
        <v>110350000</v>
      </c>
      <c r="N22" s="293" t="s">
        <v>345</v>
      </c>
      <c r="O22" s="72" t="s">
        <v>359</v>
      </c>
      <c r="P22" s="480">
        <v>0.7</v>
      </c>
      <c r="Q22" s="293"/>
      <c r="R22" s="293"/>
      <c r="S22" s="293"/>
      <c r="T22" s="293"/>
      <c r="U22" s="293" t="s">
        <v>358</v>
      </c>
      <c r="V22" s="721"/>
      <c r="W22" s="721"/>
      <c r="X22" s="240">
        <f>ROUNDDOWN(M22*P22,-3)</f>
        <v>77245000</v>
      </c>
      <c r="Y22" s="475" t="s">
        <v>345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68"/>
      <c r="I23" s="283" t="s">
        <v>428</v>
      </c>
      <c r="J23" s="294"/>
      <c r="K23" s="293"/>
      <c r="L23" s="293"/>
      <c r="M23" s="293">
        <v>13440000</v>
      </c>
      <c r="N23" s="293" t="s">
        <v>345</v>
      </c>
      <c r="O23" s="72" t="s">
        <v>359</v>
      </c>
      <c r="P23" s="480">
        <v>0.7</v>
      </c>
      <c r="Q23" s="293"/>
      <c r="R23" s="293"/>
      <c r="S23" s="293"/>
      <c r="T23" s="293"/>
      <c r="U23" s="293" t="s">
        <v>358</v>
      </c>
      <c r="V23" s="720"/>
      <c r="W23" s="720"/>
      <c r="X23" s="66">
        <f>ROUND(M23*P23,-3)</f>
        <v>9408000</v>
      </c>
      <c r="Y23" s="57" t="s">
        <v>345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68"/>
      <c r="I24" s="283" t="s">
        <v>427</v>
      </c>
      <c r="J24" s="294"/>
      <c r="K24" s="293"/>
      <c r="L24" s="293"/>
      <c r="M24" s="293">
        <v>248060000</v>
      </c>
      <c r="N24" s="293" t="s">
        <v>345</v>
      </c>
      <c r="O24" s="72" t="s">
        <v>359</v>
      </c>
      <c r="P24" s="480">
        <v>0.7</v>
      </c>
      <c r="Q24" s="293"/>
      <c r="R24" s="293"/>
      <c r="S24" s="293"/>
      <c r="T24" s="293"/>
      <c r="U24" s="293" t="s">
        <v>358</v>
      </c>
      <c r="V24" s="720"/>
      <c r="W24" s="720"/>
      <c r="X24" s="66">
        <f>ROUNDUP(M24*P24,-3)</f>
        <v>173642000</v>
      </c>
      <c r="Y24" s="57" t="s">
        <v>345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68"/>
      <c r="I25" s="284" t="s">
        <v>461</v>
      </c>
      <c r="J25" s="294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22" t="s">
        <v>346</v>
      </c>
      <c r="W25" s="70"/>
      <c r="X25" s="222">
        <f>X26</f>
        <v>87436000</v>
      </c>
      <c r="Y25" s="71" t="s">
        <v>25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68"/>
      <c r="I26" s="283" t="s">
        <v>544</v>
      </c>
      <c r="J26" s="294"/>
      <c r="K26" s="293"/>
      <c r="L26" s="293"/>
      <c r="M26" s="293">
        <f>SUM(M20:M24)</f>
        <v>1498898000</v>
      </c>
      <c r="N26" s="54" t="s">
        <v>345</v>
      </c>
      <c r="O26" s="449" t="s">
        <v>366</v>
      </c>
      <c r="P26" s="474">
        <v>12</v>
      </c>
      <c r="Q26" s="206" t="s">
        <v>365</v>
      </c>
      <c r="R26" s="72" t="s">
        <v>359</v>
      </c>
      <c r="S26" s="480">
        <v>0.7</v>
      </c>
      <c r="T26" s="293"/>
      <c r="U26" s="293" t="s">
        <v>358</v>
      </c>
      <c r="V26" s="86"/>
      <c r="W26" s="86"/>
      <c r="X26" s="240">
        <f>ROUND(M26/P26*S26,-3)</f>
        <v>87436000</v>
      </c>
      <c r="Y26" s="489" t="s">
        <v>345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68"/>
      <c r="I27" s="284" t="s">
        <v>460</v>
      </c>
      <c r="J27" s="294"/>
      <c r="K27" s="293"/>
      <c r="L27" s="293"/>
      <c r="M27" s="293"/>
      <c r="N27" s="54"/>
      <c r="O27" s="293"/>
      <c r="P27" s="293"/>
      <c r="Q27" s="293"/>
      <c r="R27" s="293"/>
      <c r="S27" s="293"/>
      <c r="T27" s="293"/>
      <c r="U27" s="293"/>
      <c r="V27" s="222" t="s">
        <v>346</v>
      </c>
      <c r="W27" s="70"/>
      <c r="X27" s="222">
        <f>SUM(X28:X32)</f>
        <v>102279000</v>
      </c>
      <c r="Y27" s="71" t="s">
        <v>25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68"/>
      <c r="I28" s="283" t="s">
        <v>459</v>
      </c>
      <c r="J28" s="294"/>
      <c r="K28" s="293"/>
      <c r="L28" s="293"/>
      <c r="M28" s="293">
        <f>M26</f>
        <v>1498898000</v>
      </c>
      <c r="N28" s="54" t="s">
        <v>345</v>
      </c>
      <c r="O28" s="72" t="s">
        <v>359</v>
      </c>
      <c r="P28" s="463">
        <v>0.09</v>
      </c>
      <c r="Q28" s="449">
        <v>2</v>
      </c>
      <c r="R28" s="72" t="s">
        <v>359</v>
      </c>
      <c r="S28" s="480">
        <v>0.7</v>
      </c>
      <c r="T28" s="74"/>
      <c r="U28" s="449" t="s">
        <v>358</v>
      </c>
      <c r="V28" s="293"/>
      <c r="W28" s="66"/>
      <c r="X28" s="66">
        <f>ROUNDUP(M28*P28/Q28*S28,-3)</f>
        <v>47216000</v>
      </c>
      <c r="Y28" s="57" t="s">
        <v>345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68"/>
      <c r="I29" s="283" t="s">
        <v>458</v>
      </c>
      <c r="J29" s="294"/>
      <c r="K29" s="293"/>
      <c r="L29" s="293"/>
      <c r="M29" s="293">
        <f>M26</f>
        <v>1498898000</v>
      </c>
      <c r="N29" s="54" t="s">
        <v>345</v>
      </c>
      <c r="O29" s="72" t="s">
        <v>359</v>
      </c>
      <c r="P29" s="462">
        <v>6.4600000000000005E-2</v>
      </c>
      <c r="Q29" s="449">
        <v>2</v>
      </c>
      <c r="R29" s="72" t="s">
        <v>359</v>
      </c>
      <c r="S29" s="480">
        <v>0.7</v>
      </c>
      <c r="T29" s="74"/>
      <c r="U29" s="449" t="s">
        <v>358</v>
      </c>
      <c r="V29" s="293"/>
      <c r="W29" s="66"/>
      <c r="X29" s="66">
        <f>ROUNDDOWN(M29*P29/Q29*S29,-3)</f>
        <v>33890000</v>
      </c>
      <c r="Y29" s="57" t="s">
        <v>345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68"/>
      <c r="I30" s="283" t="s">
        <v>457</v>
      </c>
      <c r="J30" s="294"/>
      <c r="K30" s="293"/>
      <c r="L30" s="293"/>
      <c r="M30" s="293">
        <f>X29</f>
        <v>33890000</v>
      </c>
      <c r="N30" s="54" t="s">
        <v>345</v>
      </c>
      <c r="O30" s="72" t="s">
        <v>359</v>
      </c>
      <c r="P30" s="76">
        <v>8.5099999999999995E-2</v>
      </c>
      <c r="Q30" s="461"/>
      <c r="R30" s="72"/>
      <c r="S30" s="75"/>
      <c r="T30" s="460"/>
      <c r="U30" s="449" t="s">
        <v>358</v>
      </c>
      <c r="V30" s="293"/>
      <c r="W30" s="66"/>
      <c r="X30" s="66">
        <f>ROUNDDOWN(M30*P30,-3)</f>
        <v>2884000</v>
      </c>
      <c r="Y30" s="57" t="s">
        <v>345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68"/>
      <c r="I31" s="283" t="s">
        <v>456</v>
      </c>
      <c r="J31" s="294"/>
      <c r="K31" s="293"/>
      <c r="L31" s="293"/>
      <c r="M31" s="293">
        <f>M26</f>
        <v>1498898000</v>
      </c>
      <c r="N31" s="54" t="s">
        <v>345</v>
      </c>
      <c r="O31" s="72" t="s">
        <v>359</v>
      </c>
      <c r="P31" s="76">
        <v>1.0500000000000001E-2</v>
      </c>
      <c r="Q31" s="72"/>
      <c r="R31" s="72" t="s">
        <v>359</v>
      </c>
      <c r="S31" s="480">
        <v>0.7</v>
      </c>
      <c r="T31" s="74"/>
      <c r="U31" s="449" t="s">
        <v>358</v>
      </c>
      <c r="V31" s="293"/>
      <c r="W31" s="66"/>
      <c r="X31" s="66">
        <f>ROUNDUP(ROUNDUP(M31*P31,-3)*S31,-3)</f>
        <v>11018000</v>
      </c>
      <c r="Y31" s="57" t="s">
        <v>345</v>
      </c>
      <c r="Z31" s="6"/>
    </row>
    <row r="32" spans="1:26" s="11" customFormat="1" ht="19.5" customHeight="1">
      <c r="A32" s="60"/>
      <c r="B32" s="46"/>
      <c r="C32" s="46"/>
      <c r="D32" s="46"/>
      <c r="E32" s="48"/>
      <c r="F32" s="48"/>
      <c r="G32" s="49"/>
      <c r="H32" s="68"/>
      <c r="I32" s="283" t="s">
        <v>455</v>
      </c>
      <c r="J32" s="294"/>
      <c r="K32" s="293"/>
      <c r="L32" s="293"/>
      <c r="M32" s="293">
        <f>M26</f>
        <v>1498898000</v>
      </c>
      <c r="N32" s="54" t="s">
        <v>345</v>
      </c>
      <c r="O32" s="72" t="s">
        <v>359</v>
      </c>
      <c r="P32" s="459">
        <v>6.9300000000000004E-3</v>
      </c>
      <c r="Q32" s="72"/>
      <c r="R32" s="72" t="s">
        <v>359</v>
      </c>
      <c r="S32" s="480">
        <v>0.7</v>
      </c>
      <c r="T32" s="74"/>
      <c r="U32" s="449" t="s">
        <v>358</v>
      </c>
      <c r="V32" s="293"/>
      <c r="W32" s="66"/>
      <c r="X32" s="66">
        <f>ROUNDDOWN(M32*P32*S32,-3)</f>
        <v>7271000</v>
      </c>
      <c r="Y32" s="57" t="s">
        <v>345</v>
      </c>
      <c r="Z32" s="6"/>
    </row>
    <row r="33" spans="1:26" s="11" customFormat="1" ht="19.5" customHeight="1">
      <c r="A33" s="60"/>
      <c r="B33" s="46"/>
      <c r="C33" s="46"/>
      <c r="D33" s="59"/>
      <c r="E33" s="61"/>
      <c r="F33" s="61"/>
      <c r="G33" s="62"/>
      <c r="H33" s="82"/>
      <c r="I33" s="359"/>
      <c r="J33" s="70"/>
      <c r="K33" s="471"/>
      <c r="L33" s="471"/>
      <c r="M33" s="222"/>
      <c r="N33" s="222"/>
      <c r="O33" s="470"/>
      <c r="P33" s="222"/>
      <c r="Q33" s="125"/>
      <c r="R33" s="469"/>
      <c r="S33" s="477"/>
      <c r="T33" s="199"/>
      <c r="U33" s="199"/>
      <c r="V33" s="468"/>
      <c r="W33" s="359"/>
      <c r="X33" s="70"/>
      <c r="Y33" s="71"/>
      <c r="Z33" s="6"/>
    </row>
    <row r="34" spans="1:26" s="11" customFormat="1" ht="19.5" customHeight="1">
      <c r="A34" s="60"/>
      <c r="B34" s="46"/>
      <c r="C34" s="46"/>
      <c r="D34" s="36" t="s">
        <v>454</v>
      </c>
      <c r="E34" s="235">
        <v>57323</v>
      </c>
      <c r="F34" s="235">
        <f>ROUND(X34/1000,0)</f>
        <v>59696</v>
      </c>
      <c r="G34" s="271">
        <f>F34-E34</f>
        <v>2373</v>
      </c>
      <c r="H34" s="115">
        <f>IF(E34=0,0,G34/E34)</f>
        <v>4.139699597020393E-2</v>
      </c>
      <c r="I34" s="502" t="s">
        <v>486</v>
      </c>
      <c r="J34" s="501"/>
      <c r="K34" s="500"/>
      <c r="L34" s="500"/>
      <c r="M34" s="498"/>
      <c r="N34" s="498"/>
      <c r="O34" s="499"/>
      <c r="P34" s="498"/>
      <c r="Q34" s="497"/>
      <c r="R34" s="496"/>
      <c r="S34" s="495"/>
      <c r="T34" s="494"/>
      <c r="U34" s="494"/>
      <c r="V34" s="493" t="s">
        <v>438</v>
      </c>
      <c r="W34" s="492"/>
      <c r="X34" s="492">
        <f>SUM(X35:X36)+X38</f>
        <v>59696000</v>
      </c>
      <c r="Y34" s="491" t="s">
        <v>345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68"/>
      <c r="I35" s="280" t="s">
        <v>485</v>
      </c>
      <c r="J35" s="278"/>
      <c r="K35" s="488"/>
      <c r="L35" s="488"/>
      <c r="M35" s="275">
        <v>2377000</v>
      </c>
      <c r="N35" s="275" t="s">
        <v>25</v>
      </c>
      <c r="O35" s="361" t="s">
        <v>26</v>
      </c>
      <c r="P35" s="362">
        <v>30</v>
      </c>
      <c r="Q35" s="363" t="s">
        <v>360</v>
      </c>
      <c r="R35" s="331" t="s">
        <v>359</v>
      </c>
      <c r="S35" s="364">
        <v>0.7</v>
      </c>
      <c r="T35" s="336"/>
      <c r="U35" s="334" t="s">
        <v>358</v>
      </c>
      <c r="V35" s="485"/>
      <c r="W35" s="277"/>
      <c r="X35" s="278">
        <f>M35*P35*S35</f>
        <v>49917000</v>
      </c>
      <c r="Y35" s="301" t="s">
        <v>345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68"/>
      <c r="I36" s="280" t="s">
        <v>484</v>
      </c>
      <c r="J36" s="278"/>
      <c r="K36" s="488"/>
      <c r="L36" s="488"/>
      <c r="M36" s="275">
        <v>635000</v>
      </c>
      <c r="N36" s="275" t="s">
        <v>25</v>
      </c>
      <c r="O36" s="361" t="s">
        <v>26</v>
      </c>
      <c r="P36" s="362">
        <v>22</v>
      </c>
      <c r="Q36" s="363" t="s">
        <v>360</v>
      </c>
      <c r="R36" s="331" t="s">
        <v>359</v>
      </c>
      <c r="S36" s="364">
        <v>0.7</v>
      </c>
      <c r="T36" s="336"/>
      <c r="U36" s="334" t="s">
        <v>358</v>
      </c>
      <c r="V36" s="485"/>
      <c r="W36" s="277"/>
      <c r="X36" s="278">
        <f>ROUNDUP(M36*P36*S36,-3)</f>
        <v>9779000</v>
      </c>
      <c r="Y36" s="301" t="s">
        <v>345</v>
      </c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68"/>
      <c r="I37" s="280"/>
      <c r="J37" s="278"/>
      <c r="K37" s="488"/>
      <c r="L37" s="488"/>
      <c r="M37" s="275"/>
      <c r="N37" s="275"/>
      <c r="O37" s="361"/>
      <c r="P37" s="487"/>
      <c r="Q37" s="363"/>
      <c r="R37" s="486"/>
      <c r="S37" s="365"/>
      <c r="T37" s="334"/>
      <c r="U37" s="334"/>
      <c r="V37" s="485"/>
      <c r="W37" s="277"/>
      <c r="X37" s="278"/>
      <c r="Y37" s="301"/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68"/>
      <c r="I38" s="355" t="s">
        <v>481</v>
      </c>
      <c r="J38" s="278"/>
      <c r="K38" s="488"/>
      <c r="L38" s="488"/>
      <c r="M38" s="275"/>
      <c r="N38" s="275"/>
      <c r="O38" s="361"/>
      <c r="P38" s="275"/>
      <c r="Q38" s="363"/>
      <c r="R38" s="486"/>
      <c r="S38" s="365"/>
      <c r="T38" s="334"/>
      <c r="U38" s="334"/>
      <c r="V38" s="490" t="s">
        <v>438</v>
      </c>
      <c r="W38" s="357"/>
      <c r="X38" s="357">
        <f>X39</f>
        <v>0</v>
      </c>
      <c r="Y38" s="358" t="s">
        <v>345</v>
      </c>
      <c r="Z38" s="6"/>
    </row>
    <row r="39" spans="1:26" s="11" customFormat="1" ht="19.5" customHeight="1">
      <c r="A39" s="60"/>
      <c r="B39" s="46"/>
      <c r="C39" s="46"/>
      <c r="D39" s="46"/>
      <c r="E39" s="48"/>
      <c r="F39" s="48"/>
      <c r="G39" s="49"/>
      <c r="H39" s="68"/>
      <c r="I39" s="280" t="s">
        <v>512</v>
      </c>
      <c r="J39" s="278"/>
      <c r="K39" s="488"/>
      <c r="L39" s="488"/>
      <c r="M39" s="275">
        <v>0</v>
      </c>
      <c r="N39" s="275" t="s">
        <v>25</v>
      </c>
      <c r="O39" s="361" t="s">
        <v>26</v>
      </c>
      <c r="P39" s="487">
        <v>0.5</v>
      </c>
      <c r="Q39" s="363"/>
      <c r="R39" s="486"/>
      <c r="S39" s="365"/>
      <c r="T39" s="334"/>
      <c r="U39" s="334"/>
      <c r="V39" s="485"/>
      <c r="W39" s="277" t="s">
        <v>27</v>
      </c>
      <c r="X39" s="278">
        <f>M39*P39</f>
        <v>0</v>
      </c>
      <c r="Y39" s="301" t="s">
        <v>345</v>
      </c>
      <c r="Z39" s="6"/>
    </row>
    <row r="40" spans="1:26" s="11" customFormat="1" ht="19.5" customHeight="1">
      <c r="A40" s="60"/>
      <c r="B40" s="46"/>
      <c r="C40" s="46"/>
      <c r="D40" s="46"/>
      <c r="E40" s="48"/>
      <c r="F40" s="48"/>
      <c r="G40" s="49"/>
      <c r="H40" s="68"/>
      <c r="I40" s="280"/>
      <c r="J40" s="278"/>
      <c r="K40" s="488"/>
      <c r="L40" s="488"/>
      <c r="M40" s="275"/>
      <c r="N40" s="275"/>
      <c r="O40" s="361"/>
      <c r="P40" s="487"/>
      <c r="Q40" s="363"/>
      <c r="R40" s="486"/>
      <c r="S40" s="365"/>
      <c r="T40" s="334"/>
      <c r="U40" s="334"/>
      <c r="V40" s="485"/>
      <c r="W40" s="277"/>
      <c r="X40" s="278"/>
      <c r="Y40" s="301"/>
      <c r="Z40" s="6"/>
    </row>
    <row r="41" spans="1:26" s="11" customFormat="1" ht="19.5" customHeight="1">
      <c r="A41" s="60"/>
      <c r="B41" s="46"/>
      <c r="C41" s="46"/>
      <c r="D41" s="59"/>
      <c r="E41" s="61"/>
      <c r="F41" s="61"/>
      <c r="G41" s="62"/>
      <c r="H41" s="82"/>
      <c r="I41" s="355"/>
      <c r="J41" s="357"/>
      <c r="K41" s="366"/>
      <c r="L41" s="366"/>
      <c r="M41" s="356"/>
      <c r="N41" s="356"/>
      <c r="O41" s="367"/>
      <c r="P41" s="356"/>
      <c r="Q41" s="368"/>
      <c r="R41" s="369"/>
      <c r="S41" s="370"/>
      <c r="T41" s="371"/>
      <c r="U41" s="371"/>
      <c r="V41" s="372"/>
      <c r="W41" s="373"/>
      <c r="X41" s="357"/>
      <c r="Y41" s="358"/>
      <c r="Z41" s="6"/>
    </row>
    <row r="42" spans="1:26" s="11" customFormat="1" ht="19.5" customHeight="1">
      <c r="A42" s="60"/>
      <c r="B42" s="46"/>
      <c r="C42" s="36" t="s">
        <v>483</v>
      </c>
      <c r="D42" s="451" t="s">
        <v>353</v>
      </c>
      <c r="E42" s="217">
        <f>SUM(E43:E105)</f>
        <v>111435</v>
      </c>
      <c r="F42" s="217">
        <f>SUM(F43:F105)</f>
        <v>117467</v>
      </c>
      <c r="G42" s="218">
        <f>F42-E42</f>
        <v>6032</v>
      </c>
      <c r="H42" s="219">
        <f>IF(E42=0,0,G42/E42)</f>
        <v>5.4130210436577376E-2</v>
      </c>
      <c r="I42" s="202" t="s">
        <v>482</v>
      </c>
      <c r="J42" s="203"/>
      <c r="K42" s="204"/>
      <c r="L42" s="204"/>
      <c r="M42" s="204"/>
      <c r="N42" s="204"/>
      <c r="O42" s="204"/>
      <c r="P42" s="205"/>
      <c r="Q42" s="205"/>
      <c r="R42" s="205"/>
      <c r="S42" s="205"/>
      <c r="T42" s="205"/>
      <c r="U42" s="205"/>
      <c r="V42" s="232" t="s">
        <v>346</v>
      </c>
      <c r="W42" s="233"/>
      <c r="X42" s="233">
        <f>SUM(X43,X48,X63,X70,X78,X102)</f>
        <v>117467000</v>
      </c>
      <c r="Y42" s="265" t="s">
        <v>345</v>
      </c>
      <c r="Z42" s="6"/>
    </row>
    <row r="43" spans="1:26" s="11" customFormat="1" ht="19.5" customHeight="1">
      <c r="A43" s="60"/>
      <c r="B43" s="46"/>
      <c r="C43" s="46" t="s">
        <v>471</v>
      </c>
      <c r="D43" s="36" t="s">
        <v>470</v>
      </c>
      <c r="E43" s="37">
        <v>5278</v>
      </c>
      <c r="F43" s="235">
        <f>ROUND(X43/1000,0)</f>
        <v>5278</v>
      </c>
      <c r="G43" s="38">
        <f>F43-E43</f>
        <v>0</v>
      </c>
      <c r="H43" s="115">
        <f>IF(E43=0,0,G43/E43)</f>
        <v>0</v>
      </c>
      <c r="I43" s="138" t="s">
        <v>469</v>
      </c>
      <c r="J43" s="157"/>
      <c r="K43" s="86"/>
      <c r="L43" s="86"/>
      <c r="M43" s="86"/>
      <c r="N43" s="244"/>
      <c r="O43" s="236"/>
      <c r="P43" s="86"/>
      <c r="Q43" s="237"/>
      <c r="R43" s="484"/>
      <c r="S43" s="483"/>
      <c r="T43" s="483"/>
      <c r="U43" s="244"/>
      <c r="V43" s="482" t="s">
        <v>438</v>
      </c>
      <c r="W43" s="140"/>
      <c r="X43" s="140">
        <f>SUM(X44:X46)</f>
        <v>5278000</v>
      </c>
      <c r="Y43" s="141" t="s">
        <v>345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68"/>
      <c r="I44" s="283" t="s">
        <v>468</v>
      </c>
      <c r="J44" s="294"/>
      <c r="K44" s="293"/>
      <c r="L44" s="293"/>
      <c r="M44" s="293">
        <f>M15</f>
        <v>252812</v>
      </c>
      <c r="N44" s="449" t="s">
        <v>25</v>
      </c>
      <c r="O44" s="206" t="s">
        <v>26</v>
      </c>
      <c r="P44" s="450">
        <v>24</v>
      </c>
      <c r="Q44" s="54" t="s">
        <v>138</v>
      </c>
      <c r="R44" s="207" t="s">
        <v>26</v>
      </c>
      <c r="S44" s="209">
        <v>12</v>
      </c>
      <c r="T44" s="209" t="s">
        <v>29</v>
      </c>
      <c r="U44" s="449" t="s">
        <v>26</v>
      </c>
      <c r="V44" s="481">
        <v>7.0000000000000007E-2</v>
      </c>
      <c r="W44" s="66" t="s">
        <v>27</v>
      </c>
      <c r="X44" s="66">
        <f>ROUND(M44*P44*S44*V44,-3)</f>
        <v>5097000</v>
      </c>
      <c r="Y44" s="57" t="s">
        <v>345</v>
      </c>
      <c r="Z44" s="6"/>
    </row>
    <row r="45" spans="1:26" s="11" customFormat="1" ht="19.5" customHeight="1">
      <c r="A45" s="60"/>
      <c r="B45" s="46"/>
      <c r="C45" s="46"/>
      <c r="D45" s="46"/>
      <c r="E45" s="48"/>
      <c r="F45" s="48"/>
      <c r="G45" s="49"/>
      <c r="H45" s="68"/>
      <c r="I45" s="283" t="s">
        <v>467</v>
      </c>
      <c r="J45" s="294"/>
      <c r="K45" s="293"/>
      <c r="L45" s="293"/>
      <c r="M45" s="293">
        <f>M16</f>
        <v>35394</v>
      </c>
      <c r="N45" s="449" t="s">
        <v>25</v>
      </c>
      <c r="O45" s="206" t="s">
        <v>26</v>
      </c>
      <c r="P45" s="450">
        <v>24</v>
      </c>
      <c r="Q45" s="54" t="s">
        <v>138</v>
      </c>
      <c r="R45" s="467" t="s">
        <v>26</v>
      </c>
      <c r="S45" s="209">
        <v>1</v>
      </c>
      <c r="T45" s="209" t="s">
        <v>465</v>
      </c>
      <c r="U45" s="449" t="s">
        <v>26</v>
      </c>
      <c r="V45" s="481">
        <v>7.0000000000000007E-2</v>
      </c>
      <c r="W45" s="66" t="s">
        <v>27</v>
      </c>
      <c r="X45" s="66">
        <f>ROUND(M45*P45*S45*V45,-3)</f>
        <v>59000</v>
      </c>
      <c r="Y45" s="57" t="s">
        <v>345</v>
      </c>
      <c r="Z45" s="6"/>
    </row>
    <row r="46" spans="1:26" s="11" customFormat="1" ht="19.5" customHeight="1">
      <c r="A46" s="60"/>
      <c r="B46" s="46"/>
      <c r="C46" s="46"/>
      <c r="D46" s="46"/>
      <c r="E46" s="48"/>
      <c r="F46" s="48"/>
      <c r="G46" s="49"/>
      <c r="H46" s="68"/>
      <c r="I46" s="283" t="s">
        <v>466</v>
      </c>
      <c r="J46" s="66"/>
      <c r="K46" s="208"/>
      <c r="L46" s="208"/>
      <c r="M46" s="293">
        <f>M17</f>
        <v>36300</v>
      </c>
      <c r="N46" s="293" t="s">
        <v>25</v>
      </c>
      <c r="O46" s="206" t="s">
        <v>26</v>
      </c>
      <c r="P46" s="450">
        <v>24</v>
      </c>
      <c r="Q46" s="54" t="s">
        <v>138</v>
      </c>
      <c r="R46" s="467" t="s">
        <v>26</v>
      </c>
      <c r="S46" s="56">
        <v>2</v>
      </c>
      <c r="T46" s="449" t="s">
        <v>465</v>
      </c>
      <c r="U46" s="449" t="s">
        <v>26</v>
      </c>
      <c r="V46" s="481">
        <v>7.0000000000000007E-2</v>
      </c>
      <c r="W46" s="294" t="s">
        <v>27</v>
      </c>
      <c r="X46" s="66">
        <f>ROUND(M46*P46*S46*V46,-3)</f>
        <v>122000</v>
      </c>
      <c r="Y46" s="57" t="s">
        <v>345</v>
      </c>
      <c r="Z46" s="6"/>
    </row>
    <row r="47" spans="1:26" s="11" customFormat="1" ht="19.5" customHeight="1">
      <c r="A47" s="60"/>
      <c r="B47" s="46"/>
      <c r="C47" s="46"/>
      <c r="D47" s="59"/>
      <c r="E47" s="61"/>
      <c r="F47" s="61"/>
      <c r="G47" s="62"/>
      <c r="H47" s="82"/>
      <c r="I47" s="359"/>
      <c r="J47" s="70"/>
      <c r="K47" s="471"/>
      <c r="L47" s="471"/>
      <c r="M47" s="222"/>
      <c r="N47" s="222"/>
      <c r="O47" s="470"/>
      <c r="P47" s="222"/>
      <c r="Q47" s="125"/>
      <c r="R47" s="469"/>
      <c r="S47" s="477"/>
      <c r="T47" s="199"/>
      <c r="U47" s="199"/>
      <c r="V47" s="468"/>
      <c r="W47" s="359"/>
      <c r="X47" s="70"/>
      <c r="Y47" s="71"/>
      <c r="Z47" s="6"/>
    </row>
    <row r="48" spans="1:26" s="11" customFormat="1" ht="19.5" customHeight="1" thickBot="1">
      <c r="A48" s="60"/>
      <c r="B48" s="46"/>
      <c r="C48" s="46"/>
      <c r="D48" s="36" t="s">
        <v>464</v>
      </c>
      <c r="E48" s="37">
        <v>73275</v>
      </c>
      <c r="F48" s="235">
        <f>ROUND(X48/1000,0)</f>
        <v>79646</v>
      </c>
      <c r="G48" s="38">
        <f>F48-E48</f>
        <v>6371</v>
      </c>
      <c r="H48" s="115">
        <f>IF(E48=0,0,G48/E48)</f>
        <v>8.6946434663937228E-2</v>
      </c>
      <c r="I48" s="241" t="s">
        <v>543</v>
      </c>
      <c r="J48" s="240"/>
      <c r="K48" s="245"/>
      <c r="L48" s="245"/>
      <c r="M48" s="86"/>
      <c r="N48" s="86"/>
      <c r="O48" s="236"/>
      <c r="P48" s="86"/>
      <c r="Q48" s="237"/>
      <c r="R48" s="238"/>
      <c r="S48" s="239"/>
      <c r="T48" s="244"/>
      <c r="U48" s="244"/>
      <c r="V48" s="242" t="s">
        <v>438</v>
      </c>
      <c r="W48" s="243"/>
      <c r="X48" s="243">
        <f>SUM(X49,X50,X54,X56)</f>
        <v>79646000</v>
      </c>
      <c r="Y48" s="266" t="s">
        <v>345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68"/>
      <c r="I49" s="284" t="s">
        <v>463</v>
      </c>
      <c r="J49" s="294"/>
      <c r="K49" s="293"/>
      <c r="L49" s="293"/>
      <c r="M49" s="293">
        <f>M20</f>
        <v>1127048000</v>
      </c>
      <c r="N49" s="293" t="s">
        <v>345</v>
      </c>
      <c r="O49" s="72" t="s">
        <v>359</v>
      </c>
      <c r="P49" s="480">
        <v>4.4999999999999998E-2</v>
      </c>
      <c r="Q49" s="293"/>
      <c r="R49" s="293"/>
      <c r="S49" s="293"/>
      <c r="T49" s="293"/>
      <c r="U49" s="293" t="s">
        <v>358</v>
      </c>
      <c r="V49" s="222" t="s">
        <v>346</v>
      </c>
      <c r="W49" s="70"/>
      <c r="X49" s="222">
        <f>ROUND(M49*P49,-3)</f>
        <v>50717000</v>
      </c>
      <c r="Y49" s="71" t="s">
        <v>25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68"/>
      <c r="I50" s="285" t="s">
        <v>462</v>
      </c>
      <c r="J50" s="294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139" t="s">
        <v>346</v>
      </c>
      <c r="W50" s="140"/>
      <c r="X50" s="139">
        <f>SUM(X51:X53)</f>
        <v>16734000</v>
      </c>
      <c r="Y50" s="141" t="s">
        <v>25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68"/>
      <c r="I51" s="283" t="s">
        <v>429</v>
      </c>
      <c r="J51" s="294"/>
      <c r="K51" s="293"/>
      <c r="L51" s="293"/>
      <c r="M51" s="293">
        <f>M22</f>
        <v>110350000</v>
      </c>
      <c r="N51" s="293" t="s">
        <v>345</v>
      </c>
      <c r="O51" s="72" t="s">
        <v>359</v>
      </c>
      <c r="P51" s="480">
        <v>4.4999999999999998E-2</v>
      </c>
      <c r="Q51" s="293"/>
      <c r="R51" s="293"/>
      <c r="S51" s="293"/>
      <c r="T51" s="293"/>
      <c r="U51" s="293" t="s">
        <v>358</v>
      </c>
      <c r="V51" s="721"/>
      <c r="W51" s="721"/>
      <c r="X51" s="240">
        <f>ROUND(M51*P51,-3)</f>
        <v>4966000</v>
      </c>
      <c r="Y51" s="475" t="s">
        <v>345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68"/>
      <c r="I52" s="283" t="s">
        <v>428</v>
      </c>
      <c r="J52" s="294"/>
      <c r="K52" s="293"/>
      <c r="L52" s="293"/>
      <c r="M52" s="293">
        <f>M23</f>
        <v>13440000</v>
      </c>
      <c r="N52" s="293" t="s">
        <v>345</v>
      </c>
      <c r="O52" s="72" t="s">
        <v>359</v>
      </c>
      <c r="P52" s="480">
        <v>4.4999999999999998E-2</v>
      </c>
      <c r="Q52" s="293"/>
      <c r="R52" s="293"/>
      <c r="S52" s="293"/>
      <c r="T52" s="293"/>
      <c r="U52" s="293" t="s">
        <v>358</v>
      </c>
      <c r="V52" s="720"/>
      <c r="W52" s="720"/>
      <c r="X52" s="66">
        <f>ROUND(M52*P52,-3)</f>
        <v>605000</v>
      </c>
      <c r="Y52" s="57" t="s">
        <v>345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68"/>
      <c r="I53" s="283" t="s">
        <v>427</v>
      </c>
      <c r="J53" s="294"/>
      <c r="K53" s="293"/>
      <c r="L53" s="293"/>
      <c r="M53" s="293">
        <f>M24</f>
        <v>248060000</v>
      </c>
      <c r="N53" s="293" t="s">
        <v>345</v>
      </c>
      <c r="O53" s="72" t="s">
        <v>359</v>
      </c>
      <c r="P53" s="480">
        <v>4.4999999999999998E-2</v>
      </c>
      <c r="Q53" s="293"/>
      <c r="R53" s="293"/>
      <c r="S53" s="293"/>
      <c r="T53" s="293"/>
      <c r="U53" s="293" t="s">
        <v>358</v>
      </c>
      <c r="V53" s="720"/>
      <c r="W53" s="720"/>
      <c r="X53" s="66">
        <f>ROUNDUP(M53*P53,-3)</f>
        <v>11163000</v>
      </c>
      <c r="Y53" s="57" t="s">
        <v>345</v>
      </c>
      <c r="Z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68"/>
      <c r="I54" s="284" t="s">
        <v>461</v>
      </c>
      <c r="J54" s="294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22" t="s">
        <v>346</v>
      </c>
      <c r="W54" s="70"/>
      <c r="X54" s="222">
        <f>X55</f>
        <v>5621000</v>
      </c>
      <c r="Y54" s="71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68"/>
      <c r="I55" s="283" t="s">
        <v>544</v>
      </c>
      <c r="J55" s="294"/>
      <c r="K55" s="293"/>
      <c r="L55" s="293"/>
      <c r="M55" s="293">
        <f>SUM(M49:M53)</f>
        <v>1498898000</v>
      </c>
      <c r="N55" s="54" t="s">
        <v>345</v>
      </c>
      <c r="O55" s="449" t="s">
        <v>366</v>
      </c>
      <c r="P55" s="474">
        <v>12</v>
      </c>
      <c r="Q55" s="206" t="s">
        <v>365</v>
      </c>
      <c r="R55" s="72" t="s">
        <v>359</v>
      </c>
      <c r="S55" s="480">
        <v>4.4999999999999998E-2</v>
      </c>
      <c r="T55" s="293"/>
      <c r="U55" s="293" t="s">
        <v>358</v>
      </c>
      <c r="V55" s="86"/>
      <c r="W55" s="86"/>
      <c r="X55" s="240">
        <f>ROUND(M55/P55*S55,-3)</f>
        <v>5621000</v>
      </c>
      <c r="Y55" s="489" t="s">
        <v>345</v>
      </c>
      <c r="Z55" s="293"/>
      <c r="AA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68"/>
      <c r="I56" s="284" t="s">
        <v>460</v>
      </c>
      <c r="J56" s="294"/>
      <c r="K56" s="293"/>
      <c r="L56" s="293"/>
      <c r="M56" s="293"/>
      <c r="N56" s="54"/>
      <c r="O56" s="293"/>
      <c r="P56" s="293"/>
      <c r="Q56" s="293"/>
      <c r="R56" s="293"/>
      <c r="S56" s="293"/>
      <c r="T56" s="293"/>
      <c r="U56" s="293"/>
      <c r="V56" s="222" t="s">
        <v>346</v>
      </c>
      <c r="W56" s="70"/>
      <c r="X56" s="222">
        <f>SUM(X57:X61)</f>
        <v>6574000</v>
      </c>
      <c r="Y56" s="71" t="s">
        <v>25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68"/>
      <c r="I57" s="283" t="s">
        <v>459</v>
      </c>
      <c r="J57" s="294"/>
      <c r="K57" s="293"/>
      <c r="L57" s="293"/>
      <c r="M57" s="293">
        <f>M55</f>
        <v>1498898000</v>
      </c>
      <c r="N57" s="54" t="s">
        <v>345</v>
      </c>
      <c r="O57" s="72" t="s">
        <v>359</v>
      </c>
      <c r="P57" s="463">
        <v>0.09</v>
      </c>
      <c r="Q57" s="449">
        <v>2</v>
      </c>
      <c r="R57" s="72" t="s">
        <v>359</v>
      </c>
      <c r="S57" s="480">
        <v>4.4999999999999998E-2</v>
      </c>
      <c r="T57" s="74"/>
      <c r="U57" s="449" t="s">
        <v>358</v>
      </c>
      <c r="V57" s="293"/>
      <c r="W57" s="66"/>
      <c r="X57" s="66">
        <f>ROUNDDOWN(M57*P57/Q57*S57,-3)</f>
        <v>3035000</v>
      </c>
      <c r="Y57" s="57" t="s">
        <v>345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68"/>
      <c r="I58" s="283" t="s">
        <v>458</v>
      </c>
      <c r="J58" s="294"/>
      <c r="K58" s="293"/>
      <c r="L58" s="293"/>
      <c r="M58" s="293">
        <f>M55</f>
        <v>1498898000</v>
      </c>
      <c r="N58" s="54" t="s">
        <v>345</v>
      </c>
      <c r="O58" s="72" t="s">
        <v>359</v>
      </c>
      <c r="P58" s="462">
        <v>6.4600000000000005E-2</v>
      </c>
      <c r="Q58" s="449">
        <v>2</v>
      </c>
      <c r="R58" s="72" t="s">
        <v>359</v>
      </c>
      <c r="S58" s="480">
        <v>4.4999999999999998E-2</v>
      </c>
      <c r="T58" s="74"/>
      <c r="U58" s="449" t="s">
        <v>358</v>
      </c>
      <c r="V58" s="293"/>
      <c r="W58" s="66"/>
      <c r="X58" s="66">
        <f>ROUND(M58*P58/Q58*S58,-3)</f>
        <v>2179000</v>
      </c>
      <c r="Y58" s="57" t="s">
        <v>345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68"/>
      <c r="I59" s="283" t="s">
        <v>457</v>
      </c>
      <c r="J59" s="294"/>
      <c r="K59" s="293"/>
      <c r="L59" s="293"/>
      <c r="M59" s="293">
        <f>X58</f>
        <v>2179000</v>
      </c>
      <c r="N59" s="54" t="s">
        <v>345</v>
      </c>
      <c r="O59" s="72" t="s">
        <v>359</v>
      </c>
      <c r="P59" s="76">
        <v>8.5099999999999995E-2</v>
      </c>
      <c r="Q59" s="461"/>
      <c r="R59" s="72"/>
      <c r="S59" s="75"/>
      <c r="T59" s="460"/>
      <c r="U59" s="449" t="s">
        <v>358</v>
      </c>
      <c r="V59" s="293"/>
      <c r="W59" s="66"/>
      <c r="X59" s="66">
        <f>ROUND(M59*P59,-3)</f>
        <v>185000</v>
      </c>
      <c r="Y59" s="57" t="s">
        <v>345</v>
      </c>
      <c r="Z59" s="6"/>
    </row>
    <row r="60" spans="1:27" s="11" customFormat="1" ht="19.5" customHeight="1">
      <c r="A60" s="60"/>
      <c r="B60" s="46"/>
      <c r="C60" s="46"/>
      <c r="D60" s="46"/>
      <c r="E60" s="48"/>
      <c r="F60" s="48"/>
      <c r="G60" s="49"/>
      <c r="H60" s="68"/>
      <c r="I60" s="283" t="s">
        <v>456</v>
      </c>
      <c r="J60" s="294"/>
      <c r="K60" s="293"/>
      <c r="L60" s="293"/>
      <c r="M60" s="293">
        <f>M55</f>
        <v>1498898000</v>
      </c>
      <c r="N60" s="54" t="s">
        <v>345</v>
      </c>
      <c r="O60" s="72" t="s">
        <v>359</v>
      </c>
      <c r="P60" s="76">
        <v>1.0500000000000001E-2</v>
      </c>
      <c r="Q60" s="72"/>
      <c r="R60" s="72" t="s">
        <v>359</v>
      </c>
      <c r="S60" s="480">
        <v>4.4999999999999998E-2</v>
      </c>
      <c r="T60" s="74"/>
      <c r="U60" s="449" t="s">
        <v>358</v>
      </c>
      <c r="V60" s="293"/>
      <c r="W60" s="66"/>
      <c r="X60" s="66">
        <f>ROUND(M60*P60*S60,-3)</f>
        <v>708000</v>
      </c>
      <c r="Y60" s="57" t="s">
        <v>345</v>
      </c>
      <c r="Z60" s="6"/>
    </row>
    <row r="61" spans="1:27" s="11" customFormat="1" ht="19.5" customHeight="1">
      <c r="A61" s="60"/>
      <c r="B61" s="46"/>
      <c r="C61" s="46"/>
      <c r="D61" s="46"/>
      <c r="E61" s="48"/>
      <c r="F61" s="48"/>
      <c r="G61" s="49"/>
      <c r="H61" s="68"/>
      <c r="I61" s="283" t="s">
        <v>455</v>
      </c>
      <c r="J61" s="294"/>
      <c r="K61" s="293"/>
      <c r="L61" s="293"/>
      <c r="M61" s="293">
        <f>M55</f>
        <v>1498898000</v>
      </c>
      <c r="N61" s="54" t="s">
        <v>345</v>
      </c>
      <c r="O61" s="72" t="s">
        <v>359</v>
      </c>
      <c r="P61" s="459">
        <v>6.9300000000000004E-3</v>
      </c>
      <c r="Q61" s="72"/>
      <c r="R61" s="72" t="s">
        <v>359</v>
      </c>
      <c r="S61" s="480">
        <v>4.4999999999999998E-2</v>
      </c>
      <c r="T61" s="74"/>
      <c r="U61" s="449" t="s">
        <v>358</v>
      </c>
      <c r="V61" s="293"/>
      <c r="W61" s="66"/>
      <c r="X61" s="66">
        <f>ROUND(M61*P61*S61,-3)</f>
        <v>467000</v>
      </c>
      <c r="Y61" s="57" t="s">
        <v>345</v>
      </c>
      <c r="Z61" s="6"/>
    </row>
    <row r="62" spans="1:27" s="11" customFormat="1" ht="19.5" customHeight="1">
      <c r="A62" s="60"/>
      <c r="B62" s="46"/>
      <c r="C62" s="46"/>
      <c r="D62" s="59"/>
      <c r="E62" s="61"/>
      <c r="F62" s="61"/>
      <c r="G62" s="62"/>
      <c r="H62" s="82"/>
      <c r="I62" s="359"/>
      <c r="J62" s="70"/>
      <c r="K62" s="471"/>
      <c r="L62" s="471"/>
      <c r="M62" s="222"/>
      <c r="N62" s="222"/>
      <c r="O62" s="470"/>
      <c r="P62" s="222"/>
      <c r="Q62" s="125"/>
      <c r="R62" s="469"/>
      <c r="S62" s="477"/>
      <c r="T62" s="199"/>
      <c r="U62" s="199"/>
      <c r="V62" s="468"/>
      <c r="W62" s="359"/>
      <c r="X62" s="70"/>
      <c r="Y62" s="71"/>
      <c r="Z62" s="6"/>
    </row>
    <row r="63" spans="1:27" s="11" customFormat="1" ht="19.5" customHeight="1" thickBot="1">
      <c r="A63" s="60"/>
      <c r="B63" s="46"/>
      <c r="C63" s="46"/>
      <c r="D63" s="36" t="s">
        <v>454</v>
      </c>
      <c r="E63" s="37">
        <v>3685</v>
      </c>
      <c r="F63" s="235">
        <f>ROUND(X63/1000,0)</f>
        <v>3838</v>
      </c>
      <c r="G63" s="38">
        <f>F63-E63</f>
        <v>153</v>
      </c>
      <c r="H63" s="115">
        <f>IF(E63=0,0,G63/E63)</f>
        <v>4.1519674355495251E-2</v>
      </c>
      <c r="I63" s="241" t="s">
        <v>453</v>
      </c>
      <c r="J63" s="240"/>
      <c r="K63" s="245"/>
      <c r="L63" s="245"/>
      <c r="M63" s="86"/>
      <c r="N63" s="86"/>
      <c r="O63" s="236"/>
      <c r="P63" s="86"/>
      <c r="Q63" s="237"/>
      <c r="R63" s="238"/>
      <c r="S63" s="239"/>
      <c r="T63" s="244"/>
      <c r="U63" s="244"/>
      <c r="V63" s="242" t="s">
        <v>438</v>
      </c>
      <c r="W63" s="243"/>
      <c r="X63" s="243">
        <f>SUM(X64:X68)</f>
        <v>3838000</v>
      </c>
      <c r="Y63" s="266" t="s">
        <v>345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68"/>
      <c r="I64" s="294" t="s">
        <v>452</v>
      </c>
      <c r="J64" s="66"/>
      <c r="K64" s="208"/>
      <c r="L64" s="208"/>
      <c r="M64" s="275">
        <f>M35</f>
        <v>2377000</v>
      </c>
      <c r="N64" s="275" t="s">
        <v>25</v>
      </c>
      <c r="O64" s="361" t="s">
        <v>26</v>
      </c>
      <c r="P64" s="362">
        <v>30</v>
      </c>
      <c r="Q64" s="363" t="s">
        <v>360</v>
      </c>
      <c r="R64" s="331" t="s">
        <v>359</v>
      </c>
      <c r="S64" s="364">
        <v>4.4999999999999998E-2</v>
      </c>
      <c r="T64" s="336"/>
      <c r="U64" s="334" t="s">
        <v>358</v>
      </c>
      <c r="V64" s="720"/>
      <c r="W64" s="720"/>
      <c r="X64" s="66">
        <f>ROUND(M64*P64*S64,-3)</f>
        <v>3209000</v>
      </c>
      <c r="Y64" s="57" t="s">
        <v>345</v>
      </c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68"/>
      <c r="I65" s="294" t="s">
        <v>451</v>
      </c>
      <c r="J65" s="66"/>
      <c r="K65" s="208"/>
      <c r="L65" s="208"/>
      <c r="M65" s="275">
        <f>M36</f>
        <v>635000</v>
      </c>
      <c r="N65" s="275" t="s">
        <v>25</v>
      </c>
      <c r="O65" s="361" t="s">
        <v>26</v>
      </c>
      <c r="P65" s="362">
        <v>22</v>
      </c>
      <c r="Q65" s="363" t="s">
        <v>360</v>
      </c>
      <c r="R65" s="331" t="s">
        <v>359</v>
      </c>
      <c r="S65" s="364">
        <v>4.4999999999999998E-2</v>
      </c>
      <c r="T65" s="336"/>
      <c r="U65" s="334" t="s">
        <v>358</v>
      </c>
      <c r="V65" s="720"/>
      <c r="W65" s="720"/>
      <c r="X65" s="66">
        <f>ROUND(M65*P65*S65,-3)</f>
        <v>629000</v>
      </c>
      <c r="Y65" s="57" t="s">
        <v>345</v>
      </c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68"/>
      <c r="I66" s="294"/>
      <c r="J66" s="66"/>
      <c r="K66" s="208"/>
      <c r="L66" s="208"/>
      <c r="M66" s="293"/>
      <c r="N66" s="293"/>
      <c r="O66" s="55"/>
      <c r="P66" s="449"/>
      <c r="Q66" s="293"/>
      <c r="R66" s="72"/>
      <c r="S66" s="480"/>
      <c r="T66" s="293"/>
      <c r="U66" s="293"/>
      <c r="V66" s="449"/>
      <c r="W66" s="449"/>
      <c r="X66" s="66"/>
      <c r="Y66" s="57"/>
      <c r="Z66" s="6"/>
    </row>
    <row r="67" spans="1:26" s="11" customFormat="1" ht="19.5" customHeight="1">
      <c r="A67" s="60"/>
      <c r="B67" s="46"/>
      <c r="C67" s="46"/>
      <c r="D67" s="46"/>
      <c r="E67" s="48"/>
      <c r="F67" s="48"/>
      <c r="G67" s="49"/>
      <c r="H67" s="68"/>
      <c r="I67" s="355" t="s">
        <v>481</v>
      </c>
      <c r="J67" s="278"/>
      <c r="K67" s="488"/>
      <c r="L67" s="488"/>
      <c r="M67" s="275"/>
      <c r="N67" s="275"/>
      <c r="O67" s="361"/>
      <c r="P67" s="275"/>
      <c r="Q67" s="363"/>
      <c r="R67" s="486"/>
      <c r="S67" s="365"/>
      <c r="T67" s="334"/>
      <c r="U67" s="334"/>
      <c r="V67" s="485"/>
      <c r="W67" s="277"/>
      <c r="X67" s="278"/>
      <c r="Y67" s="301"/>
      <c r="Z67" s="6"/>
    </row>
    <row r="68" spans="1:26" s="11" customFormat="1" ht="19.5" customHeight="1">
      <c r="A68" s="60"/>
      <c r="B68" s="46"/>
      <c r="C68" s="46"/>
      <c r="D68" s="46"/>
      <c r="E68" s="48"/>
      <c r="F68" s="48"/>
      <c r="G68" s="49"/>
      <c r="H68" s="68"/>
      <c r="I68" s="280" t="s">
        <v>679</v>
      </c>
      <c r="J68" s="278"/>
      <c r="K68" s="488"/>
      <c r="L68" s="488"/>
      <c r="M68" s="275">
        <v>0</v>
      </c>
      <c r="N68" s="275" t="s">
        <v>25</v>
      </c>
      <c r="O68" s="361" t="s">
        <v>26</v>
      </c>
      <c r="P68" s="487">
        <v>0.5</v>
      </c>
      <c r="Q68" s="363"/>
      <c r="R68" s="486"/>
      <c r="S68" s="365"/>
      <c r="T68" s="334"/>
      <c r="U68" s="334"/>
      <c r="V68" s="485"/>
      <c r="W68" s="277" t="s">
        <v>27</v>
      </c>
      <c r="X68" s="278">
        <f>M68*P68</f>
        <v>0</v>
      </c>
      <c r="Y68" s="301" t="s">
        <v>345</v>
      </c>
      <c r="Z68" s="6"/>
    </row>
    <row r="69" spans="1:26" s="11" customFormat="1" ht="19.5" customHeight="1">
      <c r="A69" s="60"/>
      <c r="B69" s="46"/>
      <c r="C69" s="46"/>
      <c r="D69" s="59"/>
      <c r="E69" s="61"/>
      <c r="F69" s="61"/>
      <c r="G69" s="62"/>
      <c r="H69" s="82"/>
      <c r="I69" s="359"/>
      <c r="J69" s="70"/>
      <c r="K69" s="471"/>
      <c r="L69" s="471"/>
      <c r="M69" s="222"/>
      <c r="N69" s="222"/>
      <c r="O69" s="470"/>
      <c r="P69" s="222"/>
      <c r="Q69" s="125"/>
      <c r="R69" s="469"/>
      <c r="S69" s="477"/>
      <c r="T69" s="199"/>
      <c r="U69" s="199"/>
      <c r="V69" s="468"/>
      <c r="W69" s="359"/>
      <c r="X69" s="70"/>
      <c r="Y69" s="71"/>
      <c r="Z69" s="6"/>
    </row>
    <row r="70" spans="1:26" s="11" customFormat="1" ht="19.5" customHeight="1" thickBot="1">
      <c r="A70" s="60"/>
      <c r="B70" s="46"/>
      <c r="C70" s="46"/>
      <c r="D70" s="36" t="s">
        <v>450</v>
      </c>
      <c r="E70" s="37">
        <v>6404</v>
      </c>
      <c r="F70" s="235">
        <f>ROUND(X70/1000,0)</f>
        <v>6404</v>
      </c>
      <c r="G70" s="38">
        <f>F70-E70</f>
        <v>0</v>
      </c>
      <c r="H70" s="115">
        <f>IF(E70=0,0,G70/E70)</f>
        <v>0</v>
      </c>
      <c r="I70" s="241" t="s">
        <v>449</v>
      </c>
      <c r="J70" s="240"/>
      <c r="K70" s="245"/>
      <c r="L70" s="245"/>
      <c r="M70" s="86"/>
      <c r="N70" s="86"/>
      <c r="O70" s="236"/>
      <c r="P70" s="86"/>
      <c r="Q70" s="237"/>
      <c r="R70" s="238"/>
      <c r="S70" s="239"/>
      <c r="T70" s="244"/>
      <c r="U70" s="244"/>
      <c r="V70" s="242" t="s">
        <v>438</v>
      </c>
      <c r="W70" s="243"/>
      <c r="X70" s="243">
        <f>SUM(X71:X76)</f>
        <v>6404000</v>
      </c>
      <c r="Y70" s="266" t="s">
        <v>345</v>
      </c>
      <c r="Z70" s="6"/>
    </row>
    <row r="71" spans="1:26" s="11" customFormat="1" ht="19.5" customHeight="1">
      <c r="A71" s="60"/>
      <c r="B71" s="46"/>
      <c r="C71" s="46"/>
      <c r="D71" s="46" t="s">
        <v>448</v>
      </c>
      <c r="E71" s="48"/>
      <c r="F71" s="48"/>
      <c r="G71" s="49"/>
      <c r="H71" s="68"/>
      <c r="I71" s="65" t="s">
        <v>447</v>
      </c>
      <c r="J71" s="294"/>
      <c r="K71" s="293"/>
      <c r="L71" s="293"/>
      <c r="M71" s="293">
        <v>500</v>
      </c>
      <c r="N71" s="293" t="s">
        <v>345</v>
      </c>
      <c r="O71" s="294" t="s">
        <v>359</v>
      </c>
      <c r="P71" s="479">
        <v>52</v>
      </c>
      <c r="Q71" s="465">
        <v>365</v>
      </c>
      <c r="R71" s="293" t="s">
        <v>446</v>
      </c>
      <c r="S71" s="478">
        <v>0.3</v>
      </c>
      <c r="T71" s="293"/>
      <c r="U71" s="293" t="s">
        <v>358</v>
      </c>
      <c r="V71" s="293"/>
      <c r="W71" s="66"/>
      <c r="X71" s="66">
        <f>ROUND(M71*P71*Q71*S71,-3)</f>
        <v>2847000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68"/>
      <c r="I72" s="65" t="s">
        <v>445</v>
      </c>
      <c r="J72" s="294"/>
      <c r="K72" s="293"/>
      <c r="L72" s="293"/>
      <c r="M72" s="293">
        <v>5000</v>
      </c>
      <c r="N72" s="293" t="s">
        <v>345</v>
      </c>
      <c r="O72" s="294" t="s">
        <v>359</v>
      </c>
      <c r="P72" s="479">
        <v>52</v>
      </c>
      <c r="Q72" s="465">
        <v>12</v>
      </c>
      <c r="R72" s="293" t="s">
        <v>365</v>
      </c>
      <c r="S72" s="478">
        <v>0.3</v>
      </c>
      <c r="T72" s="293"/>
      <c r="U72" s="293" t="s">
        <v>358</v>
      </c>
      <c r="V72" s="293"/>
      <c r="W72" s="66"/>
      <c r="X72" s="66">
        <f>ROUNDUP(M72*P72*Q72*S72,-3)</f>
        <v>936000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68"/>
      <c r="I73" s="65" t="s">
        <v>444</v>
      </c>
      <c r="J73" s="294"/>
      <c r="K73" s="293"/>
      <c r="L73" s="293"/>
      <c r="M73" s="293">
        <v>20000</v>
      </c>
      <c r="N73" s="293" t="s">
        <v>345</v>
      </c>
      <c r="O73" s="294" t="s">
        <v>359</v>
      </c>
      <c r="P73" s="479">
        <v>52</v>
      </c>
      <c r="Q73" s="465">
        <v>4</v>
      </c>
      <c r="R73" s="293" t="s">
        <v>361</v>
      </c>
      <c r="S73" s="478">
        <v>0.3</v>
      </c>
      <c r="T73" s="293"/>
      <c r="U73" s="293" t="s">
        <v>358</v>
      </c>
      <c r="V73" s="293"/>
      <c r="W73" s="66"/>
      <c r="X73" s="66">
        <f>ROUNDUP(M73*P73*Q73*S73,-3)</f>
        <v>1248000</v>
      </c>
      <c r="Y73" s="57" t="s">
        <v>25</v>
      </c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68"/>
      <c r="I74" s="65" t="s">
        <v>443</v>
      </c>
      <c r="J74" s="294"/>
      <c r="K74" s="293"/>
      <c r="L74" s="293"/>
      <c r="M74" s="293">
        <v>12000</v>
      </c>
      <c r="N74" s="293" t="s">
        <v>345</v>
      </c>
      <c r="O74" s="294" t="s">
        <v>359</v>
      </c>
      <c r="P74" s="479">
        <v>52</v>
      </c>
      <c r="Q74" s="465">
        <v>4</v>
      </c>
      <c r="R74" s="293" t="s">
        <v>361</v>
      </c>
      <c r="S74" s="478">
        <v>0.3</v>
      </c>
      <c r="T74" s="293"/>
      <c r="U74" s="293" t="s">
        <v>358</v>
      </c>
      <c r="V74" s="293"/>
      <c r="W74" s="66"/>
      <c r="X74" s="66">
        <f>ROUND(M74*P74*Q74*S74,-3)</f>
        <v>749000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46"/>
      <c r="E75" s="48"/>
      <c r="F75" s="48"/>
      <c r="G75" s="49"/>
      <c r="H75" s="68"/>
      <c r="I75" s="65" t="s">
        <v>442</v>
      </c>
      <c r="J75" s="294"/>
      <c r="K75" s="293"/>
      <c r="L75" s="293"/>
      <c r="M75" s="293"/>
      <c r="N75" s="293"/>
      <c r="O75" s="294"/>
      <c r="P75" s="479"/>
      <c r="Q75" s="465"/>
      <c r="R75" s="293"/>
      <c r="S75" s="293"/>
      <c r="T75" s="293"/>
      <c r="U75" s="293"/>
      <c r="V75" s="293"/>
      <c r="W75" s="66"/>
      <c r="X75" s="66"/>
      <c r="Y75" s="57"/>
      <c r="Z75" s="6"/>
    </row>
    <row r="76" spans="1:26" s="11" customFormat="1" ht="19.5" customHeight="1">
      <c r="A76" s="60"/>
      <c r="B76" s="46"/>
      <c r="C76" s="46"/>
      <c r="D76" s="46"/>
      <c r="E76" s="48"/>
      <c r="F76" s="48"/>
      <c r="G76" s="49"/>
      <c r="H76" s="68"/>
      <c r="I76" s="65" t="s">
        <v>441</v>
      </c>
      <c r="J76" s="294"/>
      <c r="K76" s="293"/>
      <c r="L76" s="293"/>
      <c r="M76" s="293">
        <v>40000</v>
      </c>
      <c r="N76" s="293" t="s">
        <v>345</v>
      </c>
      <c r="O76" s="294" t="s">
        <v>359</v>
      </c>
      <c r="P76" s="479">
        <v>52</v>
      </c>
      <c r="Q76" s="465">
        <v>1</v>
      </c>
      <c r="R76" s="293" t="s">
        <v>361</v>
      </c>
      <c r="S76" s="478">
        <v>0.3</v>
      </c>
      <c r="T76" s="293"/>
      <c r="U76" s="293" t="s">
        <v>358</v>
      </c>
      <c r="V76" s="293"/>
      <c r="W76" s="66"/>
      <c r="X76" s="66">
        <f>ROUND(M76*P76*Q76*S76,-3)</f>
        <v>624000</v>
      </c>
      <c r="Y76" s="57" t="s">
        <v>25</v>
      </c>
      <c r="Z76" s="6"/>
    </row>
    <row r="77" spans="1:26" s="11" customFormat="1" ht="19.5" customHeight="1">
      <c r="A77" s="60"/>
      <c r="B77" s="46"/>
      <c r="C77" s="46"/>
      <c r="D77" s="59"/>
      <c r="E77" s="61"/>
      <c r="F77" s="61"/>
      <c r="G77" s="62"/>
      <c r="H77" s="82"/>
      <c r="I77" s="359"/>
      <c r="J77" s="70"/>
      <c r="K77" s="471"/>
      <c r="L77" s="471"/>
      <c r="M77" s="222"/>
      <c r="N77" s="222"/>
      <c r="O77" s="470"/>
      <c r="P77" s="222"/>
      <c r="Q77" s="125"/>
      <c r="R77" s="469"/>
      <c r="S77" s="477"/>
      <c r="T77" s="199"/>
      <c r="U77" s="199"/>
      <c r="V77" s="468"/>
      <c r="W77" s="359"/>
      <c r="X77" s="70"/>
      <c r="Y77" s="71"/>
      <c r="Z77" s="6"/>
    </row>
    <row r="78" spans="1:26" s="11" customFormat="1" ht="19.5" customHeight="1" thickBot="1">
      <c r="A78" s="60"/>
      <c r="B78" s="46"/>
      <c r="C78" s="46"/>
      <c r="D78" s="36" t="s">
        <v>440</v>
      </c>
      <c r="E78" s="37">
        <v>12015</v>
      </c>
      <c r="F78" s="235">
        <f>ROUND(X78/1000,0)</f>
        <v>12967</v>
      </c>
      <c r="G78" s="38">
        <f>F78-E78</f>
        <v>952</v>
      </c>
      <c r="H78" s="115">
        <f>IF(E78=0,0,G78/E78)</f>
        <v>7.9234290470245522E-2</v>
      </c>
      <c r="I78" s="241" t="s">
        <v>439</v>
      </c>
      <c r="J78" s="240"/>
      <c r="K78" s="245"/>
      <c r="L78" s="245"/>
      <c r="M78" s="86"/>
      <c r="N78" s="86"/>
      <c r="O78" s="236"/>
      <c r="P78" s="86"/>
      <c r="Q78" s="237"/>
      <c r="R78" s="238"/>
      <c r="S78" s="239"/>
      <c r="T78" s="244"/>
      <c r="U78" s="244"/>
      <c r="V78" s="242" t="s">
        <v>438</v>
      </c>
      <c r="W78" s="243"/>
      <c r="X78" s="243">
        <f>X79+X97</f>
        <v>12967000</v>
      </c>
      <c r="Y78" s="266" t="s">
        <v>345</v>
      </c>
      <c r="Z78" s="6"/>
    </row>
    <row r="79" spans="1:26" s="11" customFormat="1" ht="19.5" customHeight="1">
      <c r="A79" s="60"/>
      <c r="B79" s="46"/>
      <c r="C79" s="46"/>
      <c r="D79" s="46" t="s">
        <v>437</v>
      </c>
      <c r="E79" s="48"/>
      <c r="F79" s="48"/>
      <c r="G79" s="49"/>
      <c r="H79" s="68"/>
      <c r="I79" s="476" t="s">
        <v>436</v>
      </c>
      <c r="J79" s="66"/>
      <c r="K79" s="208"/>
      <c r="L79" s="208"/>
      <c r="M79" s="293"/>
      <c r="N79" s="293"/>
      <c r="O79" s="206"/>
      <c r="P79" s="293"/>
      <c r="Q79" s="54"/>
      <c r="R79" s="467"/>
      <c r="S79" s="56"/>
      <c r="T79" s="449"/>
      <c r="U79" s="449"/>
      <c r="V79" s="222" t="s">
        <v>435</v>
      </c>
      <c r="W79" s="70"/>
      <c r="X79" s="222">
        <f>SUM(X80,X84,X88,X90)</f>
        <v>11347000</v>
      </c>
      <c r="Y79" s="71" t="s">
        <v>25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68"/>
      <c r="I80" s="69" t="s">
        <v>434</v>
      </c>
      <c r="J80" s="294"/>
      <c r="K80" s="293"/>
      <c r="L80" s="293"/>
      <c r="M80" s="293"/>
      <c r="N80" s="293"/>
      <c r="O80" s="72"/>
      <c r="P80" s="75"/>
      <c r="Q80" s="293"/>
      <c r="R80" s="293"/>
      <c r="S80" s="293"/>
      <c r="T80" s="293"/>
      <c r="U80" s="293"/>
      <c r="V80" s="222" t="s">
        <v>346</v>
      </c>
      <c r="W80" s="70"/>
      <c r="X80" s="222">
        <f>SUM(X81:X83)</f>
        <v>7106000</v>
      </c>
      <c r="Y80" s="71" t="s">
        <v>25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68"/>
      <c r="I81" s="286" t="s">
        <v>433</v>
      </c>
      <c r="J81" s="294"/>
      <c r="K81" s="293"/>
      <c r="L81" s="293"/>
      <c r="M81" s="293">
        <v>23319000</v>
      </c>
      <c r="N81" s="293" t="s">
        <v>345</v>
      </c>
      <c r="O81" s="72" t="s">
        <v>359</v>
      </c>
      <c r="P81" s="75">
        <v>0.1</v>
      </c>
      <c r="Q81" s="293"/>
      <c r="R81" s="293"/>
      <c r="S81" s="293"/>
      <c r="T81" s="293"/>
      <c r="U81" s="293" t="s">
        <v>358</v>
      </c>
      <c r="V81" s="86"/>
      <c r="W81" s="240"/>
      <c r="X81" s="86">
        <f>ROUND(M81*P81,-3)</f>
        <v>2332000</v>
      </c>
      <c r="Y81" s="475" t="s">
        <v>345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68"/>
      <c r="I82" s="283" t="s">
        <v>432</v>
      </c>
      <c r="J82" s="294"/>
      <c r="K82" s="293"/>
      <c r="L82" s="293"/>
      <c r="M82" s="293">
        <v>25371000</v>
      </c>
      <c r="N82" s="293" t="s">
        <v>345</v>
      </c>
      <c r="O82" s="72" t="s">
        <v>359</v>
      </c>
      <c r="P82" s="75">
        <v>0.1</v>
      </c>
      <c r="Q82" s="293"/>
      <c r="R82" s="293"/>
      <c r="S82" s="293"/>
      <c r="T82" s="293"/>
      <c r="U82" s="293" t="s">
        <v>358</v>
      </c>
      <c r="V82" s="293"/>
      <c r="W82" s="66"/>
      <c r="X82" s="293">
        <f>ROUND(M82*P82,-3)</f>
        <v>2537000</v>
      </c>
      <c r="Y82" s="57" t="s">
        <v>345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68"/>
      <c r="I83" s="283" t="s">
        <v>431</v>
      </c>
      <c r="J83" s="294"/>
      <c r="K83" s="293"/>
      <c r="L83" s="293"/>
      <c r="M83" s="293">
        <v>22370000</v>
      </c>
      <c r="N83" s="293" t="s">
        <v>345</v>
      </c>
      <c r="O83" s="72" t="s">
        <v>359</v>
      </c>
      <c r="P83" s="75">
        <v>0.1</v>
      </c>
      <c r="Q83" s="293"/>
      <c r="R83" s="293"/>
      <c r="S83" s="293"/>
      <c r="T83" s="293"/>
      <c r="U83" s="293" t="s">
        <v>358</v>
      </c>
      <c r="V83" s="293"/>
      <c r="W83" s="66"/>
      <c r="X83" s="293">
        <f>ROUND(M83*P83,-3)</f>
        <v>2237000</v>
      </c>
      <c r="Y83" s="57" t="s">
        <v>345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68"/>
      <c r="I84" s="69" t="s">
        <v>430</v>
      </c>
      <c r="J84" s="294"/>
      <c r="K84" s="293"/>
      <c r="L84" s="293"/>
      <c r="M84" s="293"/>
      <c r="N84" s="293"/>
      <c r="O84" s="293"/>
      <c r="P84" s="293"/>
      <c r="Q84" s="293"/>
      <c r="R84" s="293"/>
      <c r="S84" s="293"/>
      <c r="T84" s="293"/>
      <c r="U84" s="293"/>
      <c r="V84" s="222" t="s">
        <v>346</v>
      </c>
      <c r="W84" s="70"/>
      <c r="X84" s="222">
        <f>SUM(X85:X87)</f>
        <v>2503000</v>
      </c>
      <c r="Y84" s="71" t="s">
        <v>25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68"/>
      <c r="I85" s="283" t="s">
        <v>429</v>
      </c>
      <c r="J85" s="294"/>
      <c r="K85" s="293"/>
      <c r="L85" s="293"/>
      <c r="M85" s="293">
        <v>7064000</v>
      </c>
      <c r="N85" s="293" t="s">
        <v>345</v>
      </c>
      <c r="O85" s="72" t="s">
        <v>359</v>
      </c>
      <c r="P85" s="75">
        <v>0.1</v>
      </c>
      <c r="Q85" s="293"/>
      <c r="R85" s="293"/>
      <c r="S85" s="293"/>
      <c r="T85" s="293"/>
      <c r="U85" s="293" t="s">
        <v>358</v>
      </c>
      <c r="V85" s="721"/>
      <c r="W85" s="721"/>
      <c r="X85" s="240">
        <f>ROUND(M85*P85,-3)</f>
        <v>706000</v>
      </c>
      <c r="Y85" s="475" t="s">
        <v>345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68"/>
      <c r="I86" s="280" t="s">
        <v>428</v>
      </c>
      <c r="J86" s="294"/>
      <c r="K86" s="293"/>
      <c r="L86" s="293"/>
      <c r="M86" s="293">
        <v>960000</v>
      </c>
      <c r="N86" s="293" t="s">
        <v>345</v>
      </c>
      <c r="O86" s="72" t="s">
        <v>359</v>
      </c>
      <c r="P86" s="75">
        <v>0.1</v>
      </c>
      <c r="Q86" s="293"/>
      <c r="R86" s="293"/>
      <c r="S86" s="293"/>
      <c r="T86" s="293"/>
      <c r="U86" s="293" t="s">
        <v>358</v>
      </c>
      <c r="V86" s="720"/>
      <c r="W86" s="720"/>
      <c r="X86" s="66">
        <f>ROUND(M86*P86,-3)</f>
        <v>96000</v>
      </c>
      <c r="Y86" s="57" t="s">
        <v>345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68"/>
      <c r="I87" s="283" t="s">
        <v>427</v>
      </c>
      <c r="J87" s="294"/>
      <c r="K87" s="293"/>
      <c r="L87" s="293"/>
      <c r="M87" s="293">
        <v>17007000</v>
      </c>
      <c r="N87" s="293" t="s">
        <v>345</v>
      </c>
      <c r="O87" s="72" t="s">
        <v>359</v>
      </c>
      <c r="P87" s="75">
        <v>0.1</v>
      </c>
      <c r="Q87" s="293"/>
      <c r="R87" s="293"/>
      <c r="S87" s="293"/>
      <c r="T87" s="293"/>
      <c r="U87" s="293" t="s">
        <v>358</v>
      </c>
      <c r="V87" s="720"/>
      <c r="W87" s="720"/>
      <c r="X87" s="66">
        <f>ROUND(M87*P87,-3)</f>
        <v>1701000</v>
      </c>
      <c r="Y87" s="57" t="s">
        <v>345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68"/>
      <c r="I88" s="69" t="s">
        <v>426</v>
      </c>
      <c r="J88" s="294"/>
      <c r="K88" s="293"/>
      <c r="L88" s="293"/>
      <c r="M88" s="293"/>
      <c r="N88" s="293"/>
      <c r="O88" s="293"/>
      <c r="P88" s="293"/>
      <c r="Q88" s="293"/>
      <c r="R88" s="293"/>
      <c r="S88" s="293"/>
      <c r="T88" s="293"/>
      <c r="U88" s="293"/>
      <c r="V88" s="222" t="s">
        <v>346</v>
      </c>
      <c r="W88" s="70"/>
      <c r="X88" s="222">
        <f>X89</f>
        <v>801000</v>
      </c>
      <c r="Y88" s="71" t="s">
        <v>25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68"/>
      <c r="I89" s="283" t="s">
        <v>425</v>
      </c>
      <c r="J89" s="294"/>
      <c r="K89" s="293"/>
      <c r="L89" s="293"/>
      <c r="M89" s="293">
        <f>SUM(M80:M87)</f>
        <v>96091000</v>
      </c>
      <c r="N89" s="54" t="s">
        <v>345</v>
      </c>
      <c r="O89" s="449" t="s">
        <v>366</v>
      </c>
      <c r="P89" s="474">
        <v>12</v>
      </c>
      <c r="Q89" s="206" t="s">
        <v>365</v>
      </c>
      <c r="R89" s="72" t="s">
        <v>359</v>
      </c>
      <c r="S89" s="75">
        <v>0.1</v>
      </c>
      <c r="T89" s="293"/>
      <c r="U89" s="293" t="s">
        <v>358</v>
      </c>
      <c r="V89" s="86"/>
      <c r="W89" s="86"/>
      <c r="X89" s="240">
        <f>ROUNDUP(M89/P89*S89,-3)</f>
        <v>801000</v>
      </c>
      <c r="Y89" s="473" t="s">
        <v>345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68"/>
      <c r="I90" s="69" t="s">
        <v>480</v>
      </c>
      <c r="J90" s="294"/>
      <c r="K90" s="293"/>
      <c r="L90" s="293"/>
      <c r="M90" s="293"/>
      <c r="N90" s="54"/>
      <c r="O90" s="293"/>
      <c r="P90" s="293"/>
      <c r="Q90" s="293"/>
      <c r="R90" s="293"/>
      <c r="S90" s="293"/>
      <c r="T90" s="293"/>
      <c r="U90" s="293"/>
      <c r="V90" s="222" t="s">
        <v>346</v>
      </c>
      <c r="W90" s="70"/>
      <c r="X90" s="222">
        <f>SUM(X91:X95)</f>
        <v>937000</v>
      </c>
      <c r="Y90" s="71" t="s">
        <v>25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68"/>
      <c r="I91" s="283" t="s">
        <v>459</v>
      </c>
      <c r="J91" s="294"/>
      <c r="K91" s="293"/>
      <c r="L91" s="293"/>
      <c r="M91" s="293">
        <f>M89</f>
        <v>96091000</v>
      </c>
      <c r="N91" s="54" t="s">
        <v>345</v>
      </c>
      <c r="O91" s="72" t="s">
        <v>359</v>
      </c>
      <c r="P91" s="463">
        <v>0.09</v>
      </c>
      <c r="Q91" s="449">
        <v>2</v>
      </c>
      <c r="R91" s="72" t="s">
        <v>359</v>
      </c>
      <c r="S91" s="75">
        <v>0.1</v>
      </c>
      <c r="T91" s="74"/>
      <c r="U91" s="449" t="s">
        <v>358</v>
      </c>
      <c r="V91" s="293"/>
      <c r="W91" s="66"/>
      <c r="X91" s="66">
        <f>ROUNDUP(M91*P91/Q91*S91,-3)</f>
        <v>433000</v>
      </c>
      <c r="Y91" s="57" t="s">
        <v>345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68"/>
      <c r="I92" s="283" t="s">
        <v>458</v>
      </c>
      <c r="J92" s="294"/>
      <c r="K92" s="293"/>
      <c r="L92" s="293"/>
      <c r="M92" s="293">
        <f>M89</f>
        <v>96091000</v>
      </c>
      <c r="N92" s="54" t="s">
        <v>345</v>
      </c>
      <c r="O92" s="72" t="s">
        <v>359</v>
      </c>
      <c r="P92" s="462">
        <v>6.4600000000000005E-2</v>
      </c>
      <c r="Q92" s="449">
        <v>2</v>
      </c>
      <c r="R92" s="72" t="s">
        <v>359</v>
      </c>
      <c r="S92" s="75">
        <v>0.1</v>
      </c>
      <c r="T92" s="74"/>
      <c r="U92" s="449" t="s">
        <v>358</v>
      </c>
      <c r="V92" s="293"/>
      <c r="W92" s="66"/>
      <c r="X92" s="66">
        <f>ROUND(M92*P92/Q92*S92,-3)</f>
        <v>310000</v>
      </c>
      <c r="Y92" s="57" t="s">
        <v>345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68"/>
      <c r="I93" s="283" t="s">
        <v>457</v>
      </c>
      <c r="J93" s="294"/>
      <c r="K93" s="293"/>
      <c r="L93" s="293"/>
      <c r="M93" s="293">
        <f>X92</f>
        <v>310000</v>
      </c>
      <c r="N93" s="54" t="s">
        <v>345</v>
      </c>
      <c r="O93" s="72" t="s">
        <v>359</v>
      </c>
      <c r="P93" s="76">
        <v>8.5099999999999995E-2</v>
      </c>
      <c r="Q93" s="461"/>
      <c r="R93" s="72"/>
      <c r="S93" s="75"/>
      <c r="T93" s="460"/>
      <c r="U93" s="449" t="s">
        <v>358</v>
      </c>
      <c r="V93" s="293"/>
      <c r="W93" s="66"/>
      <c r="X93" s="66">
        <f>ROUNDDOWN(M93*P93,-3)</f>
        <v>26000</v>
      </c>
      <c r="Y93" s="57" t="s">
        <v>345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68"/>
      <c r="I94" s="283" t="s">
        <v>456</v>
      </c>
      <c r="J94" s="294"/>
      <c r="K94" s="293"/>
      <c r="L94" s="293"/>
      <c r="M94" s="293">
        <f>M89</f>
        <v>96091000</v>
      </c>
      <c r="N94" s="54" t="s">
        <v>345</v>
      </c>
      <c r="O94" s="72" t="s">
        <v>359</v>
      </c>
      <c r="P94" s="76">
        <v>1.0500000000000001E-2</v>
      </c>
      <c r="Q94" s="72"/>
      <c r="R94" s="72" t="s">
        <v>359</v>
      </c>
      <c r="S94" s="75">
        <v>0.1</v>
      </c>
      <c r="T94" s="74"/>
      <c r="U94" s="449" t="s">
        <v>358</v>
      </c>
      <c r="V94" s="293"/>
      <c r="W94" s="66"/>
      <c r="X94" s="66">
        <f>ROUND(M94*P94*S94,-3)</f>
        <v>101000</v>
      </c>
      <c r="Y94" s="57" t="s">
        <v>345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68"/>
      <c r="I95" s="283" t="s">
        <v>455</v>
      </c>
      <c r="J95" s="294"/>
      <c r="K95" s="293"/>
      <c r="L95" s="293"/>
      <c r="M95" s="293">
        <f>M89</f>
        <v>96091000</v>
      </c>
      <c r="N95" s="54" t="s">
        <v>345</v>
      </c>
      <c r="O95" s="72" t="s">
        <v>359</v>
      </c>
      <c r="P95" s="459">
        <v>6.9300000000000004E-3</v>
      </c>
      <c r="Q95" s="72"/>
      <c r="R95" s="72" t="s">
        <v>359</v>
      </c>
      <c r="S95" s="75">
        <v>0.1</v>
      </c>
      <c r="T95" s="74"/>
      <c r="U95" s="449" t="s">
        <v>358</v>
      </c>
      <c r="V95" s="293"/>
      <c r="W95" s="66"/>
      <c r="X95" s="66">
        <f>ROUND(M95*P95*S95,-3)</f>
        <v>67000</v>
      </c>
      <c r="Y95" s="57" t="s">
        <v>345</v>
      </c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68"/>
      <c r="I96" s="65"/>
      <c r="J96" s="66"/>
      <c r="K96" s="208"/>
      <c r="L96" s="208"/>
      <c r="M96" s="293"/>
      <c r="N96" s="293"/>
      <c r="O96" s="206"/>
      <c r="P96" s="293"/>
      <c r="Q96" s="54"/>
      <c r="R96" s="467"/>
      <c r="S96" s="56"/>
      <c r="T96" s="449"/>
      <c r="U96" s="449"/>
      <c r="V96" s="75"/>
      <c r="W96" s="294"/>
      <c r="X96" s="66"/>
      <c r="Y96" s="57"/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68"/>
      <c r="I97" s="69" t="s">
        <v>479</v>
      </c>
      <c r="J97" s="66"/>
      <c r="K97" s="208"/>
      <c r="L97" s="208"/>
      <c r="M97" s="293"/>
      <c r="N97" s="293"/>
      <c r="O97" s="206"/>
      <c r="P97" s="293"/>
      <c r="Q97" s="54"/>
      <c r="R97" s="467"/>
      <c r="S97" s="56"/>
      <c r="T97" s="449"/>
      <c r="U97" s="449"/>
      <c r="V97" s="222" t="s">
        <v>435</v>
      </c>
      <c r="W97" s="70"/>
      <c r="X97" s="222">
        <f>SUM(X98:X100)</f>
        <v>1620000</v>
      </c>
      <c r="Y97" s="71" t="s">
        <v>25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68"/>
      <c r="I98" s="283" t="s">
        <v>566</v>
      </c>
      <c r="J98" s="540"/>
      <c r="K98" s="539"/>
      <c r="L98" s="539"/>
      <c r="M98" s="506">
        <v>300000</v>
      </c>
      <c r="N98" s="390" t="s">
        <v>549</v>
      </c>
      <c r="O98" s="390" t="s">
        <v>552</v>
      </c>
      <c r="P98" s="541">
        <v>1</v>
      </c>
      <c r="Q98" s="472">
        <v>12</v>
      </c>
      <c r="R98" s="390" t="s">
        <v>550</v>
      </c>
      <c r="S98" s="508">
        <v>0.1</v>
      </c>
      <c r="T98" s="390"/>
      <c r="U98" s="390" t="s">
        <v>551</v>
      </c>
      <c r="V98" s="539"/>
      <c r="W98" s="130"/>
      <c r="X98" s="539">
        <f>M98*P98*Q98*S98</f>
        <v>360000</v>
      </c>
      <c r="Y98" s="131" t="s">
        <v>549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68"/>
      <c r="I99" s="283" t="s">
        <v>478</v>
      </c>
      <c r="J99" s="294"/>
      <c r="K99" s="293"/>
      <c r="L99" s="293"/>
      <c r="M99" s="466">
        <v>0</v>
      </c>
      <c r="N99" s="67" t="s">
        <v>345</v>
      </c>
      <c r="O99" s="67" t="s">
        <v>359</v>
      </c>
      <c r="P99" s="75">
        <v>0.1</v>
      </c>
      <c r="Q99" s="465"/>
      <c r="R99" s="67"/>
      <c r="S99" s="464"/>
      <c r="T99" s="67"/>
      <c r="U99" s="67" t="s">
        <v>358</v>
      </c>
      <c r="V99" s="293"/>
      <c r="W99" s="66"/>
      <c r="X99" s="293">
        <f>M99*P99</f>
        <v>0</v>
      </c>
      <c r="Y99" s="57" t="s">
        <v>345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68"/>
      <c r="I100" s="283" t="s">
        <v>750</v>
      </c>
      <c r="J100" s="664"/>
      <c r="K100" s="663"/>
      <c r="L100" s="663"/>
      <c r="M100" s="506">
        <v>70000</v>
      </c>
      <c r="N100" s="390" t="s">
        <v>745</v>
      </c>
      <c r="O100" s="390" t="s">
        <v>746</v>
      </c>
      <c r="P100" s="507">
        <v>1</v>
      </c>
      <c r="Q100" s="472">
        <v>180</v>
      </c>
      <c r="R100" s="390" t="s">
        <v>751</v>
      </c>
      <c r="S100" s="508">
        <v>0.1</v>
      </c>
      <c r="T100" s="390"/>
      <c r="U100" s="390" t="s">
        <v>749</v>
      </c>
      <c r="V100" s="663"/>
      <c r="W100" s="662"/>
      <c r="X100" s="663">
        <f>M100*P100*Q100*S100</f>
        <v>1260000</v>
      </c>
      <c r="Y100" s="131" t="s">
        <v>745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2"/>
      <c r="I101" s="359"/>
      <c r="J101" s="70"/>
      <c r="K101" s="471"/>
      <c r="L101" s="471"/>
      <c r="M101" s="222"/>
      <c r="N101" s="222"/>
      <c r="O101" s="470"/>
      <c r="P101" s="222"/>
      <c r="Q101" s="125"/>
      <c r="R101" s="469"/>
      <c r="S101" s="222"/>
      <c r="T101" s="199"/>
      <c r="U101" s="199"/>
      <c r="V101" s="468"/>
      <c r="W101" s="359"/>
      <c r="X101" s="70"/>
      <c r="Y101" s="71"/>
      <c r="Z101" s="6"/>
    </row>
    <row r="102" spans="1:26" s="11" customFormat="1" ht="19.5" customHeight="1">
      <c r="A102" s="60"/>
      <c r="B102" s="46"/>
      <c r="C102" s="46"/>
      <c r="D102" s="46" t="s">
        <v>477</v>
      </c>
      <c r="E102" s="48">
        <v>10778</v>
      </c>
      <c r="F102" s="235">
        <f>ROUND(X102/1000,0)</f>
        <v>9334</v>
      </c>
      <c r="G102" s="49">
        <f>F102-E102</f>
        <v>-1444</v>
      </c>
      <c r="H102" s="68">
        <f>IF(E102=0,0,G102/E102)</f>
        <v>-0.13397661903878272</v>
      </c>
      <c r="I102" s="69" t="s">
        <v>476</v>
      </c>
      <c r="J102" s="66"/>
      <c r="K102" s="208"/>
      <c r="L102" s="208"/>
      <c r="M102" s="293"/>
      <c r="N102" s="293"/>
      <c r="O102" s="206"/>
      <c r="P102" s="293"/>
      <c r="Q102" s="54"/>
      <c r="R102" s="467"/>
      <c r="S102" s="56"/>
      <c r="T102" s="449"/>
      <c r="U102" s="449"/>
      <c r="V102" s="222" t="s">
        <v>475</v>
      </c>
      <c r="W102" s="70"/>
      <c r="X102" s="222">
        <f>SUM(X103:X104)</f>
        <v>9334000</v>
      </c>
      <c r="Y102" s="71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68"/>
      <c r="I103" s="277"/>
      <c r="J103" s="66"/>
      <c r="K103" s="208"/>
      <c r="L103" s="208"/>
      <c r="M103" s="466">
        <v>0</v>
      </c>
      <c r="N103" s="67" t="s">
        <v>345</v>
      </c>
      <c r="O103" s="67" t="s">
        <v>359</v>
      </c>
      <c r="P103" s="75">
        <v>0.3</v>
      </c>
      <c r="Q103" s="465"/>
      <c r="R103" s="67"/>
      <c r="S103" s="464"/>
      <c r="T103" s="67"/>
      <c r="U103" s="67" t="s">
        <v>358</v>
      </c>
      <c r="V103" s="293"/>
      <c r="W103" s="66"/>
      <c r="X103" s="293">
        <f>ROUND(M103*P103,-3)</f>
        <v>0</v>
      </c>
      <c r="Y103" s="57" t="s">
        <v>345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68"/>
      <c r="I104" s="277" t="s">
        <v>474</v>
      </c>
      <c r="J104" s="66"/>
      <c r="K104" s="208"/>
      <c r="L104" s="208"/>
      <c r="M104" s="466">
        <v>18668000</v>
      </c>
      <c r="N104" s="67" t="s">
        <v>345</v>
      </c>
      <c r="O104" s="67" t="s">
        <v>359</v>
      </c>
      <c r="P104" s="75">
        <v>0.5</v>
      </c>
      <c r="Q104" s="465"/>
      <c r="R104" s="67"/>
      <c r="S104" s="464"/>
      <c r="T104" s="67"/>
      <c r="U104" s="67" t="s">
        <v>358</v>
      </c>
      <c r="V104" s="293"/>
      <c r="W104" s="66"/>
      <c r="X104" s="293">
        <f>ROUND(M104*P104,-3)</f>
        <v>9334000</v>
      </c>
      <c r="Y104" s="57" t="s">
        <v>345</v>
      </c>
      <c r="Z104" s="6"/>
    </row>
    <row r="105" spans="1:26" s="11" customFormat="1" ht="19.5" customHeight="1">
      <c r="A105" s="60"/>
      <c r="B105" s="80"/>
      <c r="C105" s="81"/>
      <c r="D105" s="59"/>
      <c r="E105" s="61"/>
      <c r="F105" s="61"/>
      <c r="G105" s="62"/>
      <c r="H105" s="82"/>
      <c r="I105" s="359"/>
      <c r="J105" s="222"/>
      <c r="K105" s="83"/>
      <c r="L105" s="83"/>
      <c r="M105" s="222"/>
      <c r="N105" s="222"/>
      <c r="O105" s="359"/>
      <c r="P105" s="222"/>
      <c r="Q105" s="222"/>
      <c r="R105" s="359"/>
      <c r="S105" s="359"/>
      <c r="T105" s="359"/>
      <c r="U105" s="359"/>
      <c r="V105" s="359"/>
      <c r="W105" s="359"/>
      <c r="X105" s="222"/>
      <c r="Y105" s="71"/>
      <c r="Z105" s="6"/>
    </row>
    <row r="106" spans="1:26" ht="21" customHeight="1">
      <c r="A106" s="45"/>
      <c r="B106" s="46"/>
      <c r="C106" s="46" t="s">
        <v>473</v>
      </c>
      <c r="D106" s="451" t="s">
        <v>353</v>
      </c>
      <c r="E106" s="217">
        <f>SUM(E107:E167)</f>
        <v>582651</v>
      </c>
      <c r="F106" s="217">
        <f>SUM(F107:F167)</f>
        <v>625337</v>
      </c>
      <c r="G106" s="218">
        <f>F106-E106</f>
        <v>42686</v>
      </c>
      <c r="H106" s="219">
        <f>IF(E106=0,0,G106/E106)</f>
        <v>7.3261695251531367E-2</v>
      </c>
      <c r="I106" s="202" t="s">
        <v>472</v>
      </c>
      <c r="J106" s="203"/>
      <c r="K106" s="204"/>
      <c r="L106" s="204"/>
      <c r="M106" s="204"/>
      <c r="N106" s="204"/>
      <c r="O106" s="204"/>
      <c r="P106" s="205"/>
      <c r="Q106" s="205"/>
      <c r="R106" s="205"/>
      <c r="S106" s="205"/>
      <c r="T106" s="205"/>
      <c r="U106" s="205"/>
      <c r="V106" s="232" t="s">
        <v>346</v>
      </c>
      <c r="W106" s="233"/>
      <c r="X106" s="234">
        <f>SUM(X107,X112,X127,X131,X139,X163)</f>
        <v>625337000</v>
      </c>
      <c r="Y106" s="265" t="s">
        <v>345</v>
      </c>
    </row>
    <row r="107" spans="1:26" ht="21" customHeight="1">
      <c r="A107" s="45"/>
      <c r="B107" s="46"/>
      <c r="C107" s="46" t="s">
        <v>471</v>
      </c>
      <c r="D107" s="36" t="s">
        <v>470</v>
      </c>
      <c r="E107" s="235">
        <v>2262</v>
      </c>
      <c r="F107" s="235">
        <f>ROUND(X107/1000,0)</f>
        <v>2262</v>
      </c>
      <c r="G107" s="271">
        <f>F107-E107</f>
        <v>0</v>
      </c>
      <c r="H107" s="181">
        <f>IF(E107=0,0,G107/E107)</f>
        <v>0</v>
      </c>
      <c r="I107" s="138" t="s">
        <v>469</v>
      </c>
      <c r="J107" s="157"/>
      <c r="K107" s="86"/>
      <c r="L107" s="86"/>
      <c r="M107" s="86"/>
      <c r="N107" s="244"/>
      <c r="O107" s="236"/>
      <c r="P107" s="86"/>
      <c r="Q107" s="237"/>
      <c r="R107" s="484"/>
      <c r="S107" s="483"/>
      <c r="T107" s="483"/>
      <c r="U107" s="244"/>
      <c r="V107" s="482" t="s">
        <v>438</v>
      </c>
      <c r="W107" s="140"/>
      <c r="X107" s="140">
        <f>SUM(X108:X110)</f>
        <v>2262000</v>
      </c>
      <c r="Y107" s="141" t="s">
        <v>345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68"/>
      <c r="I108" s="283" t="s">
        <v>468</v>
      </c>
      <c r="J108" s="294"/>
      <c r="K108" s="293"/>
      <c r="L108" s="293"/>
      <c r="M108" s="293">
        <f>M15</f>
        <v>252812</v>
      </c>
      <c r="N108" s="449" t="s">
        <v>25</v>
      </c>
      <c r="O108" s="206" t="s">
        <v>26</v>
      </c>
      <c r="P108" s="450">
        <v>24</v>
      </c>
      <c r="Q108" s="54" t="s">
        <v>138</v>
      </c>
      <c r="R108" s="207" t="s">
        <v>26</v>
      </c>
      <c r="S108" s="209">
        <v>12</v>
      </c>
      <c r="T108" s="209" t="s">
        <v>29</v>
      </c>
      <c r="U108" s="449" t="s">
        <v>26</v>
      </c>
      <c r="V108" s="481">
        <v>0.03</v>
      </c>
      <c r="W108" s="66" t="s">
        <v>27</v>
      </c>
      <c r="X108" s="66">
        <f>ROUND(M108*P108*S108*V108,-3)</f>
        <v>2184000</v>
      </c>
      <c r="Y108" s="57" t="s">
        <v>345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68"/>
      <c r="I109" s="283" t="s">
        <v>467</v>
      </c>
      <c r="J109" s="294"/>
      <c r="K109" s="293"/>
      <c r="L109" s="293"/>
      <c r="M109" s="293">
        <f>M16</f>
        <v>35394</v>
      </c>
      <c r="N109" s="449" t="s">
        <v>25</v>
      </c>
      <c r="O109" s="206" t="s">
        <v>26</v>
      </c>
      <c r="P109" s="450">
        <v>24</v>
      </c>
      <c r="Q109" s="54" t="s">
        <v>138</v>
      </c>
      <c r="R109" s="467" t="s">
        <v>26</v>
      </c>
      <c r="S109" s="209">
        <v>1</v>
      </c>
      <c r="T109" s="209" t="s">
        <v>465</v>
      </c>
      <c r="U109" s="449" t="s">
        <v>26</v>
      </c>
      <c r="V109" s="481">
        <v>0.03</v>
      </c>
      <c r="W109" s="66" t="s">
        <v>27</v>
      </c>
      <c r="X109" s="66">
        <f>ROUNDUP(M109*P109*S109*V109,-3)</f>
        <v>26000</v>
      </c>
      <c r="Y109" s="57" t="s">
        <v>345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68"/>
      <c r="I110" s="283" t="s">
        <v>466</v>
      </c>
      <c r="J110" s="66"/>
      <c r="K110" s="208"/>
      <c r="L110" s="208"/>
      <c r="M110" s="293">
        <f>M17</f>
        <v>36300</v>
      </c>
      <c r="N110" s="293" t="s">
        <v>25</v>
      </c>
      <c r="O110" s="206" t="s">
        <v>26</v>
      </c>
      <c r="P110" s="450">
        <v>24</v>
      </c>
      <c r="Q110" s="54" t="s">
        <v>138</v>
      </c>
      <c r="R110" s="467" t="s">
        <v>26</v>
      </c>
      <c r="S110" s="56">
        <v>2</v>
      </c>
      <c r="T110" s="449" t="s">
        <v>465</v>
      </c>
      <c r="U110" s="449" t="s">
        <v>26</v>
      </c>
      <c r="V110" s="481">
        <v>0.03</v>
      </c>
      <c r="W110" s="294" t="s">
        <v>27</v>
      </c>
      <c r="X110" s="66">
        <f>ROUND(M110*P110*S110*V110,-3)</f>
        <v>52000</v>
      </c>
      <c r="Y110" s="57" t="s">
        <v>345</v>
      </c>
    </row>
    <row r="111" spans="1:26" ht="21" customHeight="1">
      <c r="A111" s="45"/>
      <c r="B111" s="46"/>
      <c r="C111" s="46"/>
      <c r="D111" s="59"/>
      <c r="E111" s="61"/>
      <c r="F111" s="61"/>
      <c r="G111" s="62"/>
      <c r="H111" s="82"/>
      <c r="I111" s="69"/>
      <c r="J111" s="70"/>
      <c r="K111" s="471"/>
      <c r="L111" s="471"/>
      <c r="M111" s="222"/>
      <c r="N111" s="222"/>
      <c r="O111" s="470"/>
      <c r="P111" s="222"/>
      <c r="Q111" s="125"/>
      <c r="R111" s="469"/>
      <c r="S111" s="477"/>
      <c r="T111" s="199"/>
      <c r="U111" s="199"/>
      <c r="V111" s="468"/>
      <c r="W111" s="359"/>
      <c r="X111" s="70"/>
      <c r="Y111" s="71"/>
    </row>
    <row r="112" spans="1:26" ht="21" customHeight="1" thickBot="1">
      <c r="A112" s="45"/>
      <c r="B112" s="46"/>
      <c r="C112" s="46"/>
      <c r="D112" s="36" t="s">
        <v>464</v>
      </c>
      <c r="E112" s="37">
        <v>415222</v>
      </c>
      <c r="F112" s="235">
        <f>ROUND(X112/1000,0)</f>
        <v>451328</v>
      </c>
      <c r="G112" s="38">
        <f>F112-E112</f>
        <v>36106</v>
      </c>
      <c r="H112" s="115">
        <f>IF(E112=0,0,G112/E112)</f>
        <v>8.6955893473852547E-2</v>
      </c>
      <c r="I112" s="241" t="s">
        <v>543</v>
      </c>
      <c r="J112" s="240"/>
      <c r="K112" s="245"/>
      <c r="L112" s="245"/>
      <c r="M112" s="86"/>
      <c r="N112" s="86"/>
      <c r="O112" s="236"/>
      <c r="P112" s="86"/>
      <c r="Q112" s="237"/>
      <c r="R112" s="238"/>
      <c r="S112" s="239"/>
      <c r="T112" s="244"/>
      <c r="U112" s="244"/>
      <c r="V112" s="242" t="s">
        <v>438</v>
      </c>
      <c r="W112" s="243"/>
      <c r="X112" s="243">
        <f>SUM(X113,X114,X118,X120)</f>
        <v>451328000</v>
      </c>
      <c r="Y112" s="266" t="s">
        <v>345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68"/>
      <c r="I113" s="284" t="s">
        <v>463</v>
      </c>
      <c r="J113" s="294"/>
      <c r="K113" s="293"/>
      <c r="L113" s="293"/>
      <c r="M113" s="293">
        <f>M20</f>
        <v>1127048000</v>
      </c>
      <c r="N113" s="293" t="s">
        <v>345</v>
      </c>
      <c r="O113" s="72" t="s">
        <v>359</v>
      </c>
      <c r="P113" s="480">
        <v>0.255</v>
      </c>
      <c r="Q113" s="293"/>
      <c r="R113" s="293"/>
      <c r="S113" s="293"/>
      <c r="T113" s="293"/>
      <c r="U113" s="293" t="s">
        <v>358</v>
      </c>
      <c r="V113" s="222" t="s">
        <v>346</v>
      </c>
      <c r="W113" s="70"/>
      <c r="X113" s="222">
        <f>ROUND(M113*P113,-3)</f>
        <v>287397000</v>
      </c>
      <c r="Y113" s="71" t="s">
        <v>25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68"/>
      <c r="I114" s="285" t="s">
        <v>462</v>
      </c>
      <c r="J114" s="294"/>
      <c r="K114" s="293"/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  <c r="V114" s="139" t="s">
        <v>346</v>
      </c>
      <c r="W114" s="140"/>
      <c r="X114" s="139">
        <f>SUM(X115:X117)</f>
        <v>94821000</v>
      </c>
      <c r="Y114" s="141" t="s">
        <v>25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68"/>
      <c r="I115" s="283" t="s">
        <v>429</v>
      </c>
      <c r="J115" s="294"/>
      <c r="K115" s="293"/>
      <c r="L115" s="293"/>
      <c r="M115" s="293">
        <f>M22</f>
        <v>110350000</v>
      </c>
      <c r="N115" s="293" t="s">
        <v>345</v>
      </c>
      <c r="O115" s="72" t="s">
        <v>359</v>
      </c>
      <c r="P115" s="480">
        <v>0.255</v>
      </c>
      <c r="Q115" s="293"/>
      <c r="R115" s="293"/>
      <c r="S115" s="293"/>
      <c r="T115" s="293"/>
      <c r="U115" s="293" t="s">
        <v>358</v>
      </c>
      <c r="V115" s="721"/>
      <c r="W115" s="721"/>
      <c r="X115" s="240">
        <f>ROUND(M115*P115,-3)</f>
        <v>28139000</v>
      </c>
      <c r="Y115" s="475" t="s">
        <v>345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68"/>
      <c r="I116" s="283" t="s">
        <v>428</v>
      </c>
      <c r="J116" s="294"/>
      <c r="K116" s="293"/>
      <c r="L116" s="293"/>
      <c r="M116" s="293">
        <f>M23</f>
        <v>13440000</v>
      </c>
      <c r="N116" s="293" t="s">
        <v>345</v>
      </c>
      <c r="O116" s="72" t="s">
        <v>359</v>
      </c>
      <c r="P116" s="480">
        <v>0.255</v>
      </c>
      <c r="Q116" s="293"/>
      <c r="R116" s="293"/>
      <c r="S116" s="293"/>
      <c r="T116" s="293"/>
      <c r="U116" s="293" t="s">
        <v>358</v>
      </c>
      <c r="V116" s="720"/>
      <c r="W116" s="720"/>
      <c r="X116" s="66">
        <f>ROUND(M116*P116,-3)</f>
        <v>3427000</v>
      </c>
      <c r="Y116" s="57" t="s">
        <v>345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68"/>
      <c r="I117" s="283" t="s">
        <v>427</v>
      </c>
      <c r="J117" s="294"/>
      <c r="K117" s="293"/>
      <c r="L117" s="293"/>
      <c r="M117" s="293">
        <f>M24</f>
        <v>248060000</v>
      </c>
      <c r="N117" s="293" t="s">
        <v>345</v>
      </c>
      <c r="O117" s="72" t="s">
        <v>359</v>
      </c>
      <c r="P117" s="480">
        <v>0.255</v>
      </c>
      <c r="Q117" s="293"/>
      <c r="R117" s="293"/>
      <c r="S117" s="293"/>
      <c r="T117" s="293"/>
      <c r="U117" s="293" t="s">
        <v>358</v>
      </c>
      <c r="V117" s="720"/>
      <c r="W117" s="720"/>
      <c r="X117" s="66">
        <f>ROUND(M117*P117,-3)</f>
        <v>63255000</v>
      </c>
      <c r="Y117" s="57" t="s">
        <v>345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68"/>
      <c r="I118" s="284" t="s">
        <v>461</v>
      </c>
      <c r="J118" s="294"/>
      <c r="K118" s="293"/>
      <c r="L118" s="293"/>
      <c r="M118" s="293"/>
      <c r="N118" s="293"/>
      <c r="O118" s="293"/>
      <c r="P118" s="293"/>
      <c r="Q118" s="293"/>
      <c r="R118" s="293"/>
      <c r="S118" s="293"/>
      <c r="T118" s="293"/>
      <c r="U118" s="293"/>
      <c r="V118" s="222" t="s">
        <v>346</v>
      </c>
      <c r="W118" s="70"/>
      <c r="X118" s="222">
        <f>X119</f>
        <v>31852000</v>
      </c>
      <c r="Y118" s="71" t="s">
        <v>25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68"/>
      <c r="I119" s="283" t="s">
        <v>544</v>
      </c>
      <c r="J119" s="294"/>
      <c r="K119" s="293"/>
      <c r="L119" s="293"/>
      <c r="M119" s="293">
        <f>SUM(M113:M117)</f>
        <v>1498898000</v>
      </c>
      <c r="N119" s="54" t="s">
        <v>345</v>
      </c>
      <c r="O119" s="449" t="s">
        <v>366</v>
      </c>
      <c r="P119" s="474">
        <v>12</v>
      </c>
      <c r="Q119" s="206" t="s">
        <v>365</v>
      </c>
      <c r="R119" s="72" t="s">
        <v>359</v>
      </c>
      <c r="S119" s="480">
        <v>0.255</v>
      </c>
      <c r="T119" s="293"/>
      <c r="U119" s="293" t="s">
        <v>358</v>
      </c>
      <c r="V119" s="86"/>
      <c r="W119" s="86"/>
      <c r="X119" s="240">
        <f>ROUND(M119/P119*S119,-3)</f>
        <v>31852000</v>
      </c>
      <c r="Y119" s="473" t="s">
        <v>345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68"/>
      <c r="I120" s="284" t="s">
        <v>460</v>
      </c>
      <c r="J120" s="294"/>
      <c r="K120" s="293"/>
      <c r="L120" s="293"/>
      <c r="M120" s="293"/>
      <c r="N120" s="54"/>
      <c r="O120" s="293"/>
      <c r="P120" s="293"/>
      <c r="Q120" s="293"/>
      <c r="R120" s="293"/>
      <c r="S120" s="293"/>
      <c r="T120" s="293"/>
      <c r="U120" s="293"/>
      <c r="V120" s="222" t="s">
        <v>346</v>
      </c>
      <c r="W120" s="70"/>
      <c r="X120" s="222">
        <f>SUM(X121:X125)</f>
        <v>37258000</v>
      </c>
      <c r="Y120" s="71" t="s">
        <v>25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68"/>
      <c r="I121" s="283" t="s">
        <v>459</v>
      </c>
      <c r="J121" s="294"/>
      <c r="K121" s="293"/>
      <c r="L121" s="293"/>
      <c r="M121" s="293">
        <f>M119</f>
        <v>1498898000</v>
      </c>
      <c r="N121" s="54" t="s">
        <v>345</v>
      </c>
      <c r="O121" s="72" t="s">
        <v>359</v>
      </c>
      <c r="P121" s="463">
        <v>0.09</v>
      </c>
      <c r="Q121" s="449">
        <v>2</v>
      </c>
      <c r="R121" s="72" t="s">
        <v>359</v>
      </c>
      <c r="S121" s="480">
        <v>0.255</v>
      </c>
      <c r="T121" s="74"/>
      <c r="U121" s="449" t="s">
        <v>358</v>
      </c>
      <c r="V121" s="293"/>
      <c r="W121" s="66"/>
      <c r="X121" s="66">
        <f>ROUND(M121*P121/Q121*S121,-3)</f>
        <v>17200000</v>
      </c>
      <c r="Y121" s="57" t="s">
        <v>345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68"/>
      <c r="I122" s="283" t="s">
        <v>458</v>
      </c>
      <c r="J122" s="294"/>
      <c r="K122" s="293"/>
      <c r="L122" s="293"/>
      <c r="M122" s="293">
        <f>M119</f>
        <v>1498898000</v>
      </c>
      <c r="N122" s="54" t="s">
        <v>345</v>
      </c>
      <c r="O122" s="72" t="s">
        <v>359</v>
      </c>
      <c r="P122" s="462">
        <v>6.4600000000000005E-2</v>
      </c>
      <c r="Q122" s="449">
        <v>2</v>
      </c>
      <c r="R122" s="72" t="s">
        <v>359</v>
      </c>
      <c r="S122" s="480">
        <v>0.255</v>
      </c>
      <c r="T122" s="74"/>
      <c r="U122" s="449" t="s">
        <v>358</v>
      </c>
      <c r="V122" s="293"/>
      <c r="W122" s="66"/>
      <c r="X122" s="66">
        <f>ROUNDDOWN(M122*P122/Q122*S122,-3)</f>
        <v>12345000</v>
      </c>
      <c r="Y122" s="57" t="s">
        <v>345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68"/>
      <c r="I123" s="283" t="s">
        <v>457</v>
      </c>
      <c r="J123" s="294"/>
      <c r="K123" s="293"/>
      <c r="L123" s="293"/>
      <c r="M123" s="293">
        <f>X122</f>
        <v>12345000</v>
      </c>
      <c r="N123" s="54" t="s">
        <v>345</v>
      </c>
      <c r="O123" s="72" t="s">
        <v>359</v>
      </c>
      <c r="P123" s="76">
        <v>8.5099999999999995E-2</v>
      </c>
      <c r="Q123" s="461"/>
      <c r="R123" s="72"/>
      <c r="S123" s="75"/>
      <c r="T123" s="460"/>
      <c r="U123" s="449" t="s">
        <v>358</v>
      </c>
      <c r="V123" s="293"/>
      <c r="W123" s="66"/>
      <c r="X123" s="66">
        <f>ROUND(M123*P123,-3)</f>
        <v>1051000</v>
      </c>
      <c r="Y123" s="57" t="s">
        <v>345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68"/>
      <c r="I124" s="283" t="s">
        <v>456</v>
      </c>
      <c r="J124" s="294"/>
      <c r="K124" s="293"/>
      <c r="L124" s="293"/>
      <c r="M124" s="293">
        <f>M119</f>
        <v>1498898000</v>
      </c>
      <c r="N124" s="54" t="s">
        <v>345</v>
      </c>
      <c r="O124" s="72" t="s">
        <v>359</v>
      </c>
      <c r="P124" s="76">
        <v>1.0500000000000001E-2</v>
      </c>
      <c r="Q124" s="72"/>
      <c r="R124" s="72" t="s">
        <v>359</v>
      </c>
      <c r="S124" s="480">
        <v>0.255</v>
      </c>
      <c r="T124" s="74"/>
      <c r="U124" s="449" t="s">
        <v>358</v>
      </c>
      <c r="V124" s="293"/>
      <c r="W124" s="66"/>
      <c r="X124" s="66">
        <f>ROUNDDOWN(M124*P124*S124,-3)</f>
        <v>4013000</v>
      </c>
      <c r="Y124" s="57" t="s">
        <v>345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68"/>
      <c r="I125" s="283" t="s">
        <v>455</v>
      </c>
      <c r="J125" s="294"/>
      <c r="K125" s="293"/>
      <c r="L125" s="293"/>
      <c r="M125" s="293">
        <f>M119</f>
        <v>1498898000</v>
      </c>
      <c r="N125" s="54" t="s">
        <v>345</v>
      </c>
      <c r="O125" s="72" t="s">
        <v>359</v>
      </c>
      <c r="P125" s="459">
        <v>6.9300000000000004E-3</v>
      </c>
      <c r="Q125" s="72"/>
      <c r="R125" s="72" t="s">
        <v>359</v>
      </c>
      <c r="S125" s="480">
        <v>0.255</v>
      </c>
      <c r="T125" s="74"/>
      <c r="U125" s="449" t="s">
        <v>358</v>
      </c>
      <c r="V125" s="293"/>
      <c r="W125" s="66"/>
      <c r="X125" s="66">
        <f>ROUNDUP(M125*P125*S125,-3)</f>
        <v>2649000</v>
      </c>
      <c r="Y125" s="57" t="s">
        <v>345</v>
      </c>
      <c r="Z125" s="1"/>
    </row>
    <row r="126" spans="1:26" ht="21" customHeight="1">
      <c r="A126" s="45"/>
      <c r="B126" s="46"/>
      <c r="C126" s="46"/>
      <c r="D126" s="59"/>
      <c r="E126" s="61"/>
      <c r="F126" s="61"/>
      <c r="G126" s="62"/>
      <c r="H126" s="82"/>
      <c r="I126" s="69"/>
      <c r="J126" s="70"/>
      <c r="K126" s="471"/>
      <c r="L126" s="471"/>
      <c r="M126" s="222"/>
      <c r="N126" s="222"/>
      <c r="O126" s="470"/>
      <c r="P126" s="222"/>
      <c r="Q126" s="125"/>
      <c r="R126" s="469"/>
      <c r="S126" s="477"/>
      <c r="T126" s="199"/>
      <c r="U126" s="199"/>
      <c r="V126" s="468"/>
      <c r="W126" s="359"/>
      <c r="X126" s="70"/>
      <c r="Y126" s="71"/>
      <c r="Z126" s="1"/>
    </row>
    <row r="127" spans="1:26" ht="21" customHeight="1" thickBot="1">
      <c r="A127" s="45"/>
      <c r="B127" s="46"/>
      <c r="C127" s="46"/>
      <c r="D127" s="36" t="s">
        <v>454</v>
      </c>
      <c r="E127" s="37">
        <v>20882</v>
      </c>
      <c r="F127" s="235">
        <f>ROUND(X127/1000,0)</f>
        <v>21746</v>
      </c>
      <c r="G127" s="38">
        <f>F127-E127</f>
        <v>864</v>
      </c>
      <c r="H127" s="115">
        <f>IF(E127=0,0,G127/E127)</f>
        <v>4.1375347188966571E-2</v>
      </c>
      <c r="I127" s="241" t="s">
        <v>453</v>
      </c>
      <c r="J127" s="240"/>
      <c r="K127" s="245"/>
      <c r="L127" s="245"/>
      <c r="M127" s="86"/>
      <c r="N127" s="86"/>
      <c r="O127" s="236"/>
      <c r="P127" s="86"/>
      <c r="Q127" s="237"/>
      <c r="R127" s="238"/>
      <c r="S127" s="239"/>
      <c r="T127" s="244"/>
      <c r="U127" s="244"/>
      <c r="V127" s="242" t="s">
        <v>438</v>
      </c>
      <c r="W127" s="243"/>
      <c r="X127" s="243">
        <f>SUM(X128:X129)</f>
        <v>21746000</v>
      </c>
      <c r="Y127" s="266" t="s">
        <v>345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68"/>
      <c r="I128" s="294" t="s">
        <v>452</v>
      </c>
      <c r="J128" s="66"/>
      <c r="K128" s="208"/>
      <c r="L128" s="208"/>
      <c r="M128" s="275">
        <f>M64</f>
        <v>2377000</v>
      </c>
      <c r="N128" s="275" t="s">
        <v>25</v>
      </c>
      <c r="O128" s="361" t="s">
        <v>26</v>
      </c>
      <c r="P128" s="362">
        <v>30</v>
      </c>
      <c r="Q128" s="363" t="s">
        <v>360</v>
      </c>
      <c r="R128" s="331" t="s">
        <v>359</v>
      </c>
      <c r="S128" s="364">
        <v>0.255</v>
      </c>
      <c r="T128" s="336"/>
      <c r="U128" s="334" t="s">
        <v>358</v>
      </c>
      <c r="V128" s="720"/>
      <c r="W128" s="720"/>
      <c r="X128" s="66">
        <f>ROUND(M128*P128*S128,-3)</f>
        <v>18184000</v>
      </c>
      <c r="Y128" s="57" t="s">
        <v>345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68"/>
      <c r="I129" s="294" t="s">
        <v>451</v>
      </c>
      <c r="J129" s="66"/>
      <c r="K129" s="208"/>
      <c r="L129" s="208"/>
      <c r="M129" s="275">
        <f>M65</f>
        <v>635000</v>
      </c>
      <c r="N129" s="275" t="s">
        <v>25</v>
      </c>
      <c r="O129" s="361" t="s">
        <v>26</v>
      </c>
      <c r="P129" s="362">
        <v>22</v>
      </c>
      <c r="Q129" s="363" t="s">
        <v>360</v>
      </c>
      <c r="R129" s="331" t="s">
        <v>359</v>
      </c>
      <c r="S129" s="364">
        <v>0.255</v>
      </c>
      <c r="T129" s="336"/>
      <c r="U129" s="334" t="s">
        <v>358</v>
      </c>
      <c r="V129" s="720"/>
      <c r="W129" s="720"/>
      <c r="X129" s="66">
        <f>ROUND(M129*P129*S129,-3)</f>
        <v>3562000</v>
      </c>
      <c r="Y129" s="57" t="s">
        <v>345</v>
      </c>
      <c r="Z129" s="1"/>
    </row>
    <row r="130" spans="1:26" ht="21" customHeight="1">
      <c r="A130" s="45"/>
      <c r="B130" s="46"/>
      <c r="C130" s="46"/>
      <c r="D130" s="59"/>
      <c r="E130" s="61"/>
      <c r="F130" s="61"/>
      <c r="G130" s="62"/>
      <c r="H130" s="82"/>
      <c r="I130" s="69"/>
      <c r="J130" s="70"/>
      <c r="K130" s="471"/>
      <c r="L130" s="471"/>
      <c r="M130" s="222"/>
      <c r="N130" s="222"/>
      <c r="O130" s="470"/>
      <c r="P130" s="222"/>
      <c r="Q130" s="125"/>
      <c r="R130" s="469"/>
      <c r="S130" s="477"/>
      <c r="T130" s="199"/>
      <c r="U130" s="199"/>
      <c r="V130" s="468"/>
      <c r="W130" s="359"/>
      <c r="X130" s="70"/>
      <c r="Y130" s="71"/>
      <c r="Z130" s="1"/>
    </row>
    <row r="131" spans="1:26" ht="21" customHeight="1" thickBot="1">
      <c r="A131" s="45"/>
      <c r="B131" s="46"/>
      <c r="C131" s="46"/>
      <c r="D131" s="36" t="s">
        <v>450</v>
      </c>
      <c r="E131" s="37">
        <v>14942</v>
      </c>
      <c r="F131" s="235">
        <f>ROUND(X131/1000,0)</f>
        <v>14942</v>
      </c>
      <c r="G131" s="38">
        <f>F131-E131</f>
        <v>0</v>
      </c>
      <c r="H131" s="115">
        <f>IF(E131=0,0,G131/E131)</f>
        <v>0</v>
      </c>
      <c r="I131" s="241" t="s">
        <v>449</v>
      </c>
      <c r="J131" s="240"/>
      <c r="K131" s="245"/>
      <c r="L131" s="245"/>
      <c r="M131" s="86"/>
      <c r="N131" s="86"/>
      <c r="O131" s="236"/>
      <c r="P131" s="86"/>
      <c r="Q131" s="237"/>
      <c r="R131" s="238"/>
      <c r="S131" s="239"/>
      <c r="T131" s="244"/>
      <c r="U131" s="244"/>
      <c r="V131" s="242" t="s">
        <v>438</v>
      </c>
      <c r="W131" s="243"/>
      <c r="X131" s="243">
        <f>SUM(X132:X137)</f>
        <v>14942000</v>
      </c>
      <c r="Y131" s="266" t="s">
        <v>345</v>
      </c>
      <c r="Z131" s="1"/>
    </row>
    <row r="132" spans="1:26" ht="21" customHeight="1">
      <c r="A132" s="45"/>
      <c r="B132" s="46"/>
      <c r="C132" s="46"/>
      <c r="D132" s="46" t="s">
        <v>448</v>
      </c>
      <c r="E132" s="48"/>
      <c r="F132" s="48"/>
      <c r="G132" s="49"/>
      <c r="H132" s="68"/>
      <c r="I132" s="65" t="s">
        <v>447</v>
      </c>
      <c r="J132" s="294"/>
      <c r="K132" s="293"/>
      <c r="L132" s="293"/>
      <c r="M132" s="293">
        <v>500</v>
      </c>
      <c r="N132" s="293" t="s">
        <v>345</v>
      </c>
      <c r="O132" s="294" t="s">
        <v>359</v>
      </c>
      <c r="P132" s="479">
        <v>52</v>
      </c>
      <c r="Q132" s="465">
        <v>365</v>
      </c>
      <c r="R132" s="293" t="s">
        <v>446</v>
      </c>
      <c r="S132" s="478">
        <v>0.7</v>
      </c>
      <c r="T132" s="293"/>
      <c r="U132" s="293" t="s">
        <v>358</v>
      </c>
      <c r="V132" s="293"/>
      <c r="W132" s="66"/>
      <c r="X132" s="66">
        <f>ROUNDUP(M132*P132*Q132*S132,-3)</f>
        <v>6643000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68"/>
      <c r="I133" s="65" t="s">
        <v>445</v>
      </c>
      <c r="J133" s="294"/>
      <c r="K133" s="293"/>
      <c r="L133" s="293"/>
      <c r="M133" s="293">
        <v>5000</v>
      </c>
      <c r="N133" s="293" t="s">
        <v>345</v>
      </c>
      <c r="O133" s="294" t="s">
        <v>359</v>
      </c>
      <c r="P133" s="479">
        <v>52</v>
      </c>
      <c r="Q133" s="465">
        <v>12</v>
      </c>
      <c r="R133" s="293" t="s">
        <v>365</v>
      </c>
      <c r="S133" s="478">
        <v>0.7</v>
      </c>
      <c r="T133" s="293"/>
      <c r="U133" s="293" t="s">
        <v>358</v>
      </c>
      <c r="V133" s="293"/>
      <c r="W133" s="66"/>
      <c r="X133" s="66">
        <f>ROUND(M133*P133*Q133*S133,-3)</f>
        <v>2184000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68"/>
      <c r="I134" s="65" t="s">
        <v>444</v>
      </c>
      <c r="J134" s="294"/>
      <c r="K134" s="293"/>
      <c r="L134" s="293"/>
      <c r="M134" s="293">
        <v>20000</v>
      </c>
      <c r="N134" s="293" t="s">
        <v>345</v>
      </c>
      <c r="O134" s="294" t="s">
        <v>359</v>
      </c>
      <c r="P134" s="479">
        <v>52</v>
      </c>
      <c r="Q134" s="465">
        <v>4</v>
      </c>
      <c r="R134" s="293" t="s">
        <v>361</v>
      </c>
      <c r="S134" s="478">
        <v>0.7</v>
      </c>
      <c r="T134" s="293"/>
      <c r="U134" s="293" t="s">
        <v>358</v>
      </c>
      <c r="V134" s="293"/>
      <c r="W134" s="66"/>
      <c r="X134" s="66">
        <f>ROUND(M134*P134*Q134*S134,-3)</f>
        <v>2912000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68"/>
      <c r="I135" s="65" t="s">
        <v>443</v>
      </c>
      <c r="J135" s="294"/>
      <c r="K135" s="293"/>
      <c r="L135" s="293"/>
      <c r="M135" s="293">
        <v>12000</v>
      </c>
      <c r="N135" s="293" t="s">
        <v>345</v>
      </c>
      <c r="O135" s="294" t="s">
        <v>359</v>
      </c>
      <c r="P135" s="479">
        <v>52</v>
      </c>
      <c r="Q135" s="465">
        <v>4</v>
      </c>
      <c r="R135" s="293" t="s">
        <v>361</v>
      </c>
      <c r="S135" s="478">
        <v>0.7</v>
      </c>
      <c r="T135" s="293"/>
      <c r="U135" s="293" t="s">
        <v>358</v>
      </c>
      <c r="V135" s="293"/>
      <c r="W135" s="66"/>
      <c r="X135" s="66">
        <f>ROUND(M135*P135*Q135*S135,-3)</f>
        <v>1747000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68"/>
      <c r="I136" s="65" t="s">
        <v>442</v>
      </c>
      <c r="J136" s="294"/>
      <c r="K136" s="293"/>
      <c r="L136" s="293"/>
      <c r="M136" s="293"/>
      <c r="N136" s="293"/>
      <c r="O136" s="294"/>
      <c r="P136" s="479"/>
      <c r="Q136" s="465"/>
      <c r="R136" s="293"/>
      <c r="S136" s="293"/>
      <c r="T136" s="293"/>
      <c r="U136" s="293"/>
      <c r="V136" s="293"/>
      <c r="W136" s="66"/>
      <c r="X136" s="66"/>
      <c r="Y136" s="57"/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68"/>
      <c r="I137" s="65" t="s">
        <v>441</v>
      </c>
      <c r="J137" s="294"/>
      <c r="K137" s="293"/>
      <c r="L137" s="293"/>
      <c r="M137" s="293">
        <v>40000</v>
      </c>
      <c r="N137" s="293" t="s">
        <v>345</v>
      </c>
      <c r="O137" s="294" t="s">
        <v>359</v>
      </c>
      <c r="P137" s="479">
        <v>52</v>
      </c>
      <c r="Q137" s="465">
        <v>1</v>
      </c>
      <c r="R137" s="293" t="s">
        <v>361</v>
      </c>
      <c r="S137" s="478">
        <v>0.7</v>
      </c>
      <c r="T137" s="293"/>
      <c r="U137" s="293" t="s">
        <v>358</v>
      </c>
      <c r="V137" s="293"/>
      <c r="W137" s="66"/>
      <c r="X137" s="66">
        <f>ROUNDUP(M137*P137*Q137*S137,-3)</f>
        <v>1456000</v>
      </c>
      <c r="Y137" s="57" t="s">
        <v>25</v>
      </c>
      <c r="Z137" s="1"/>
    </row>
    <row r="138" spans="1:26" ht="21" customHeight="1">
      <c r="A138" s="45"/>
      <c r="B138" s="46"/>
      <c r="C138" s="46"/>
      <c r="D138" s="59"/>
      <c r="E138" s="61"/>
      <c r="F138" s="61"/>
      <c r="G138" s="62"/>
      <c r="H138" s="82"/>
      <c r="I138" s="69"/>
      <c r="J138" s="70"/>
      <c r="K138" s="471"/>
      <c r="L138" s="471"/>
      <c r="M138" s="222"/>
      <c r="N138" s="222"/>
      <c r="O138" s="470"/>
      <c r="P138" s="222"/>
      <c r="Q138" s="125"/>
      <c r="R138" s="469"/>
      <c r="S138" s="477"/>
      <c r="T138" s="199"/>
      <c r="U138" s="199"/>
      <c r="V138" s="468"/>
      <c r="W138" s="359"/>
      <c r="X138" s="70"/>
      <c r="Y138" s="71"/>
      <c r="Z138" s="1"/>
    </row>
    <row r="139" spans="1:26" ht="21" customHeight="1" thickBot="1">
      <c r="A139" s="45"/>
      <c r="B139" s="46"/>
      <c r="C139" s="46"/>
      <c r="D139" s="36" t="s">
        <v>440</v>
      </c>
      <c r="E139" s="37">
        <v>108135</v>
      </c>
      <c r="F139" s="235">
        <f>ROUND(X139/1000,0)</f>
        <v>116701</v>
      </c>
      <c r="G139" s="38">
        <f>F139-E139</f>
        <v>8566</v>
      </c>
      <c r="H139" s="115">
        <f>IF(E139=0,0,G139/E139)</f>
        <v>7.9215795070976092E-2</v>
      </c>
      <c r="I139" s="241" t="s">
        <v>439</v>
      </c>
      <c r="J139" s="240"/>
      <c r="K139" s="245"/>
      <c r="L139" s="245"/>
      <c r="M139" s="86"/>
      <c r="N139" s="86"/>
      <c r="O139" s="236"/>
      <c r="P139" s="86"/>
      <c r="Q139" s="237"/>
      <c r="R139" s="238"/>
      <c r="S139" s="239"/>
      <c r="T139" s="244"/>
      <c r="U139" s="244"/>
      <c r="V139" s="242" t="s">
        <v>438</v>
      </c>
      <c r="W139" s="243"/>
      <c r="X139" s="243">
        <f>X140+X158</f>
        <v>116701000</v>
      </c>
      <c r="Y139" s="266" t="s">
        <v>345</v>
      </c>
      <c r="Z139" s="1"/>
    </row>
    <row r="140" spans="1:26" ht="21" customHeight="1">
      <c r="A140" s="45"/>
      <c r="B140" s="46"/>
      <c r="C140" s="46"/>
      <c r="D140" s="46" t="s">
        <v>437</v>
      </c>
      <c r="E140" s="48"/>
      <c r="F140" s="48"/>
      <c r="G140" s="49"/>
      <c r="H140" s="68"/>
      <c r="I140" s="476" t="s">
        <v>436</v>
      </c>
      <c r="J140" s="66"/>
      <c r="K140" s="208"/>
      <c r="L140" s="208"/>
      <c r="M140" s="293"/>
      <c r="N140" s="293"/>
      <c r="O140" s="206"/>
      <c r="P140" s="293"/>
      <c r="Q140" s="54"/>
      <c r="R140" s="467"/>
      <c r="S140" s="56"/>
      <c r="T140" s="449"/>
      <c r="U140" s="449"/>
      <c r="V140" s="222" t="s">
        <v>435</v>
      </c>
      <c r="W140" s="70"/>
      <c r="X140" s="222">
        <f>SUM(X141,X145,X149,X151)</f>
        <v>102121000</v>
      </c>
      <c r="Y140" s="71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68"/>
      <c r="I141" s="69" t="s">
        <v>434</v>
      </c>
      <c r="J141" s="294"/>
      <c r="K141" s="293"/>
      <c r="L141" s="293"/>
      <c r="M141" s="293"/>
      <c r="N141" s="293"/>
      <c r="O141" s="72"/>
      <c r="P141" s="75"/>
      <c r="Q141" s="293"/>
      <c r="R141" s="293"/>
      <c r="S141" s="293"/>
      <c r="T141" s="293"/>
      <c r="U141" s="293"/>
      <c r="V141" s="222" t="s">
        <v>346</v>
      </c>
      <c r="W141" s="70"/>
      <c r="X141" s="222">
        <f>SUM(X142:X144)</f>
        <v>63954000</v>
      </c>
      <c r="Y141" s="71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68"/>
      <c r="I142" s="286" t="s">
        <v>433</v>
      </c>
      <c r="J142" s="294"/>
      <c r="K142" s="293"/>
      <c r="L142" s="293"/>
      <c r="M142" s="293">
        <f>M81</f>
        <v>23319000</v>
      </c>
      <c r="N142" s="293" t="s">
        <v>345</v>
      </c>
      <c r="O142" s="72" t="s">
        <v>359</v>
      </c>
      <c r="P142" s="75">
        <v>0.9</v>
      </c>
      <c r="Q142" s="293"/>
      <c r="R142" s="293"/>
      <c r="S142" s="293"/>
      <c r="T142" s="293"/>
      <c r="U142" s="293" t="s">
        <v>358</v>
      </c>
      <c r="V142" s="86"/>
      <c r="W142" s="240"/>
      <c r="X142" s="86">
        <f>ROUNDDOWN(M142*P142,-3)</f>
        <v>20987000</v>
      </c>
      <c r="Y142" s="475" t="s">
        <v>345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68"/>
      <c r="I143" s="283" t="s">
        <v>432</v>
      </c>
      <c r="J143" s="294"/>
      <c r="K143" s="293"/>
      <c r="L143" s="293"/>
      <c r="M143" s="293">
        <f>M82</f>
        <v>25371000</v>
      </c>
      <c r="N143" s="293" t="s">
        <v>345</v>
      </c>
      <c r="O143" s="72" t="s">
        <v>359</v>
      </c>
      <c r="P143" s="75">
        <v>0.9</v>
      </c>
      <c r="Q143" s="293"/>
      <c r="R143" s="293"/>
      <c r="S143" s="293"/>
      <c r="T143" s="293"/>
      <c r="U143" s="293" t="s">
        <v>358</v>
      </c>
      <c r="V143" s="293"/>
      <c r="W143" s="66"/>
      <c r="X143" s="293">
        <f>ROUND(M143*P143,-3)</f>
        <v>22834000</v>
      </c>
      <c r="Y143" s="57" t="s">
        <v>345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68"/>
      <c r="I144" s="283" t="s">
        <v>431</v>
      </c>
      <c r="J144" s="294"/>
      <c r="K144" s="293"/>
      <c r="L144" s="293"/>
      <c r="M144" s="293">
        <f>M83</f>
        <v>22370000</v>
      </c>
      <c r="N144" s="293" t="s">
        <v>345</v>
      </c>
      <c r="O144" s="72" t="s">
        <v>359</v>
      </c>
      <c r="P144" s="75">
        <v>0.9</v>
      </c>
      <c r="Q144" s="293"/>
      <c r="R144" s="293"/>
      <c r="S144" s="293"/>
      <c r="T144" s="293"/>
      <c r="U144" s="293" t="s">
        <v>358</v>
      </c>
      <c r="V144" s="293"/>
      <c r="W144" s="66"/>
      <c r="X144" s="293">
        <f>ROUNDUP(M144*P144,-3)</f>
        <v>20133000</v>
      </c>
      <c r="Y144" s="57" t="s">
        <v>345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68"/>
      <c r="I145" s="69" t="s">
        <v>430</v>
      </c>
      <c r="J145" s="294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22" t="s">
        <v>346</v>
      </c>
      <c r="W145" s="70"/>
      <c r="X145" s="222">
        <f>SUM(X146:X148)</f>
        <v>22528000</v>
      </c>
      <c r="Y145" s="71" t="s">
        <v>25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68"/>
      <c r="I146" s="283" t="s">
        <v>429</v>
      </c>
      <c r="J146" s="294"/>
      <c r="K146" s="293"/>
      <c r="L146" s="293"/>
      <c r="M146" s="293">
        <f>M85</f>
        <v>7064000</v>
      </c>
      <c r="N146" s="293" t="s">
        <v>345</v>
      </c>
      <c r="O146" s="72" t="s">
        <v>359</v>
      </c>
      <c r="P146" s="75">
        <v>0.9</v>
      </c>
      <c r="Q146" s="293"/>
      <c r="R146" s="293"/>
      <c r="S146" s="293"/>
      <c r="T146" s="293"/>
      <c r="U146" s="293" t="s">
        <v>358</v>
      </c>
      <c r="V146" s="721"/>
      <c r="W146" s="721"/>
      <c r="X146" s="240">
        <f>ROUND(M146*P146,-3)</f>
        <v>6358000</v>
      </c>
      <c r="Y146" s="475" t="s">
        <v>345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68"/>
      <c r="I147" s="280" t="s">
        <v>428</v>
      </c>
      <c r="J147" s="294"/>
      <c r="K147" s="293"/>
      <c r="L147" s="293"/>
      <c r="M147" s="293">
        <f>M86</f>
        <v>960000</v>
      </c>
      <c r="N147" s="293" t="s">
        <v>345</v>
      </c>
      <c r="O147" s="72" t="s">
        <v>359</v>
      </c>
      <c r="P147" s="75">
        <v>0.9</v>
      </c>
      <c r="Q147" s="293"/>
      <c r="R147" s="293"/>
      <c r="S147" s="293"/>
      <c r="T147" s="293"/>
      <c r="U147" s="293" t="s">
        <v>358</v>
      </c>
      <c r="V147" s="720"/>
      <c r="W147" s="720"/>
      <c r="X147" s="66">
        <f>ROUND(M147*P147,-3)</f>
        <v>864000</v>
      </c>
      <c r="Y147" s="57" t="s">
        <v>345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68"/>
      <c r="I148" s="283" t="s">
        <v>427</v>
      </c>
      <c r="J148" s="294"/>
      <c r="K148" s="293"/>
      <c r="L148" s="293"/>
      <c r="M148" s="293">
        <f>M87</f>
        <v>17007000</v>
      </c>
      <c r="N148" s="293" t="s">
        <v>345</v>
      </c>
      <c r="O148" s="72" t="s">
        <v>359</v>
      </c>
      <c r="P148" s="75">
        <v>0.9</v>
      </c>
      <c r="Q148" s="293"/>
      <c r="R148" s="293"/>
      <c r="S148" s="293"/>
      <c r="T148" s="293"/>
      <c r="U148" s="293" t="s">
        <v>358</v>
      </c>
      <c r="V148" s="720"/>
      <c r="W148" s="720"/>
      <c r="X148" s="66">
        <f>ROUND(M148*P148,-3)</f>
        <v>15306000</v>
      </c>
      <c r="Y148" s="57" t="s">
        <v>345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68"/>
      <c r="I149" s="69" t="s">
        <v>426</v>
      </c>
      <c r="J149" s="294"/>
      <c r="K149" s="293"/>
      <c r="L149" s="293"/>
      <c r="M149" s="293"/>
      <c r="N149" s="293"/>
      <c r="O149" s="293"/>
      <c r="P149" s="293"/>
      <c r="Q149" s="293"/>
      <c r="R149" s="293"/>
      <c r="S149" s="293"/>
      <c r="T149" s="293"/>
      <c r="U149" s="293"/>
      <c r="V149" s="222" t="s">
        <v>346</v>
      </c>
      <c r="W149" s="70"/>
      <c r="X149" s="222">
        <f>X150</f>
        <v>7207000</v>
      </c>
      <c r="Y149" s="71" t="s">
        <v>25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68"/>
      <c r="I150" s="283" t="s">
        <v>425</v>
      </c>
      <c r="J150" s="294"/>
      <c r="K150" s="293"/>
      <c r="L150" s="293"/>
      <c r="M150" s="293">
        <f>SUM(M141:M148)</f>
        <v>96091000</v>
      </c>
      <c r="N150" s="54" t="s">
        <v>368</v>
      </c>
      <c r="O150" s="449" t="s">
        <v>371</v>
      </c>
      <c r="P150" s="474">
        <v>12</v>
      </c>
      <c r="Q150" s="206" t="s">
        <v>370</v>
      </c>
      <c r="R150" s="72" t="s">
        <v>372</v>
      </c>
      <c r="S150" s="75">
        <v>0.9</v>
      </c>
      <c r="T150" s="293"/>
      <c r="U150" s="293" t="s">
        <v>369</v>
      </c>
      <c r="V150" s="86"/>
      <c r="W150" s="86"/>
      <c r="X150" s="240">
        <f>ROUNDUP(M150/P150*S150,-3)</f>
        <v>7207000</v>
      </c>
      <c r="Y150" s="473" t="s">
        <v>368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68"/>
      <c r="I151" s="69" t="s">
        <v>424</v>
      </c>
      <c r="J151" s="294"/>
      <c r="K151" s="293"/>
      <c r="L151" s="293"/>
      <c r="M151" s="293"/>
      <c r="N151" s="54"/>
      <c r="O151" s="293"/>
      <c r="P151" s="293"/>
      <c r="Q151" s="293"/>
      <c r="R151" s="293"/>
      <c r="S151" s="293"/>
      <c r="T151" s="293"/>
      <c r="U151" s="293"/>
      <c r="V151" s="222" t="s">
        <v>373</v>
      </c>
      <c r="W151" s="70"/>
      <c r="X151" s="222">
        <f>SUM(X152:X156)</f>
        <v>8432000</v>
      </c>
      <c r="Y151" s="71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68"/>
      <c r="I152" s="283" t="s">
        <v>423</v>
      </c>
      <c r="J152" s="294"/>
      <c r="K152" s="293"/>
      <c r="L152" s="293"/>
      <c r="M152" s="293">
        <f>M150</f>
        <v>96091000</v>
      </c>
      <c r="N152" s="54" t="s">
        <v>368</v>
      </c>
      <c r="O152" s="72" t="s">
        <v>372</v>
      </c>
      <c r="P152" s="463">
        <v>0.09</v>
      </c>
      <c r="Q152" s="449">
        <v>2</v>
      </c>
      <c r="R152" s="72" t="s">
        <v>372</v>
      </c>
      <c r="S152" s="75">
        <v>0.9</v>
      </c>
      <c r="T152" s="74"/>
      <c r="U152" s="449" t="s">
        <v>369</v>
      </c>
      <c r="V152" s="293"/>
      <c r="W152" s="66"/>
      <c r="X152" s="66">
        <f>ROUNDUP(M152*P152/Q152*S152,-3)</f>
        <v>3892000</v>
      </c>
      <c r="Y152" s="57" t="s">
        <v>368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68"/>
      <c r="I153" s="283" t="s">
        <v>422</v>
      </c>
      <c r="J153" s="294"/>
      <c r="K153" s="293"/>
      <c r="L153" s="293"/>
      <c r="M153" s="293">
        <f>M150</f>
        <v>96091000</v>
      </c>
      <c r="N153" s="54" t="s">
        <v>368</v>
      </c>
      <c r="O153" s="72" t="s">
        <v>372</v>
      </c>
      <c r="P153" s="462">
        <v>6.4600000000000005E-2</v>
      </c>
      <c r="Q153" s="449">
        <v>2</v>
      </c>
      <c r="R153" s="72" t="s">
        <v>372</v>
      </c>
      <c r="S153" s="75">
        <v>0.9</v>
      </c>
      <c r="T153" s="74"/>
      <c r="U153" s="449" t="s">
        <v>369</v>
      </c>
      <c r="V153" s="293"/>
      <c r="W153" s="66"/>
      <c r="X153" s="66">
        <f>ROUNDUP(ROUNDUP(M153*P153/Q153,-3)*S153,-3)</f>
        <v>2794000</v>
      </c>
      <c r="Y153" s="57" t="s">
        <v>368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68"/>
      <c r="I154" s="283" t="s">
        <v>421</v>
      </c>
      <c r="J154" s="294"/>
      <c r="K154" s="293"/>
      <c r="L154" s="293"/>
      <c r="M154" s="293">
        <f>X153</f>
        <v>2794000</v>
      </c>
      <c r="N154" s="54" t="s">
        <v>368</v>
      </c>
      <c r="O154" s="72" t="s">
        <v>372</v>
      </c>
      <c r="P154" s="76">
        <v>8.5099999999999995E-2</v>
      </c>
      <c r="Q154" s="461"/>
      <c r="R154" s="72"/>
      <c r="S154" s="75"/>
      <c r="T154" s="460"/>
      <c r="U154" s="449" t="s">
        <v>369</v>
      </c>
      <c r="V154" s="293"/>
      <c r="W154" s="66"/>
      <c r="X154" s="66">
        <f>ROUNDUP(M154*P154,-3)+1000</f>
        <v>239000</v>
      </c>
      <c r="Y154" s="57" t="s">
        <v>368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68"/>
      <c r="I155" s="283" t="s">
        <v>420</v>
      </c>
      <c r="J155" s="294"/>
      <c r="K155" s="293"/>
      <c r="L155" s="293"/>
      <c r="M155" s="293">
        <f>M150</f>
        <v>96091000</v>
      </c>
      <c r="N155" s="54" t="s">
        <v>368</v>
      </c>
      <c r="O155" s="72" t="s">
        <v>372</v>
      </c>
      <c r="P155" s="76">
        <v>1.0500000000000001E-2</v>
      </c>
      <c r="Q155" s="72"/>
      <c r="R155" s="72" t="s">
        <v>372</v>
      </c>
      <c r="S155" s="75">
        <v>0.9</v>
      </c>
      <c r="T155" s="74"/>
      <c r="U155" s="449" t="s">
        <v>369</v>
      </c>
      <c r="V155" s="293"/>
      <c r="W155" s="66"/>
      <c r="X155" s="66">
        <f>ROUNDDOWN(M155*P155*S155,-3)</f>
        <v>908000</v>
      </c>
      <c r="Y155" s="57" t="s">
        <v>368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68"/>
      <c r="I156" s="283" t="s">
        <v>419</v>
      </c>
      <c r="J156" s="294"/>
      <c r="K156" s="293"/>
      <c r="L156" s="293"/>
      <c r="M156" s="293">
        <f>M150</f>
        <v>96091000</v>
      </c>
      <c r="N156" s="54" t="s">
        <v>368</v>
      </c>
      <c r="O156" s="72" t="s">
        <v>372</v>
      </c>
      <c r="P156" s="459">
        <v>6.9300000000000004E-3</v>
      </c>
      <c r="Q156" s="72"/>
      <c r="R156" s="72" t="s">
        <v>372</v>
      </c>
      <c r="S156" s="75">
        <v>0.9</v>
      </c>
      <c r="T156" s="74"/>
      <c r="U156" s="449" t="s">
        <v>369</v>
      </c>
      <c r="V156" s="293"/>
      <c r="W156" s="66"/>
      <c r="X156" s="66">
        <f>ROUNDDOWN(M156*P156*S156,-3)</f>
        <v>599000</v>
      </c>
      <c r="Y156" s="57" t="s">
        <v>368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68"/>
      <c r="I157" s="65"/>
      <c r="J157" s="66"/>
      <c r="K157" s="208"/>
      <c r="L157" s="208"/>
      <c r="M157" s="293"/>
      <c r="N157" s="293"/>
      <c r="O157" s="206"/>
      <c r="P157" s="293"/>
      <c r="Q157" s="54"/>
      <c r="R157" s="467"/>
      <c r="S157" s="56"/>
      <c r="T157" s="449"/>
      <c r="U157" s="449"/>
      <c r="V157" s="75"/>
      <c r="W157" s="294"/>
      <c r="X157" s="66"/>
      <c r="Y157" s="57"/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68"/>
      <c r="I158" s="69" t="s">
        <v>418</v>
      </c>
      <c r="J158" s="66"/>
      <c r="K158" s="208"/>
      <c r="L158" s="208"/>
      <c r="M158" s="293"/>
      <c r="N158" s="293"/>
      <c r="O158" s="206"/>
      <c r="P158" s="293"/>
      <c r="Q158" s="54"/>
      <c r="R158" s="467"/>
      <c r="S158" s="56"/>
      <c r="T158" s="449"/>
      <c r="U158" s="449"/>
      <c r="V158" s="222" t="s">
        <v>417</v>
      </c>
      <c r="W158" s="70"/>
      <c r="X158" s="222">
        <f>SUM(X159:X161)</f>
        <v>14580000</v>
      </c>
      <c r="Y158" s="71" t="s">
        <v>25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68"/>
      <c r="I159" s="283" t="s">
        <v>566</v>
      </c>
      <c r="J159" s="540"/>
      <c r="K159" s="539"/>
      <c r="L159" s="539"/>
      <c r="M159" s="506">
        <v>300000</v>
      </c>
      <c r="N159" s="390" t="s">
        <v>549</v>
      </c>
      <c r="O159" s="390" t="s">
        <v>552</v>
      </c>
      <c r="P159" s="541">
        <v>1</v>
      </c>
      <c r="Q159" s="472">
        <v>12</v>
      </c>
      <c r="R159" s="390" t="s">
        <v>550</v>
      </c>
      <c r="S159" s="508">
        <v>0.9</v>
      </c>
      <c r="T159" s="390"/>
      <c r="U159" s="390" t="s">
        <v>551</v>
      </c>
      <c r="V159" s="539"/>
      <c r="W159" s="130"/>
      <c r="X159" s="539">
        <f>M159*P159*Q159*S159</f>
        <v>3240000</v>
      </c>
      <c r="Y159" s="131" t="s">
        <v>549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68"/>
      <c r="I160" s="283" t="s">
        <v>416</v>
      </c>
      <c r="J160" s="294"/>
      <c r="K160" s="293"/>
      <c r="L160" s="293"/>
      <c r="M160" s="466">
        <v>0</v>
      </c>
      <c r="N160" s="67" t="s">
        <v>368</v>
      </c>
      <c r="O160" s="67" t="s">
        <v>372</v>
      </c>
      <c r="P160" s="75">
        <v>0.9</v>
      </c>
      <c r="Q160" s="465"/>
      <c r="R160" s="67"/>
      <c r="S160" s="464"/>
      <c r="T160" s="67"/>
      <c r="U160" s="67" t="s">
        <v>369</v>
      </c>
      <c r="V160" s="293"/>
      <c r="W160" s="66"/>
      <c r="X160" s="293">
        <f>M160*P160</f>
        <v>0</v>
      </c>
      <c r="Y160" s="57" t="s">
        <v>368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68"/>
      <c r="I161" s="283" t="s">
        <v>750</v>
      </c>
      <c r="J161" s="664"/>
      <c r="K161" s="663"/>
      <c r="L161" s="663"/>
      <c r="M161" s="506">
        <v>70000</v>
      </c>
      <c r="N161" s="390" t="s">
        <v>745</v>
      </c>
      <c r="O161" s="390" t="s">
        <v>746</v>
      </c>
      <c r="P161" s="507">
        <v>1</v>
      </c>
      <c r="Q161" s="472">
        <v>180</v>
      </c>
      <c r="R161" s="390" t="s">
        <v>751</v>
      </c>
      <c r="S161" s="508">
        <v>0.9</v>
      </c>
      <c r="T161" s="390"/>
      <c r="U161" s="390" t="s">
        <v>749</v>
      </c>
      <c r="V161" s="663"/>
      <c r="W161" s="662"/>
      <c r="X161" s="663">
        <f>M161*P161*Q161*S161</f>
        <v>11340000</v>
      </c>
      <c r="Y161" s="131" t="s">
        <v>745</v>
      </c>
    </row>
    <row r="162" spans="1:26" ht="21" customHeight="1">
      <c r="A162" s="45"/>
      <c r="B162" s="46"/>
      <c r="C162" s="46"/>
      <c r="D162" s="59"/>
      <c r="E162" s="61"/>
      <c r="F162" s="61"/>
      <c r="G162" s="62"/>
      <c r="H162" s="82"/>
      <c r="I162" s="359"/>
      <c r="J162" s="70"/>
      <c r="K162" s="471"/>
      <c r="L162" s="471"/>
      <c r="M162" s="559"/>
      <c r="N162" s="222"/>
      <c r="O162" s="470"/>
      <c r="P162" s="222"/>
      <c r="Q162" s="125"/>
      <c r="R162" s="469"/>
      <c r="S162" s="222"/>
      <c r="T162" s="199"/>
      <c r="U162" s="199"/>
      <c r="V162" s="468"/>
      <c r="W162" s="359"/>
      <c r="X162" s="70"/>
      <c r="Y162" s="71"/>
    </row>
    <row r="163" spans="1:26" ht="21" customHeight="1">
      <c r="A163" s="45"/>
      <c r="B163" s="46"/>
      <c r="C163" s="46"/>
      <c r="D163" s="46" t="s">
        <v>415</v>
      </c>
      <c r="E163" s="48">
        <v>21208</v>
      </c>
      <c r="F163" s="235">
        <f>ROUND(X163/1000,0)</f>
        <v>18358</v>
      </c>
      <c r="G163" s="49">
        <f>F163-E163</f>
        <v>-2850</v>
      </c>
      <c r="H163" s="68">
        <f>IF(E163=0,0,G163/E163)</f>
        <v>-0.13438325160316861</v>
      </c>
      <c r="I163" s="436"/>
      <c r="J163" s="66"/>
      <c r="K163" s="208"/>
      <c r="L163" s="208"/>
      <c r="M163" s="293"/>
      <c r="N163" s="293"/>
      <c r="O163" s="206"/>
      <c r="P163" s="293"/>
      <c r="Q163" s="54"/>
      <c r="R163" s="467"/>
      <c r="S163" s="56"/>
      <c r="T163" s="449"/>
      <c r="U163" s="449"/>
      <c r="V163" s="222" t="s">
        <v>414</v>
      </c>
      <c r="W163" s="70"/>
      <c r="X163" s="222">
        <f>SUM(X164:X167)</f>
        <v>18358000</v>
      </c>
      <c r="Y163" s="71" t="s">
        <v>25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68"/>
      <c r="I164" s="277"/>
      <c r="J164" s="66"/>
      <c r="K164" s="208"/>
      <c r="L164" s="208"/>
      <c r="M164" s="466"/>
      <c r="N164" s="67" t="s">
        <v>368</v>
      </c>
      <c r="O164" s="67" t="s">
        <v>372</v>
      </c>
      <c r="P164" s="75">
        <v>0.7</v>
      </c>
      <c r="Q164" s="465"/>
      <c r="R164" s="67"/>
      <c r="S164" s="464"/>
      <c r="T164" s="67"/>
      <c r="U164" s="67" t="s">
        <v>369</v>
      </c>
      <c r="V164" s="293"/>
      <c r="W164" s="66"/>
      <c r="X164" s="293">
        <f>ROUND(M164*P164,-3)</f>
        <v>0</v>
      </c>
      <c r="Y164" s="57" t="s">
        <v>368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68"/>
      <c r="I165" s="277" t="s">
        <v>413</v>
      </c>
      <c r="J165" s="66"/>
      <c r="K165" s="208"/>
      <c r="L165" s="208"/>
      <c r="M165" s="466">
        <v>18668000</v>
      </c>
      <c r="N165" s="67" t="s">
        <v>368</v>
      </c>
      <c r="O165" s="67" t="s">
        <v>372</v>
      </c>
      <c r="P165" s="75">
        <v>0.5</v>
      </c>
      <c r="Q165" s="465"/>
      <c r="R165" s="67"/>
      <c r="S165" s="464"/>
      <c r="T165" s="67"/>
      <c r="U165" s="67" t="s">
        <v>369</v>
      </c>
      <c r="V165" s="293"/>
      <c r="W165" s="66"/>
      <c r="X165" s="293">
        <f>ROUNDDOWN(M165*P165,-3)</f>
        <v>9334000</v>
      </c>
      <c r="Y165" s="57" t="s">
        <v>368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68"/>
      <c r="I166" s="283" t="s">
        <v>510</v>
      </c>
      <c r="J166" s="548"/>
      <c r="K166" s="547"/>
      <c r="L166" s="547"/>
      <c r="M166" s="506">
        <v>300000</v>
      </c>
      <c r="N166" s="390" t="s">
        <v>56</v>
      </c>
      <c r="O166" s="390" t="s">
        <v>57</v>
      </c>
      <c r="P166" s="507">
        <v>20</v>
      </c>
      <c r="Q166" s="472"/>
      <c r="R166" s="390"/>
      <c r="S166" s="508"/>
      <c r="T166" s="390"/>
      <c r="U166" s="390" t="s">
        <v>53</v>
      </c>
      <c r="V166" s="547"/>
      <c r="W166" s="130"/>
      <c r="X166" s="547">
        <f>ROUND(M166*P166,-3)</f>
        <v>6000000</v>
      </c>
      <c r="Y166" s="131" t="s">
        <v>56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68"/>
      <c r="I167" s="283" t="s">
        <v>872</v>
      </c>
      <c r="J167" s="638"/>
      <c r="K167" s="637"/>
      <c r="L167" s="637"/>
      <c r="M167" s="637"/>
      <c r="N167" s="568"/>
      <c r="O167" s="387"/>
      <c r="P167" s="641"/>
      <c r="Q167" s="387"/>
      <c r="R167" s="387"/>
      <c r="S167" s="642"/>
      <c r="T167" s="74"/>
      <c r="U167" s="639"/>
      <c r="V167" s="637"/>
      <c r="W167" s="640"/>
      <c r="X167" s="640">
        <v>3024000</v>
      </c>
      <c r="Y167" s="131" t="s">
        <v>699</v>
      </c>
    </row>
    <row r="168" spans="1:26" ht="21" customHeight="1">
      <c r="A168" s="45"/>
      <c r="B168" s="46"/>
      <c r="C168" s="36" t="s">
        <v>412</v>
      </c>
      <c r="D168" s="451" t="s">
        <v>377</v>
      </c>
      <c r="E168" s="217">
        <f>E169</f>
        <v>0</v>
      </c>
      <c r="F168" s="217">
        <f>F169</f>
        <v>0</v>
      </c>
      <c r="G168" s="218">
        <f>F168-E168</f>
        <v>0</v>
      </c>
      <c r="H168" s="219">
        <f>IF(E168=0,0,G168/E168)</f>
        <v>0</v>
      </c>
      <c r="I168" s="202" t="s">
        <v>411</v>
      </c>
      <c r="J168" s="203"/>
      <c r="K168" s="204"/>
      <c r="L168" s="204"/>
      <c r="M168" s="204"/>
      <c r="N168" s="204"/>
      <c r="O168" s="204"/>
      <c r="P168" s="205"/>
      <c r="Q168" s="205"/>
      <c r="R168" s="205"/>
      <c r="S168" s="205"/>
      <c r="T168" s="205"/>
      <c r="U168" s="205"/>
      <c r="V168" s="232" t="s">
        <v>373</v>
      </c>
      <c r="W168" s="233"/>
      <c r="X168" s="233">
        <f>SUM(X169:X169)</f>
        <v>0</v>
      </c>
      <c r="Y168" s="265" t="s">
        <v>368</v>
      </c>
    </row>
    <row r="169" spans="1:26" ht="21" customHeight="1">
      <c r="A169" s="45"/>
      <c r="B169" s="46"/>
      <c r="C169" s="46" t="s">
        <v>410</v>
      </c>
      <c r="D169" s="46" t="s">
        <v>409</v>
      </c>
      <c r="E169" s="48">
        <v>0</v>
      </c>
      <c r="F169" s="48">
        <f>ROUND(X169/1000,0)</f>
        <v>0</v>
      </c>
      <c r="G169" s="271">
        <f>F169-E169</f>
        <v>0</v>
      </c>
      <c r="H169" s="181">
        <f>IF(E169=0,0,G169/E169)</f>
        <v>0</v>
      </c>
      <c r="I169" s="283" t="s">
        <v>614</v>
      </c>
      <c r="J169" s="571"/>
      <c r="K169" s="570"/>
      <c r="L169" s="570"/>
      <c r="M169" s="570">
        <v>80000</v>
      </c>
      <c r="N169" s="549" t="s">
        <v>609</v>
      </c>
      <c r="O169" s="387" t="s">
        <v>610</v>
      </c>
      <c r="P169" s="390">
        <v>0</v>
      </c>
      <c r="Q169" s="387" t="s">
        <v>615</v>
      </c>
      <c r="R169" s="391"/>
      <c r="S169" s="74"/>
      <c r="T169" s="74"/>
      <c r="U169" s="549" t="s">
        <v>613</v>
      </c>
      <c r="V169" s="570"/>
      <c r="W169" s="130"/>
      <c r="X169" s="130">
        <f>M169*P169</f>
        <v>0</v>
      </c>
      <c r="Y169" s="131" t="s">
        <v>609</v>
      </c>
    </row>
    <row r="170" spans="1:26" s="11" customFormat="1" ht="19.5" customHeight="1">
      <c r="A170" s="267"/>
      <c r="B170" s="81"/>
      <c r="C170" s="81"/>
      <c r="D170" s="59"/>
      <c r="E170" s="61"/>
      <c r="F170" s="61"/>
      <c r="G170" s="62"/>
      <c r="H170" s="82"/>
      <c r="I170" s="69"/>
      <c r="J170" s="222"/>
      <c r="K170" s="83"/>
      <c r="L170" s="83"/>
      <c r="M170" s="84"/>
      <c r="N170" s="222"/>
      <c r="O170" s="83"/>
      <c r="P170" s="222"/>
      <c r="Q170" s="222"/>
      <c r="R170" s="222"/>
      <c r="S170" s="222"/>
      <c r="T170" s="222"/>
      <c r="U170" s="222"/>
      <c r="V170" s="222"/>
      <c r="W170" s="222"/>
      <c r="X170" s="222"/>
      <c r="Y170" s="71"/>
      <c r="Z170" s="6"/>
    </row>
    <row r="171" spans="1:26" ht="21" customHeight="1">
      <c r="A171" s="35" t="s">
        <v>397</v>
      </c>
      <c r="B171" s="36" t="s">
        <v>30</v>
      </c>
      <c r="C171" s="722" t="s">
        <v>408</v>
      </c>
      <c r="D171" s="723"/>
      <c r="E171" s="246">
        <f>SUM(E172,E185)</f>
        <v>153079</v>
      </c>
      <c r="F171" s="246">
        <f>SUM(F172,F185)</f>
        <v>163152</v>
      </c>
      <c r="G171" s="247">
        <f>F171-E171</f>
        <v>10073</v>
      </c>
      <c r="H171" s="248">
        <f>IF(E171=0,0,G171/E171)</f>
        <v>6.5802624788507888E-2</v>
      </c>
      <c r="I171" s="249" t="s">
        <v>407</v>
      </c>
      <c r="J171" s="250"/>
      <c r="K171" s="251"/>
      <c r="L171" s="251"/>
      <c r="M171" s="250"/>
      <c r="N171" s="250"/>
      <c r="O171" s="250"/>
      <c r="P171" s="250"/>
      <c r="Q171" s="250" t="s">
        <v>406</v>
      </c>
      <c r="R171" s="252"/>
      <c r="S171" s="252"/>
      <c r="T171" s="252"/>
      <c r="U171" s="252"/>
      <c r="V171" s="252"/>
      <c r="W171" s="252"/>
      <c r="X171" s="253">
        <f>X172+X185</f>
        <v>163152000</v>
      </c>
      <c r="Y171" s="264" t="s">
        <v>25</v>
      </c>
    </row>
    <row r="172" spans="1:26" ht="21" customHeight="1">
      <c r="A172" s="45" t="s">
        <v>405</v>
      </c>
      <c r="B172" s="46" t="s">
        <v>405</v>
      </c>
      <c r="C172" s="36" t="s">
        <v>404</v>
      </c>
      <c r="D172" s="451" t="s">
        <v>377</v>
      </c>
      <c r="E172" s="217">
        <f>E173+E181</f>
        <v>73879</v>
      </c>
      <c r="F172" s="217">
        <f>F173+F181</f>
        <v>72992</v>
      </c>
      <c r="G172" s="218">
        <f>F172-E172</f>
        <v>-887</v>
      </c>
      <c r="H172" s="219">
        <f>IF(E172=0,0,G172/E172)</f>
        <v>-1.2006118112048079E-2</v>
      </c>
      <c r="I172" s="202" t="s">
        <v>403</v>
      </c>
      <c r="J172" s="203"/>
      <c r="K172" s="204"/>
      <c r="L172" s="204"/>
      <c r="M172" s="204"/>
      <c r="N172" s="204"/>
      <c r="O172" s="204"/>
      <c r="P172" s="205"/>
      <c r="Q172" s="205"/>
      <c r="R172" s="205"/>
      <c r="S172" s="205"/>
      <c r="T172" s="205"/>
      <c r="U172" s="205"/>
      <c r="V172" s="232" t="s">
        <v>373</v>
      </c>
      <c r="W172" s="233"/>
      <c r="X172" s="234">
        <f>SUM(X173,X181)</f>
        <v>72992000</v>
      </c>
      <c r="Y172" s="265" t="s">
        <v>368</v>
      </c>
    </row>
    <row r="173" spans="1:26" ht="21.75" customHeight="1">
      <c r="A173" s="45"/>
      <c r="B173" s="46"/>
      <c r="C173" s="46" t="s">
        <v>397</v>
      </c>
      <c r="D173" s="36" t="s">
        <v>402</v>
      </c>
      <c r="E173" s="37">
        <v>70957</v>
      </c>
      <c r="F173" s="48">
        <f>ROUND(X173/1000,0)</f>
        <v>70192</v>
      </c>
      <c r="G173" s="271">
        <f>F173-E173</f>
        <v>-765</v>
      </c>
      <c r="H173" s="181">
        <f>IF(E173=0,0,G173/E173)</f>
        <v>-1.0781177332750821E-2</v>
      </c>
      <c r="I173" s="138" t="s">
        <v>400</v>
      </c>
      <c r="J173" s="157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719" t="s">
        <v>373</v>
      </c>
      <c r="W173" s="719"/>
      <c r="X173" s="140">
        <f>SUM(X174:X180)</f>
        <v>70192000</v>
      </c>
      <c r="Y173" s="141" t="s">
        <v>368</v>
      </c>
    </row>
    <row r="174" spans="1:26" ht="18" customHeight="1">
      <c r="A174" s="45"/>
      <c r="B174" s="46"/>
      <c r="C174" s="46"/>
      <c r="D174" s="46"/>
      <c r="E174" s="48"/>
      <c r="F174" s="48"/>
      <c r="G174" s="49"/>
      <c r="H174" s="31"/>
      <c r="I174" s="65" t="s">
        <v>695</v>
      </c>
      <c r="J174" s="294"/>
      <c r="K174" s="293"/>
      <c r="L174" s="293"/>
      <c r="M174" s="293">
        <v>150000</v>
      </c>
      <c r="N174" s="449" t="s">
        <v>368</v>
      </c>
      <c r="O174" s="72" t="s">
        <v>372</v>
      </c>
      <c r="P174" s="67">
        <v>12</v>
      </c>
      <c r="Q174" s="72" t="s">
        <v>370</v>
      </c>
      <c r="R174" s="77"/>
      <c r="S174" s="74"/>
      <c r="T174" s="74"/>
      <c r="U174" s="449" t="s">
        <v>369</v>
      </c>
      <c r="V174" s="293"/>
      <c r="W174" s="66"/>
      <c r="X174" s="130">
        <f>M174*P174</f>
        <v>1800000</v>
      </c>
      <c r="Y174" s="57" t="s">
        <v>368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283" t="s">
        <v>694</v>
      </c>
      <c r="J175" s="429"/>
      <c r="K175" s="376"/>
      <c r="L175" s="376"/>
      <c r="M175" s="376"/>
      <c r="N175" s="523"/>
      <c r="O175" s="525"/>
      <c r="P175" s="542"/>
      <c r="Q175" s="525"/>
      <c r="R175" s="543"/>
      <c r="S175" s="544"/>
      <c r="T175" s="544"/>
      <c r="U175" s="523"/>
      <c r="V175" s="376"/>
      <c r="W175" s="524"/>
      <c r="X175" s="625">
        <v>2492000</v>
      </c>
      <c r="Y175" s="131" t="s">
        <v>690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283" t="s">
        <v>759</v>
      </c>
      <c r="J176" s="638"/>
      <c r="K176" s="637"/>
      <c r="L176" s="637"/>
      <c r="M176" s="637"/>
      <c r="N176" s="639"/>
      <c r="O176" s="387"/>
      <c r="P176" s="390"/>
      <c r="Q176" s="387"/>
      <c r="R176" s="391"/>
      <c r="S176" s="74"/>
      <c r="T176" s="74"/>
      <c r="U176" s="639"/>
      <c r="V176" s="637"/>
      <c r="W176" s="640"/>
      <c r="X176" s="640">
        <v>18900000</v>
      </c>
      <c r="Y176" s="131" t="s">
        <v>699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283" t="s">
        <v>761</v>
      </c>
      <c r="J177" s="623"/>
      <c r="K177" s="622"/>
      <c r="L177" s="622"/>
      <c r="M177" s="622"/>
      <c r="N177" s="624"/>
      <c r="O177" s="387"/>
      <c r="P177" s="390"/>
      <c r="Q177" s="387"/>
      <c r="R177" s="391"/>
      <c r="S177" s="74"/>
      <c r="T177" s="74"/>
      <c r="U177" s="624"/>
      <c r="V177" s="622"/>
      <c r="W177" s="625"/>
      <c r="X177" s="625">
        <v>7000000</v>
      </c>
      <c r="Y177" s="131" t="s">
        <v>760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283" t="s">
        <v>762</v>
      </c>
      <c r="J178" s="623"/>
      <c r="K178" s="622"/>
      <c r="L178" s="622"/>
      <c r="M178" s="622"/>
      <c r="N178" s="624"/>
      <c r="O178" s="387"/>
      <c r="P178" s="390"/>
      <c r="Q178" s="387"/>
      <c r="R178" s="391"/>
      <c r="S178" s="74"/>
      <c r="T178" s="74"/>
      <c r="U178" s="624"/>
      <c r="V178" s="622"/>
      <c r="W178" s="625"/>
      <c r="X178" s="625">
        <v>40000000</v>
      </c>
      <c r="Y178" s="131" t="s">
        <v>760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283"/>
      <c r="J179" s="638"/>
      <c r="K179" s="637"/>
      <c r="L179" s="637"/>
      <c r="M179" s="637"/>
      <c r="N179" s="639"/>
      <c r="O179" s="387"/>
      <c r="P179" s="390"/>
      <c r="Q179" s="387"/>
      <c r="R179" s="391"/>
      <c r="S179" s="74"/>
      <c r="T179" s="74"/>
      <c r="U179" s="639"/>
      <c r="V179" s="637"/>
      <c r="W179" s="640"/>
      <c r="X179" s="640"/>
      <c r="Y179" s="131"/>
    </row>
    <row r="180" spans="1:26" ht="18" customHeight="1">
      <c r="A180" s="45"/>
      <c r="B180" s="46"/>
      <c r="C180" s="46"/>
      <c r="D180" s="59"/>
      <c r="E180" s="61"/>
      <c r="F180" s="61"/>
      <c r="G180" s="62"/>
      <c r="H180" s="201"/>
      <c r="I180" s="284"/>
      <c r="J180" s="636"/>
      <c r="K180" s="635"/>
      <c r="L180" s="635"/>
      <c r="M180" s="635"/>
      <c r="N180" s="643"/>
      <c r="O180" s="644"/>
      <c r="P180" s="645"/>
      <c r="Q180" s="644"/>
      <c r="R180" s="646"/>
      <c r="S180" s="213"/>
      <c r="T180" s="213"/>
      <c r="U180" s="643"/>
      <c r="V180" s="635"/>
      <c r="W180" s="408"/>
      <c r="X180" s="408"/>
      <c r="Y180" s="399"/>
      <c r="Z180" s="1"/>
    </row>
    <row r="181" spans="1:26" ht="18" customHeight="1">
      <c r="A181" s="45"/>
      <c r="B181" s="46"/>
      <c r="C181" s="46"/>
      <c r="D181" s="36" t="s">
        <v>401</v>
      </c>
      <c r="E181" s="37">
        <v>2922</v>
      </c>
      <c r="F181" s="48">
        <f>ROUND(X181/1000,0)</f>
        <v>2800</v>
      </c>
      <c r="G181" s="38">
        <f>F181-E181</f>
        <v>-122</v>
      </c>
      <c r="H181" s="39">
        <f>IF(E181=0,0,G181/E181)</f>
        <v>-4.1752224503764541E-2</v>
      </c>
      <c r="I181" s="138" t="s">
        <v>400</v>
      </c>
      <c r="J181" s="157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719" t="s">
        <v>373</v>
      </c>
      <c r="W181" s="719"/>
      <c r="X181" s="140">
        <f>SUM(X182:X184)</f>
        <v>2800000</v>
      </c>
      <c r="Y181" s="141" t="s">
        <v>368</v>
      </c>
      <c r="Z181" s="1"/>
    </row>
    <row r="182" spans="1:26" ht="18" customHeight="1">
      <c r="A182" s="45"/>
      <c r="B182" s="46"/>
      <c r="C182" s="46"/>
      <c r="D182" s="46"/>
      <c r="E182" s="48"/>
      <c r="F182" s="48"/>
      <c r="G182" s="49"/>
      <c r="H182" s="31"/>
      <c r="I182" s="65" t="s">
        <v>515</v>
      </c>
      <c r="J182" s="294"/>
      <c r="K182" s="293"/>
      <c r="L182" s="293"/>
      <c r="M182" s="519">
        <v>130000</v>
      </c>
      <c r="N182" s="517" t="s">
        <v>56</v>
      </c>
      <c r="O182" s="387" t="s">
        <v>57</v>
      </c>
      <c r="P182" s="390">
        <v>12</v>
      </c>
      <c r="Q182" s="387" t="s">
        <v>0</v>
      </c>
      <c r="R182" s="391"/>
      <c r="S182" s="74"/>
      <c r="T182" s="74"/>
      <c r="U182" s="517" t="s">
        <v>53</v>
      </c>
      <c r="V182" s="519"/>
      <c r="W182" s="130"/>
      <c r="X182" s="130">
        <f>M182*P182</f>
        <v>1560000</v>
      </c>
      <c r="Y182" s="131" t="s">
        <v>56</v>
      </c>
      <c r="Z182" s="1"/>
    </row>
    <row r="183" spans="1:26" ht="18" customHeight="1">
      <c r="A183" s="45"/>
      <c r="B183" s="46"/>
      <c r="C183" s="46"/>
      <c r="D183" s="46"/>
      <c r="E183" s="48"/>
      <c r="F183" s="48"/>
      <c r="G183" s="49"/>
      <c r="H183" s="31"/>
      <c r="I183" s="65" t="s">
        <v>696</v>
      </c>
      <c r="J183" s="294"/>
      <c r="K183" s="293"/>
      <c r="L183" s="293"/>
      <c r="M183" s="538">
        <v>20000</v>
      </c>
      <c r="N183" s="537" t="s">
        <v>56</v>
      </c>
      <c r="O183" s="387" t="s">
        <v>57</v>
      </c>
      <c r="P183" s="390">
        <v>12</v>
      </c>
      <c r="Q183" s="387" t="s">
        <v>0</v>
      </c>
      <c r="R183" s="391"/>
      <c r="S183" s="74"/>
      <c r="T183" s="74"/>
      <c r="U183" s="537" t="s">
        <v>53</v>
      </c>
      <c r="V183" s="538"/>
      <c r="W183" s="130"/>
      <c r="X183" s="130">
        <f>M183*P183</f>
        <v>240000</v>
      </c>
      <c r="Y183" s="131" t="s">
        <v>56</v>
      </c>
      <c r="Z183" s="1"/>
    </row>
    <row r="184" spans="1:26" ht="18" customHeight="1">
      <c r="A184" s="45"/>
      <c r="B184" s="46"/>
      <c r="C184" s="59"/>
      <c r="D184" s="59"/>
      <c r="E184" s="61"/>
      <c r="F184" s="61"/>
      <c r="G184" s="62"/>
      <c r="H184" s="201"/>
      <c r="I184" s="283" t="s">
        <v>764</v>
      </c>
      <c r="J184" s="638"/>
      <c r="K184" s="637"/>
      <c r="L184" s="637"/>
      <c r="M184" s="637"/>
      <c r="N184" s="639"/>
      <c r="O184" s="387"/>
      <c r="P184" s="390"/>
      <c r="Q184" s="387"/>
      <c r="R184" s="391"/>
      <c r="S184" s="74"/>
      <c r="T184" s="74"/>
      <c r="U184" s="639"/>
      <c r="V184" s="637"/>
      <c r="W184" s="640"/>
      <c r="X184" s="640">
        <v>1000000</v>
      </c>
      <c r="Y184" s="131" t="s">
        <v>699</v>
      </c>
      <c r="Z184" s="1"/>
    </row>
    <row r="185" spans="1:26" ht="25.5" customHeight="1">
      <c r="A185" s="45"/>
      <c r="B185" s="46"/>
      <c r="C185" s="46" t="s">
        <v>399</v>
      </c>
      <c r="D185" s="451" t="s">
        <v>377</v>
      </c>
      <c r="E185" s="217">
        <f>E186</f>
        <v>79200</v>
      </c>
      <c r="F185" s="217">
        <f>F186</f>
        <v>90160</v>
      </c>
      <c r="G185" s="218">
        <f>F185-E185</f>
        <v>10960</v>
      </c>
      <c r="H185" s="219">
        <f>IF(E185=0,0,G185/E185)</f>
        <v>0.13838383838383839</v>
      </c>
      <c r="I185" s="202" t="s">
        <v>398</v>
      </c>
      <c r="J185" s="203"/>
      <c r="K185" s="204"/>
      <c r="L185" s="204"/>
      <c r="M185" s="204"/>
      <c r="N185" s="204"/>
      <c r="O185" s="204"/>
      <c r="P185" s="205"/>
      <c r="Q185" s="205"/>
      <c r="R185" s="205"/>
      <c r="S185" s="205"/>
      <c r="T185" s="205"/>
      <c r="U185" s="205"/>
      <c r="V185" s="232" t="s">
        <v>373</v>
      </c>
      <c r="W185" s="233"/>
      <c r="X185" s="233">
        <f>X186</f>
        <v>90160000</v>
      </c>
      <c r="Y185" s="265" t="s">
        <v>368</v>
      </c>
      <c r="Z185" s="1"/>
    </row>
    <row r="186" spans="1:26" ht="21" customHeight="1">
      <c r="A186" s="45"/>
      <c r="B186" s="46"/>
      <c r="C186" s="46" t="s">
        <v>397</v>
      </c>
      <c r="D186" s="46" t="s">
        <v>396</v>
      </c>
      <c r="E186" s="48">
        <v>79200</v>
      </c>
      <c r="F186" s="48">
        <f>ROUND(X186/1000,0)</f>
        <v>90160</v>
      </c>
      <c r="G186" s="271">
        <f>F186-E186</f>
        <v>10960</v>
      </c>
      <c r="H186" s="181">
        <f>IF(E186=0,0,G186/E186)</f>
        <v>0.13838383838383839</v>
      </c>
      <c r="I186" s="138" t="s">
        <v>395</v>
      </c>
      <c r="J186" s="157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719" t="s">
        <v>346</v>
      </c>
      <c r="W186" s="719"/>
      <c r="X186" s="140">
        <f>SUM(X187:X188)</f>
        <v>90160000</v>
      </c>
      <c r="Y186" s="141" t="s">
        <v>345</v>
      </c>
      <c r="Z186" s="1"/>
    </row>
    <row r="187" spans="1:26" ht="21" customHeight="1">
      <c r="A187" s="45"/>
      <c r="B187" s="46"/>
      <c r="C187" s="46"/>
      <c r="D187" s="46"/>
      <c r="E187" s="48"/>
      <c r="F187" s="48"/>
      <c r="G187" s="269"/>
      <c r="H187" s="270"/>
      <c r="I187" s="283" t="s">
        <v>752</v>
      </c>
      <c r="J187" s="664" t="s">
        <v>753</v>
      </c>
      <c r="K187" s="663"/>
      <c r="L187" s="663"/>
      <c r="M187" s="663">
        <v>6680000</v>
      </c>
      <c r="N187" s="661" t="s">
        <v>745</v>
      </c>
      <c r="O187" s="387" t="s">
        <v>746</v>
      </c>
      <c r="P187" s="390">
        <v>12</v>
      </c>
      <c r="Q187" s="387" t="s">
        <v>748</v>
      </c>
      <c r="R187" s="391"/>
      <c r="S187" s="74"/>
      <c r="T187" s="74"/>
      <c r="U187" s="661" t="s">
        <v>749</v>
      </c>
      <c r="V187" s="663"/>
      <c r="W187" s="662"/>
      <c r="X187" s="662">
        <f>M187*P187</f>
        <v>80160000</v>
      </c>
      <c r="Y187" s="131" t="s">
        <v>745</v>
      </c>
      <c r="Z187" s="1"/>
    </row>
    <row r="188" spans="1:26" ht="21" customHeight="1">
      <c r="A188" s="45"/>
      <c r="B188" s="46"/>
      <c r="C188" s="46"/>
      <c r="D188" s="46"/>
      <c r="E188" s="48"/>
      <c r="F188" s="48"/>
      <c r="G188" s="269"/>
      <c r="H188" s="270"/>
      <c r="I188" s="65" t="s">
        <v>763</v>
      </c>
      <c r="J188" s="294"/>
      <c r="K188" s="293"/>
      <c r="L188" s="293"/>
      <c r="M188" s="293"/>
      <c r="N188" s="449"/>
      <c r="O188" s="72"/>
      <c r="P188" s="67"/>
      <c r="Q188" s="72"/>
      <c r="R188" s="77"/>
      <c r="S188" s="74"/>
      <c r="T188" s="74"/>
      <c r="U188" s="449"/>
      <c r="V188" s="293"/>
      <c r="W188" s="66"/>
      <c r="X188" s="66">
        <v>10000000</v>
      </c>
      <c r="Y188" s="57" t="s">
        <v>345</v>
      </c>
      <c r="Z188" s="1"/>
    </row>
    <row r="189" spans="1:26" ht="21" customHeight="1">
      <c r="A189" s="58"/>
      <c r="B189" s="59"/>
      <c r="C189" s="59"/>
      <c r="D189" s="59"/>
      <c r="E189" s="61"/>
      <c r="F189" s="61"/>
      <c r="G189" s="62"/>
      <c r="H189" s="201"/>
      <c r="I189" s="69"/>
      <c r="J189" s="359"/>
      <c r="K189" s="222"/>
      <c r="L189" s="222"/>
      <c r="M189" s="222"/>
      <c r="N189" s="199"/>
      <c r="O189" s="210"/>
      <c r="P189" s="211"/>
      <c r="Q189" s="210"/>
      <c r="R189" s="212"/>
      <c r="S189" s="213"/>
      <c r="T189" s="213"/>
      <c r="U189" s="199"/>
      <c r="V189" s="222"/>
      <c r="W189" s="70"/>
      <c r="X189" s="70"/>
      <c r="Y189" s="71"/>
      <c r="Z189" s="1"/>
    </row>
    <row r="190" spans="1:26" ht="21" customHeight="1">
      <c r="A190" s="35" t="s">
        <v>386</v>
      </c>
      <c r="B190" s="36" t="s">
        <v>386</v>
      </c>
      <c r="C190" s="722" t="s">
        <v>357</v>
      </c>
      <c r="D190" s="723"/>
      <c r="E190" s="246">
        <f>E191+E194</f>
        <v>0</v>
      </c>
      <c r="F190" s="246">
        <f>F191+F194</f>
        <v>0</v>
      </c>
      <c r="G190" s="247">
        <f>F190-E190</f>
        <v>0</v>
      </c>
      <c r="H190" s="248">
        <f>IF(E190=0,0,G190/E190)</f>
        <v>0</v>
      </c>
      <c r="I190" s="249" t="s">
        <v>394</v>
      </c>
      <c r="J190" s="250"/>
      <c r="K190" s="251"/>
      <c r="L190" s="251"/>
      <c r="M190" s="250"/>
      <c r="N190" s="250"/>
      <c r="O190" s="250"/>
      <c r="P190" s="250"/>
      <c r="Q190" s="250" t="s">
        <v>355</v>
      </c>
      <c r="R190" s="252"/>
      <c r="S190" s="252"/>
      <c r="T190" s="252"/>
      <c r="U190" s="252"/>
      <c r="V190" s="252"/>
      <c r="W190" s="252"/>
      <c r="X190" s="253">
        <f>X191+X194</f>
        <v>0</v>
      </c>
      <c r="Y190" s="264" t="s">
        <v>25</v>
      </c>
      <c r="Z190" s="1"/>
    </row>
    <row r="191" spans="1:26" ht="21" customHeight="1">
      <c r="A191" s="45"/>
      <c r="B191" s="46"/>
      <c r="C191" s="36" t="s">
        <v>393</v>
      </c>
      <c r="D191" s="451" t="s">
        <v>353</v>
      </c>
      <c r="E191" s="217">
        <f>E192</f>
        <v>0</v>
      </c>
      <c r="F191" s="217">
        <f>F192</f>
        <v>0</v>
      </c>
      <c r="G191" s="218">
        <f>F191-E191</f>
        <v>0</v>
      </c>
      <c r="H191" s="219">
        <f>IF(E191=0,0,G191/E191)</f>
        <v>0</v>
      </c>
      <c r="I191" s="202" t="s">
        <v>390</v>
      </c>
      <c r="J191" s="203"/>
      <c r="K191" s="204"/>
      <c r="L191" s="204"/>
      <c r="M191" s="204"/>
      <c r="N191" s="204"/>
      <c r="O191" s="204"/>
      <c r="P191" s="205"/>
      <c r="Q191" s="205"/>
      <c r="R191" s="205"/>
      <c r="S191" s="205"/>
      <c r="T191" s="205"/>
      <c r="U191" s="205"/>
      <c r="V191" s="232" t="s">
        <v>346</v>
      </c>
      <c r="W191" s="233"/>
      <c r="X191" s="234">
        <f>X192</f>
        <v>0</v>
      </c>
      <c r="Y191" s="265" t="s">
        <v>345</v>
      </c>
      <c r="Z191" s="1"/>
    </row>
    <row r="192" spans="1:26" ht="21" customHeight="1">
      <c r="A192" s="45"/>
      <c r="B192" s="46"/>
      <c r="C192" s="46" t="s">
        <v>392</v>
      </c>
      <c r="D192" s="36" t="s">
        <v>391</v>
      </c>
      <c r="E192" s="37">
        <v>0</v>
      </c>
      <c r="F192" s="48">
        <f>ROUND(X192/1000,0)</f>
        <v>0</v>
      </c>
      <c r="G192" s="38">
        <f>F192-E192</f>
        <v>0</v>
      </c>
      <c r="H192" s="39">
        <f>IF(E192=0,0,G192/E192)</f>
        <v>0</v>
      </c>
      <c r="I192" s="138" t="s">
        <v>390</v>
      </c>
      <c r="J192" s="157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719" t="s">
        <v>346</v>
      </c>
      <c r="W192" s="719"/>
      <c r="X192" s="140">
        <f>X193</f>
        <v>0</v>
      </c>
      <c r="Y192" s="141" t="s">
        <v>345</v>
      </c>
      <c r="Z192" s="1"/>
    </row>
    <row r="193" spans="1:27" ht="21" customHeight="1">
      <c r="A193" s="45"/>
      <c r="B193" s="46"/>
      <c r="C193" s="46" t="s">
        <v>386</v>
      </c>
      <c r="D193" s="46" t="s">
        <v>386</v>
      </c>
      <c r="E193" s="48"/>
      <c r="F193" s="48"/>
      <c r="G193" s="49"/>
      <c r="H193" s="31"/>
      <c r="I193" s="65" t="s">
        <v>389</v>
      </c>
      <c r="J193" s="294"/>
      <c r="K193" s="293"/>
      <c r="L193" s="293"/>
      <c r="M193" s="293"/>
      <c r="N193" s="449"/>
      <c r="O193" s="72"/>
      <c r="P193" s="67"/>
      <c r="Q193" s="72"/>
      <c r="R193" s="77"/>
      <c r="S193" s="74"/>
      <c r="T193" s="74"/>
      <c r="U193" s="449"/>
      <c r="V193" s="293"/>
      <c r="W193" s="66"/>
      <c r="X193" s="66">
        <v>0</v>
      </c>
      <c r="Y193" s="57" t="s">
        <v>345</v>
      </c>
      <c r="Z193" s="1"/>
    </row>
    <row r="194" spans="1:27" ht="21" customHeight="1">
      <c r="A194" s="45"/>
      <c r="B194" s="46"/>
      <c r="C194" s="36" t="s">
        <v>388</v>
      </c>
      <c r="D194" s="451" t="s">
        <v>353</v>
      </c>
      <c r="E194" s="217">
        <f>E195</f>
        <v>0</v>
      </c>
      <c r="F194" s="217">
        <f>F195</f>
        <v>0</v>
      </c>
      <c r="G194" s="218">
        <f>F194-E194</f>
        <v>0</v>
      </c>
      <c r="H194" s="219">
        <f>IF(E194=0,0,G194/E194)</f>
        <v>0</v>
      </c>
      <c r="I194" s="202" t="s">
        <v>387</v>
      </c>
      <c r="J194" s="203"/>
      <c r="K194" s="204"/>
      <c r="L194" s="204"/>
      <c r="M194" s="204"/>
      <c r="N194" s="204"/>
      <c r="O194" s="204"/>
      <c r="P194" s="205"/>
      <c r="Q194" s="205"/>
      <c r="R194" s="205"/>
      <c r="S194" s="205"/>
      <c r="T194" s="205"/>
      <c r="U194" s="205"/>
      <c r="V194" s="232" t="s">
        <v>346</v>
      </c>
      <c r="W194" s="233"/>
      <c r="X194" s="233">
        <f>X195</f>
        <v>0</v>
      </c>
      <c r="Y194" s="265" t="s">
        <v>345</v>
      </c>
      <c r="Z194" s="1"/>
    </row>
    <row r="195" spans="1:27" ht="21" customHeight="1">
      <c r="A195" s="45"/>
      <c r="B195" s="46"/>
      <c r="C195" s="46" t="s">
        <v>386</v>
      </c>
      <c r="D195" s="46" t="s">
        <v>385</v>
      </c>
      <c r="E195" s="48">
        <v>0</v>
      </c>
      <c r="F195" s="48">
        <f>ROUND(X195/1000,0)</f>
        <v>0</v>
      </c>
      <c r="G195" s="38">
        <f>F195-E195</f>
        <v>0</v>
      </c>
      <c r="H195" s="39">
        <f>IF(E195=0,0,G195/E195)</f>
        <v>0</v>
      </c>
      <c r="I195" s="65" t="s">
        <v>384</v>
      </c>
      <c r="J195" s="294"/>
      <c r="K195" s="293"/>
      <c r="L195" s="293"/>
      <c r="M195" s="293"/>
      <c r="N195" s="449"/>
      <c r="O195" s="72"/>
      <c r="P195" s="67"/>
      <c r="Q195" s="72"/>
      <c r="R195" s="77"/>
      <c r="S195" s="74"/>
      <c r="T195" s="74"/>
      <c r="U195" s="449"/>
      <c r="V195" s="293"/>
      <c r="W195" s="66"/>
      <c r="X195" s="66">
        <v>0</v>
      </c>
      <c r="Y195" s="57" t="s">
        <v>345</v>
      </c>
      <c r="Z195" s="1"/>
    </row>
    <row r="196" spans="1:27" ht="21" customHeight="1">
      <c r="A196" s="58"/>
      <c r="B196" s="59"/>
      <c r="C196" s="59"/>
      <c r="D196" s="59"/>
      <c r="E196" s="61"/>
      <c r="F196" s="61"/>
      <c r="G196" s="62"/>
      <c r="H196" s="201"/>
      <c r="I196" s="69"/>
      <c r="J196" s="359"/>
      <c r="K196" s="222"/>
      <c r="L196" s="222"/>
      <c r="M196" s="222"/>
      <c r="N196" s="199"/>
      <c r="O196" s="210"/>
      <c r="P196" s="211"/>
      <c r="Q196" s="210"/>
      <c r="R196" s="212"/>
      <c r="S196" s="213"/>
      <c r="T196" s="213"/>
      <c r="U196" s="199"/>
      <c r="V196" s="222"/>
      <c r="W196" s="70"/>
      <c r="X196" s="70"/>
      <c r="Y196" s="71"/>
      <c r="Z196" s="1"/>
    </row>
    <row r="197" spans="1:27" ht="21" customHeight="1">
      <c r="A197" s="35" t="s">
        <v>381</v>
      </c>
      <c r="B197" s="36" t="s">
        <v>13</v>
      </c>
      <c r="C197" s="722" t="s">
        <v>357</v>
      </c>
      <c r="D197" s="723"/>
      <c r="E197" s="246">
        <f>SUM(E198,E235)</f>
        <v>43607</v>
      </c>
      <c r="F197" s="246">
        <f>SUM(F198,F235)</f>
        <v>43607</v>
      </c>
      <c r="G197" s="247">
        <f>F197-E197</f>
        <v>0</v>
      </c>
      <c r="H197" s="248">
        <f>IF(E197=0,0,G197/E197)</f>
        <v>0</v>
      </c>
      <c r="I197" s="249" t="s">
        <v>383</v>
      </c>
      <c r="J197" s="250"/>
      <c r="K197" s="251"/>
      <c r="L197" s="251"/>
      <c r="M197" s="250"/>
      <c r="N197" s="250"/>
      <c r="O197" s="250"/>
      <c r="P197" s="250"/>
      <c r="Q197" s="250" t="s">
        <v>355</v>
      </c>
      <c r="R197" s="252"/>
      <c r="S197" s="252"/>
      <c r="T197" s="252"/>
      <c r="U197" s="252"/>
      <c r="V197" s="252"/>
      <c r="W197" s="252"/>
      <c r="X197" s="253">
        <f>X199+X235</f>
        <v>43607000</v>
      </c>
      <c r="Y197" s="264" t="s">
        <v>25</v>
      </c>
      <c r="Z197" s="23"/>
      <c r="AA197" s="24"/>
    </row>
    <row r="198" spans="1:27" ht="21" customHeight="1">
      <c r="A198" s="45"/>
      <c r="B198" s="46"/>
      <c r="C198" s="36" t="s">
        <v>382</v>
      </c>
      <c r="D198" s="451" t="s">
        <v>353</v>
      </c>
      <c r="E198" s="217">
        <f>E199</f>
        <v>32060</v>
      </c>
      <c r="F198" s="217">
        <f>F199</f>
        <v>42051</v>
      </c>
      <c r="G198" s="218">
        <f>F198-E198</f>
        <v>9991</v>
      </c>
      <c r="H198" s="219">
        <f>IF(E198=0,0,G198/E198)</f>
        <v>0.31163443543356206</v>
      </c>
      <c r="I198" s="202" t="s">
        <v>379</v>
      </c>
      <c r="J198" s="203"/>
      <c r="K198" s="204"/>
      <c r="L198" s="204"/>
      <c r="M198" s="204"/>
      <c r="N198" s="204"/>
      <c r="O198" s="204"/>
      <c r="P198" s="205"/>
      <c r="Q198" s="205"/>
      <c r="R198" s="205"/>
      <c r="S198" s="205"/>
      <c r="T198" s="205"/>
      <c r="U198" s="205"/>
      <c r="V198" s="232" t="s">
        <v>346</v>
      </c>
      <c r="W198" s="233"/>
      <c r="X198" s="234">
        <f>SUM(X199:X199)</f>
        <v>42051000</v>
      </c>
      <c r="Y198" s="265" t="s">
        <v>345</v>
      </c>
      <c r="Z198" s="23"/>
      <c r="AA198" s="24"/>
    </row>
    <row r="199" spans="1:27" ht="21" customHeight="1">
      <c r="A199" s="45"/>
      <c r="B199" s="46"/>
      <c r="C199" s="46" t="s">
        <v>381</v>
      </c>
      <c r="D199" s="36" t="s">
        <v>380</v>
      </c>
      <c r="E199" s="37">
        <v>32060</v>
      </c>
      <c r="F199" s="48">
        <f>ROUND(X199/1000,0)</f>
        <v>42051</v>
      </c>
      <c r="G199" s="38">
        <f>F199-E199</f>
        <v>9991</v>
      </c>
      <c r="H199" s="39">
        <f>IF(E199=0,0,G199/E199)</f>
        <v>0.31163443543356206</v>
      </c>
      <c r="I199" s="138" t="s">
        <v>379</v>
      </c>
      <c r="J199" s="157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719" t="s">
        <v>346</v>
      </c>
      <c r="W199" s="719"/>
      <c r="X199" s="140">
        <f>SUM(X200,X202,X210,X220,X223,X225,X227,X230,X233)</f>
        <v>42051000</v>
      </c>
      <c r="Y199" s="141" t="s">
        <v>345</v>
      </c>
      <c r="Z199" s="23"/>
      <c r="AA199" s="24"/>
    </row>
    <row r="200" spans="1:27" ht="21" customHeight="1">
      <c r="A200" s="45"/>
      <c r="B200" s="46"/>
      <c r="C200" s="46"/>
      <c r="D200" s="46"/>
      <c r="E200" s="48"/>
      <c r="F200" s="48"/>
      <c r="G200" s="49"/>
      <c r="H200" s="31"/>
      <c r="I200" s="400" t="s">
        <v>682</v>
      </c>
      <c r="J200" s="580"/>
      <c r="K200" s="580"/>
      <c r="L200" s="580"/>
      <c r="M200" s="580"/>
      <c r="N200" s="580"/>
      <c r="O200" s="580"/>
      <c r="P200" s="580"/>
      <c r="Q200" s="580"/>
      <c r="R200" s="580"/>
      <c r="S200" s="580"/>
      <c r="T200" s="580"/>
      <c r="U200" s="580"/>
      <c r="V200" s="580"/>
      <c r="W200" s="580"/>
      <c r="X200" s="579">
        <v>0</v>
      </c>
      <c r="Y200" s="131" t="s">
        <v>56</v>
      </c>
      <c r="Z200" s="23"/>
      <c r="AA200" s="24"/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582"/>
      <c r="J201" s="582"/>
      <c r="K201" s="582"/>
      <c r="L201" s="582"/>
      <c r="M201" s="582"/>
      <c r="N201" s="582"/>
      <c r="O201" s="582"/>
      <c r="P201" s="582"/>
      <c r="Q201" s="582"/>
      <c r="R201" s="582"/>
      <c r="S201" s="582"/>
      <c r="T201" s="582"/>
      <c r="U201" s="582"/>
      <c r="V201" s="582"/>
      <c r="W201" s="582"/>
      <c r="X201" s="581"/>
      <c r="Y201" s="131"/>
      <c r="Z201" s="23"/>
      <c r="AA201" s="24"/>
    </row>
    <row r="202" spans="1:27" ht="21" customHeight="1" thickBot="1">
      <c r="A202" s="45"/>
      <c r="B202" s="46"/>
      <c r="C202" s="46"/>
      <c r="D202" s="46"/>
      <c r="E202" s="48"/>
      <c r="F202" s="48"/>
      <c r="G202" s="49"/>
      <c r="H202" s="31"/>
      <c r="I202" s="455" t="s">
        <v>659</v>
      </c>
      <c r="J202" s="63"/>
      <c r="K202" s="293"/>
      <c r="L202" s="293"/>
      <c r="M202" s="293"/>
      <c r="N202" s="293"/>
      <c r="O202" s="293"/>
      <c r="P202" s="293"/>
      <c r="Q202" s="518" t="s">
        <v>364</v>
      </c>
      <c r="R202" s="518"/>
      <c r="S202" s="518"/>
      <c r="T202" s="518"/>
      <c r="U202" s="518"/>
      <c r="V202" s="518"/>
      <c r="W202" s="518"/>
      <c r="X202" s="518">
        <f>SUM(X203:X209)</f>
        <v>7703000</v>
      </c>
      <c r="Y202" s="452" t="s">
        <v>56</v>
      </c>
      <c r="Z202" s="1"/>
    </row>
    <row r="203" spans="1:27" ht="21" customHeight="1">
      <c r="A203" s="45"/>
      <c r="B203" s="46"/>
      <c r="C203" s="46"/>
      <c r="D203" s="46"/>
      <c r="E203" s="48"/>
      <c r="F203" s="48"/>
      <c r="G203" s="49"/>
      <c r="H203" s="31"/>
      <c r="I203" s="582" t="s">
        <v>619</v>
      </c>
      <c r="J203" s="582"/>
      <c r="K203" s="581"/>
      <c r="L203" s="581"/>
      <c r="M203" s="581">
        <v>0</v>
      </c>
      <c r="N203" s="581" t="s">
        <v>56</v>
      </c>
      <c r="O203" s="387" t="s">
        <v>57</v>
      </c>
      <c r="P203" s="581">
        <v>39</v>
      </c>
      <c r="Q203" s="581" t="s">
        <v>55</v>
      </c>
      <c r="R203" s="387"/>
      <c r="S203" s="581"/>
      <c r="T203" s="581"/>
      <c r="U203" s="581" t="s">
        <v>53</v>
      </c>
      <c r="V203" s="581"/>
      <c r="W203" s="584"/>
      <c r="X203" s="584">
        <v>727000</v>
      </c>
      <c r="Y203" s="131" t="s">
        <v>56</v>
      </c>
      <c r="Z203" s="1"/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582" t="s">
        <v>574</v>
      </c>
      <c r="J204" s="582"/>
      <c r="K204" s="581"/>
      <c r="L204" s="581"/>
      <c r="M204" s="581">
        <v>20000</v>
      </c>
      <c r="N204" s="581" t="s">
        <v>56</v>
      </c>
      <c r="O204" s="387" t="s">
        <v>57</v>
      </c>
      <c r="P204" s="581">
        <v>39</v>
      </c>
      <c r="Q204" s="581" t="s">
        <v>55</v>
      </c>
      <c r="R204" s="387"/>
      <c r="S204" s="581"/>
      <c r="T204" s="581"/>
      <c r="U204" s="581" t="s">
        <v>53</v>
      </c>
      <c r="V204" s="581"/>
      <c r="W204" s="584"/>
      <c r="X204" s="584">
        <f>M204*P204</f>
        <v>780000</v>
      </c>
      <c r="Y204" s="131" t="s">
        <v>56</v>
      </c>
      <c r="Z204" s="1"/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277" t="s">
        <v>815</v>
      </c>
      <c r="J205" s="294"/>
      <c r="K205" s="293"/>
      <c r="L205" s="293"/>
      <c r="M205" s="293">
        <v>590000</v>
      </c>
      <c r="N205" s="73" t="s">
        <v>56</v>
      </c>
      <c r="O205" s="72" t="s">
        <v>57</v>
      </c>
      <c r="P205" s="73">
        <v>3</v>
      </c>
      <c r="Q205" s="293" t="s">
        <v>55</v>
      </c>
      <c r="R205" s="72"/>
      <c r="S205" s="73"/>
      <c r="T205" s="73"/>
      <c r="U205" s="458" t="s">
        <v>53</v>
      </c>
      <c r="V205" s="73"/>
      <c r="W205" s="73"/>
      <c r="X205" s="666">
        <f>M205*P205</f>
        <v>1770000</v>
      </c>
      <c r="Y205" s="389" t="s">
        <v>745</v>
      </c>
      <c r="Z205" s="1"/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638" t="s">
        <v>700</v>
      </c>
      <c r="J206" s="638"/>
      <c r="K206" s="637"/>
      <c r="L206" s="637"/>
      <c r="M206" s="637">
        <v>0</v>
      </c>
      <c r="N206" s="388" t="s">
        <v>699</v>
      </c>
      <c r="O206" s="387" t="s">
        <v>701</v>
      </c>
      <c r="P206" s="388">
        <v>39</v>
      </c>
      <c r="Q206" s="637" t="s">
        <v>702</v>
      </c>
      <c r="R206" s="387"/>
      <c r="S206" s="388"/>
      <c r="T206" s="388"/>
      <c r="U206" s="393" t="s">
        <v>703</v>
      </c>
      <c r="V206" s="388"/>
      <c r="W206" s="388"/>
      <c r="X206" s="663">
        <v>1226000</v>
      </c>
      <c r="Y206" s="389" t="s">
        <v>745</v>
      </c>
      <c r="Z206" s="1"/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582" t="s">
        <v>620</v>
      </c>
      <c r="J207" s="582"/>
      <c r="K207" s="582"/>
      <c r="L207" s="582"/>
      <c r="M207" s="581">
        <v>30000</v>
      </c>
      <c r="N207" s="388" t="s">
        <v>56</v>
      </c>
      <c r="O207" s="387" t="s">
        <v>57</v>
      </c>
      <c r="P207" s="397">
        <v>39</v>
      </c>
      <c r="Q207" s="581" t="s">
        <v>55</v>
      </c>
      <c r="R207" s="387" t="s">
        <v>57</v>
      </c>
      <c r="S207" s="388">
        <v>2</v>
      </c>
      <c r="T207" s="388" t="s">
        <v>65</v>
      </c>
      <c r="U207" s="393" t="s">
        <v>53</v>
      </c>
      <c r="V207" s="388"/>
      <c r="W207" s="388"/>
      <c r="X207" s="663">
        <f>M207*P207*S207</f>
        <v>2340000</v>
      </c>
      <c r="Y207" s="389" t="s">
        <v>745</v>
      </c>
      <c r="Z207" s="1"/>
    </row>
    <row r="208" spans="1:27" ht="21" customHeight="1">
      <c r="A208" s="45"/>
      <c r="B208" s="46"/>
      <c r="C208" s="46"/>
      <c r="D208" s="46"/>
      <c r="E208" s="48"/>
      <c r="F208" s="48"/>
      <c r="G208" s="49"/>
      <c r="H208" s="31"/>
      <c r="I208" s="65" t="s">
        <v>250</v>
      </c>
      <c r="J208" s="294"/>
      <c r="K208" s="294"/>
      <c r="L208" s="294"/>
      <c r="M208" s="293"/>
      <c r="N208" s="73"/>
      <c r="O208" s="73"/>
      <c r="P208" s="73"/>
      <c r="Q208" s="293"/>
      <c r="R208" s="293"/>
      <c r="S208" s="73"/>
      <c r="T208" s="73"/>
      <c r="U208" s="73"/>
      <c r="V208" s="73"/>
      <c r="W208" s="73"/>
      <c r="X208" s="663">
        <v>860000</v>
      </c>
      <c r="Y208" s="389" t="s">
        <v>745</v>
      </c>
      <c r="Z208" s="1"/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283" t="s">
        <v>704</v>
      </c>
      <c r="J209" s="638"/>
      <c r="K209" s="637"/>
      <c r="L209" s="637"/>
      <c r="M209" s="637"/>
      <c r="N209" s="637"/>
      <c r="O209" s="638"/>
      <c r="P209" s="637"/>
      <c r="Q209" s="637"/>
      <c r="R209" s="637"/>
      <c r="S209" s="637"/>
      <c r="T209" s="637"/>
      <c r="U209" s="637"/>
      <c r="V209" s="637"/>
      <c r="W209" s="640"/>
      <c r="X209" s="662">
        <v>0</v>
      </c>
      <c r="Y209" s="131" t="s">
        <v>745</v>
      </c>
      <c r="Z209" s="1"/>
    </row>
    <row r="210" spans="1:26" ht="21" customHeight="1" thickBot="1">
      <c r="A210" s="45"/>
      <c r="B210" s="46"/>
      <c r="C210" s="46"/>
      <c r="D210" s="46"/>
      <c r="E210" s="48"/>
      <c r="F210" s="48"/>
      <c r="G210" s="49"/>
      <c r="H210" s="31"/>
      <c r="I210" s="455" t="s">
        <v>660</v>
      </c>
      <c r="J210" s="63"/>
      <c r="K210" s="293"/>
      <c r="L210" s="293"/>
      <c r="M210" s="294"/>
      <c r="N210" s="294"/>
      <c r="O210" s="294"/>
      <c r="P210" s="294"/>
      <c r="Q210" s="518" t="s">
        <v>363</v>
      </c>
      <c r="R210" s="518"/>
      <c r="S210" s="518"/>
      <c r="T210" s="518"/>
      <c r="U210" s="518"/>
      <c r="V210" s="518"/>
      <c r="W210" s="518"/>
      <c r="X210" s="518">
        <f>SUM(X211:X219)</f>
        <v>15868000</v>
      </c>
      <c r="Y210" s="452" t="s">
        <v>56</v>
      </c>
      <c r="Z210" s="1"/>
    </row>
    <row r="211" spans="1:26" ht="21" customHeight="1">
      <c r="A211" s="45"/>
      <c r="B211" s="46"/>
      <c r="C211" s="46"/>
      <c r="D211" s="46"/>
      <c r="E211" s="48"/>
      <c r="F211" s="48"/>
      <c r="G211" s="49"/>
      <c r="H211" s="31"/>
      <c r="I211" s="283" t="s">
        <v>622</v>
      </c>
      <c r="J211" s="582"/>
      <c r="K211" s="582"/>
      <c r="L211" s="582"/>
      <c r="M211" s="581">
        <v>100000</v>
      </c>
      <c r="N211" s="388" t="s">
        <v>56</v>
      </c>
      <c r="O211" s="387" t="s">
        <v>57</v>
      </c>
      <c r="P211" s="388">
        <v>14</v>
      </c>
      <c r="Q211" s="581" t="s">
        <v>55</v>
      </c>
      <c r="R211" s="581"/>
      <c r="S211" s="388"/>
      <c r="T211" s="388"/>
      <c r="U211" s="388" t="s">
        <v>53</v>
      </c>
      <c r="V211" s="388"/>
      <c r="W211" s="388"/>
      <c r="X211" s="275">
        <f>M211*P211</f>
        <v>1400000</v>
      </c>
      <c r="Y211" s="389" t="s">
        <v>25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582" t="s">
        <v>621</v>
      </c>
      <c r="J212" s="582"/>
      <c r="K212" s="582"/>
      <c r="L212" s="582"/>
      <c r="M212" s="293">
        <v>20000</v>
      </c>
      <c r="N212" s="293" t="s">
        <v>56</v>
      </c>
      <c r="O212" s="72" t="s">
        <v>57</v>
      </c>
      <c r="P212" s="581">
        <v>14</v>
      </c>
      <c r="Q212" s="293" t="s">
        <v>55</v>
      </c>
      <c r="R212" s="72" t="s">
        <v>57</v>
      </c>
      <c r="S212" s="293">
        <v>2</v>
      </c>
      <c r="T212" s="293" t="s">
        <v>65</v>
      </c>
      <c r="U212" s="293" t="s">
        <v>53</v>
      </c>
      <c r="V212" s="388"/>
      <c r="W212" s="388"/>
      <c r="X212" s="275">
        <f>M212*P212*S212</f>
        <v>560000</v>
      </c>
      <c r="Y212" s="389" t="s">
        <v>25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294" t="s">
        <v>623</v>
      </c>
      <c r="J213" s="294"/>
      <c r="K213" s="294"/>
      <c r="L213" s="294"/>
      <c r="M213" s="293">
        <v>100000</v>
      </c>
      <c r="N213" s="293" t="s">
        <v>56</v>
      </c>
      <c r="O213" s="72" t="s">
        <v>57</v>
      </c>
      <c r="P213" s="581">
        <v>39</v>
      </c>
      <c r="Q213" s="293" t="s">
        <v>55</v>
      </c>
      <c r="R213" s="72" t="s">
        <v>57</v>
      </c>
      <c r="S213" s="293">
        <v>1</v>
      </c>
      <c r="T213" s="293" t="s">
        <v>65</v>
      </c>
      <c r="U213" s="293" t="s">
        <v>53</v>
      </c>
      <c r="V213" s="293"/>
      <c r="W213" s="66"/>
      <c r="X213" s="663">
        <f>M213*P213*S213</f>
        <v>3900000</v>
      </c>
      <c r="Y213" s="131" t="s">
        <v>745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638" t="s">
        <v>705</v>
      </c>
      <c r="J214" s="638"/>
      <c r="K214" s="638"/>
      <c r="L214" s="638"/>
      <c r="M214" s="637">
        <v>100000</v>
      </c>
      <c r="N214" s="388" t="s">
        <v>699</v>
      </c>
      <c r="O214" s="387" t="s">
        <v>701</v>
      </c>
      <c r="P214" s="388">
        <v>4</v>
      </c>
      <c r="Q214" s="637" t="s">
        <v>706</v>
      </c>
      <c r="R214" s="388"/>
      <c r="S214" s="388"/>
      <c r="T214" s="388"/>
      <c r="U214" s="393" t="s">
        <v>703</v>
      </c>
      <c r="V214" s="388"/>
      <c r="W214" s="388"/>
      <c r="X214" s="663">
        <f>M214*P214</f>
        <v>400000</v>
      </c>
      <c r="Y214" s="389" t="s">
        <v>745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664" t="s">
        <v>754</v>
      </c>
      <c r="J215" s="664"/>
      <c r="K215" s="664"/>
      <c r="L215" s="664"/>
      <c r="M215" s="663">
        <v>100000</v>
      </c>
      <c r="N215" s="388" t="s">
        <v>745</v>
      </c>
      <c r="O215" s="387" t="s">
        <v>746</v>
      </c>
      <c r="P215" s="388">
        <v>39</v>
      </c>
      <c r="Q215" s="663" t="s">
        <v>747</v>
      </c>
      <c r="R215" s="388"/>
      <c r="S215" s="388"/>
      <c r="T215" s="388"/>
      <c r="U215" s="393" t="s">
        <v>749</v>
      </c>
      <c r="V215" s="388"/>
      <c r="W215" s="594"/>
      <c r="X215" s="663">
        <f>M215*P215</f>
        <v>3900000</v>
      </c>
      <c r="Y215" s="389" t="s">
        <v>745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294" t="s">
        <v>816</v>
      </c>
      <c r="J216" s="294"/>
      <c r="K216" s="294"/>
      <c r="L216" s="294"/>
      <c r="M216" s="294"/>
      <c r="N216" s="294"/>
      <c r="O216" s="294"/>
      <c r="P216" s="294"/>
      <c r="Q216" s="294"/>
      <c r="R216" s="294"/>
      <c r="S216" s="294"/>
      <c r="T216" s="294"/>
      <c r="U216" s="294"/>
      <c r="V216" s="294"/>
      <c r="W216" s="294"/>
      <c r="X216" s="678">
        <v>278000</v>
      </c>
      <c r="Y216" s="457" t="s">
        <v>817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294" t="s">
        <v>818</v>
      </c>
      <c r="J217" s="294"/>
      <c r="K217" s="294"/>
      <c r="L217" s="294"/>
      <c r="M217" s="294"/>
      <c r="N217" s="294"/>
      <c r="O217" s="294"/>
      <c r="P217" s="294"/>
      <c r="Q217" s="294"/>
      <c r="R217" s="294"/>
      <c r="S217" s="294"/>
      <c r="T217" s="294"/>
      <c r="U217" s="294"/>
      <c r="V217" s="294"/>
      <c r="W217" s="294"/>
      <c r="X217" s="678">
        <v>680000</v>
      </c>
      <c r="Y217" s="457" t="s">
        <v>817</v>
      </c>
      <c r="Z217" s="1"/>
    </row>
    <row r="218" spans="1:26" ht="21" customHeight="1">
      <c r="A218" s="45"/>
      <c r="B218" s="46"/>
      <c r="C218" s="46"/>
      <c r="D218" s="46"/>
      <c r="E218" s="48"/>
      <c r="F218" s="48"/>
      <c r="G218" s="49"/>
      <c r="H218" s="31"/>
      <c r="I218" s="294" t="s">
        <v>819</v>
      </c>
      <c r="J218" s="294"/>
      <c r="K218" s="294"/>
      <c r="L218" s="294"/>
      <c r="M218" s="294"/>
      <c r="N218" s="294"/>
      <c r="O218" s="294"/>
      <c r="P218" s="294"/>
      <c r="Q218" s="294"/>
      <c r="R218" s="294"/>
      <c r="S218" s="294"/>
      <c r="T218" s="294"/>
      <c r="U218" s="294"/>
      <c r="V218" s="294"/>
      <c r="W218" s="294"/>
      <c r="X218" s="678">
        <v>1400000</v>
      </c>
      <c r="Y218" s="457" t="s">
        <v>817</v>
      </c>
      <c r="Z218" s="1"/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294" t="s">
        <v>820</v>
      </c>
      <c r="J219" s="294"/>
      <c r="K219" s="294"/>
      <c r="L219" s="294"/>
      <c r="M219" s="294"/>
      <c r="N219" s="294"/>
      <c r="O219" s="294"/>
      <c r="P219" s="294"/>
      <c r="Q219" s="294"/>
      <c r="R219" s="294"/>
      <c r="S219" s="294"/>
      <c r="T219" s="294"/>
      <c r="U219" s="294"/>
      <c r="V219" s="294"/>
      <c r="W219" s="294"/>
      <c r="X219" s="678">
        <v>3350000</v>
      </c>
      <c r="Y219" s="457" t="s">
        <v>817</v>
      </c>
      <c r="Z219" s="1"/>
    </row>
    <row r="220" spans="1:26" ht="21" customHeight="1" thickBot="1">
      <c r="A220" s="45"/>
      <c r="B220" s="46"/>
      <c r="C220" s="46"/>
      <c r="D220" s="46"/>
      <c r="E220" s="48"/>
      <c r="F220" s="48"/>
      <c r="G220" s="49"/>
      <c r="H220" s="31"/>
      <c r="I220" s="455" t="s">
        <v>661</v>
      </c>
      <c r="J220" s="63"/>
      <c r="K220" s="293"/>
      <c r="L220" s="293"/>
      <c r="M220" s="293"/>
      <c r="N220" s="293"/>
      <c r="O220" s="293"/>
      <c r="P220" s="294"/>
      <c r="Q220" s="294"/>
      <c r="R220" s="294"/>
      <c r="S220" s="456" t="s">
        <v>362</v>
      </c>
      <c r="T220" s="63"/>
      <c r="U220" s="63"/>
      <c r="V220" s="456"/>
      <c r="W220" s="456"/>
      <c r="X220" s="518">
        <f>SUM(X221:X222)</f>
        <v>1080000</v>
      </c>
      <c r="Y220" s="452" t="s">
        <v>56</v>
      </c>
      <c r="Z220" s="1"/>
    </row>
    <row r="221" spans="1:26" ht="21" customHeight="1">
      <c r="A221" s="45"/>
      <c r="B221" s="46"/>
      <c r="C221" s="46"/>
      <c r="D221" s="46"/>
      <c r="E221" s="48"/>
      <c r="F221" s="48"/>
      <c r="G221" s="49"/>
      <c r="H221" s="31"/>
      <c r="I221" s="283" t="s">
        <v>616</v>
      </c>
      <c r="J221" s="582"/>
      <c r="K221" s="581"/>
      <c r="L221" s="581"/>
      <c r="M221" s="581">
        <v>50000</v>
      </c>
      <c r="N221" s="581" t="s">
        <v>56</v>
      </c>
      <c r="O221" s="387" t="s">
        <v>57</v>
      </c>
      <c r="P221" s="581">
        <v>4</v>
      </c>
      <c r="Q221" s="581" t="s">
        <v>55</v>
      </c>
      <c r="R221" s="387" t="s">
        <v>57</v>
      </c>
      <c r="S221" s="581">
        <v>4</v>
      </c>
      <c r="T221" s="581" t="s">
        <v>65</v>
      </c>
      <c r="U221" s="581" t="s">
        <v>53</v>
      </c>
      <c r="V221" s="581"/>
      <c r="W221" s="584"/>
      <c r="X221" s="275">
        <f>M221*P221*S221</f>
        <v>800000</v>
      </c>
      <c r="Y221" s="131" t="s">
        <v>56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65" t="s">
        <v>669</v>
      </c>
      <c r="J222" s="294"/>
      <c r="K222" s="293"/>
      <c r="L222" s="293"/>
      <c r="M222" s="293"/>
      <c r="N222" s="293"/>
      <c r="O222" s="294"/>
      <c r="P222" s="293"/>
      <c r="Q222" s="293"/>
      <c r="R222" s="293"/>
      <c r="S222" s="293"/>
      <c r="T222" s="293"/>
      <c r="U222" s="293"/>
      <c r="V222" s="293"/>
      <c r="W222" s="66"/>
      <c r="X222" s="640">
        <v>280000</v>
      </c>
      <c r="Y222" s="131" t="s">
        <v>699</v>
      </c>
      <c r="Z222" s="1"/>
    </row>
    <row r="223" spans="1:26" ht="21" customHeight="1" thickBot="1">
      <c r="A223" s="45"/>
      <c r="B223" s="46"/>
      <c r="C223" s="46"/>
      <c r="D223" s="46"/>
      <c r="E223" s="48"/>
      <c r="F223" s="48"/>
      <c r="G223" s="49"/>
      <c r="H223" s="31"/>
      <c r="I223" s="455" t="s">
        <v>666</v>
      </c>
      <c r="J223" s="454"/>
      <c r="K223" s="176"/>
      <c r="L223" s="176"/>
      <c r="M223" s="176"/>
      <c r="N223" s="176"/>
      <c r="O223" s="176"/>
      <c r="P223" s="176"/>
      <c r="Q223" s="176"/>
      <c r="R223" s="176"/>
      <c r="S223" s="454" t="s">
        <v>668</v>
      </c>
      <c r="T223" s="454"/>
      <c r="U223" s="454"/>
      <c r="V223" s="454"/>
      <c r="W223" s="454"/>
      <c r="X223" s="453">
        <f>X224</f>
        <v>1000000</v>
      </c>
      <c r="Y223" s="452" t="s">
        <v>56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600" t="s">
        <v>667</v>
      </c>
      <c r="J224" s="582"/>
      <c r="K224" s="582"/>
      <c r="L224" s="582"/>
      <c r="M224" s="582"/>
      <c r="N224" s="582"/>
      <c r="O224" s="582"/>
      <c r="P224" s="582"/>
      <c r="Q224" s="582"/>
      <c r="R224" s="582"/>
      <c r="S224" s="582"/>
      <c r="T224" s="582"/>
      <c r="U224" s="582"/>
      <c r="V224" s="582"/>
      <c r="W224" s="582"/>
      <c r="X224" s="671">
        <v>1000000</v>
      </c>
      <c r="Y224" s="131" t="s">
        <v>745</v>
      </c>
      <c r="Z224" s="1"/>
    </row>
    <row r="225" spans="1:27" ht="21" customHeight="1" thickBot="1">
      <c r="A225" s="45"/>
      <c r="B225" s="46"/>
      <c r="C225" s="46"/>
      <c r="D225" s="46"/>
      <c r="E225" s="48"/>
      <c r="F225" s="48"/>
      <c r="G225" s="49"/>
      <c r="H225" s="31"/>
      <c r="I225" s="455" t="s">
        <v>723</v>
      </c>
      <c r="J225" s="454"/>
      <c r="K225" s="176"/>
      <c r="L225" s="176"/>
      <c r="M225" s="176"/>
      <c r="N225" s="176"/>
      <c r="O225" s="176"/>
      <c r="P225" s="176"/>
      <c r="Q225" s="176"/>
      <c r="R225" s="176"/>
      <c r="S225" s="454" t="s">
        <v>668</v>
      </c>
      <c r="T225" s="454"/>
      <c r="U225" s="454"/>
      <c r="V225" s="454"/>
      <c r="W225" s="454"/>
      <c r="X225" s="672">
        <f>X226</f>
        <v>400000</v>
      </c>
      <c r="Y225" s="673" t="s">
        <v>745</v>
      </c>
      <c r="Z225" s="1"/>
    </row>
    <row r="226" spans="1:27" ht="21" customHeight="1">
      <c r="A226" s="45"/>
      <c r="B226" s="46"/>
      <c r="C226" s="46"/>
      <c r="D226" s="46"/>
      <c r="E226" s="48"/>
      <c r="F226" s="48"/>
      <c r="G226" s="49"/>
      <c r="H226" s="31"/>
      <c r="I226" s="668" t="s">
        <v>821</v>
      </c>
      <c r="J226" s="429"/>
      <c r="K226" s="429"/>
      <c r="L226" s="429"/>
      <c r="M226" s="429"/>
      <c r="N226" s="429"/>
      <c r="O226" s="429"/>
      <c r="P226" s="429"/>
      <c r="Q226" s="429"/>
      <c r="R226" s="429"/>
      <c r="S226" s="429"/>
      <c r="T226" s="429"/>
      <c r="U226" s="429"/>
      <c r="V226" s="429"/>
      <c r="W226" s="429"/>
      <c r="X226" s="671">
        <v>400000</v>
      </c>
      <c r="Y226" s="131" t="s">
        <v>745</v>
      </c>
      <c r="Z226" s="1"/>
    </row>
    <row r="227" spans="1:27" ht="21" customHeight="1" thickBot="1">
      <c r="A227" s="45"/>
      <c r="B227" s="46"/>
      <c r="C227" s="46"/>
      <c r="D227" s="46"/>
      <c r="E227" s="48"/>
      <c r="F227" s="48"/>
      <c r="G227" s="49"/>
      <c r="H227" s="31"/>
      <c r="I227" s="455" t="s">
        <v>724</v>
      </c>
      <c r="J227" s="454"/>
      <c r="K227" s="176"/>
      <c r="L227" s="176"/>
      <c r="M227" s="176"/>
      <c r="N227" s="176"/>
      <c r="O227" s="176"/>
      <c r="P227" s="176"/>
      <c r="Q227" s="176"/>
      <c r="R227" s="176"/>
      <c r="S227" s="454" t="s">
        <v>514</v>
      </c>
      <c r="T227" s="454"/>
      <c r="U227" s="454"/>
      <c r="V227" s="454"/>
      <c r="W227" s="454"/>
      <c r="X227" s="672">
        <f>SUM(X228:X228)</f>
        <v>9000000</v>
      </c>
      <c r="Y227" s="673" t="s">
        <v>745</v>
      </c>
      <c r="Z227" s="1"/>
    </row>
    <row r="228" spans="1:27" ht="21" customHeight="1">
      <c r="A228" s="45"/>
      <c r="B228" s="46"/>
      <c r="C228" s="46"/>
      <c r="D228" s="46"/>
      <c r="E228" s="48"/>
      <c r="F228" s="48"/>
      <c r="G228" s="49"/>
      <c r="H228" s="31"/>
      <c r="I228" s="638" t="s">
        <v>707</v>
      </c>
      <c r="J228" s="638"/>
      <c r="K228" s="638"/>
      <c r="L228" s="638"/>
      <c r="M228" s="638"/>
      <c r="N228" s="638"/>
      <c r="O228" s="638"/>
      <c r="P228" s="638"/>
      <c r="Q228" s="638"/>
      <c r="R228" s="638"/>
      <c r="S228" s="638"/>
      <c r="T228" s="638"/>
      <c r="U228" s="638"/>
      <c r="V228" s="638"/>
      <c r="W228" s="638"/>
      <c r="X228" s="663">
        <v>9000000</v>
      </c>
      <c r="Y228" s="131" t="s">
        <v>745</v>
      </c>
      <c r="Z228" s="1"/>
    </row>
    <row r="229" spans="1:27" ht="21" customHeight="1">
      <c r="A229" s="45"/>
      <c r="B229" s="46"/>
      <c r="C229" s="46"/>
      <c r="D229" s="46"/>
      <c r="E229" s="48"/>
      <c r="F229" s="48"/>
      <c r="G229" s="49"/>
      <c r="H229" s="31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7"/>
      <c r="V229" s="627"/>
      <c r="W229" s="627"/>
      <c r="X229" s="626"/>
      <c r="Y229" s="131"/>
      <c r="Z229" s="1"/>
    </row>
    <row r="230" spans="1:27" ht="21" customHeight="1" thickBot="1">
      <c r="A230" s="45"/>
      <c r="B230" s="46"/>
      <c r="C230" s="46"/>
      <c r="D230" s="46"/>
      <c r="E230" s="48"/>
      <c r="F230" s="48"/>
      <c r="G230" s="49"/>
      <c r="H230" s="31"/>
      <c r="I230" s="632" t="s">
        <v>725</v>
      </c>
      <c r="J230" s="633"/>
      <c r="K230" s="627"/>
      <c r="L230" s="627"/>
      <c r="M230" s="627"/>
      <c r="N230" s="627"/>
      <c r="O230" s="627"/>
      <c r="P230" s="627"/>
      <c r="Q230" s="627"/>
      <c r="R230" s="627"/>
      <c r="S230" s="454" t="s">
        <v>514</v>
      </c>
      <c r="T230" s="454"/>
      <c r="U230" s="454"/>
      <c r="V230" s="454"/>
      <c r="W230" s="454"/>
      <c r="X230" s="453">
        <f>SUM(X231:X232)</f>
        <v>0</v>
      </c>
      <c r="Y230" s="452" t="s">
        <v>56</v>
      </c>
      <c r="Z230" s="1"/>
    </row>
    <row r="231" spans="1:27" ht="21" customHeight="1">
      <c r="A231" s="45"/>
      <c r="B231" s="46"/>
      <c r="C231" s="46"/>
      <c r="D231" s="46"/>
      <c r="E231" s="48"/>
      <c r="F231" s="48"/>
      <c r="G231" s="49"/>
      <c r="H231" s="31"/>
      <c r="I231" s="647" t="s">
        <v>708</v>
      </c>
      <c r="J231" s="648"/>
      <c r="K231" s="638"/>
      <c r="L231" s="638"/>
      <c r="M231" s="638"/>
      <c r="N231" s="638"/>
      <c r="O231" s="638"/>
      <c r="P231" s="638"/>
      <c r="Q231" s="638"/>
      <c r="R231" s="638"/>
      <c r="S231" s="638"/>
      <c r="T231" s="638"/>
      <c r="U231" s="638"/>
      <c r="V231" s="638"/>
      <c r="W231" s="638"/>
      <c r="X231" s="637">
        <v>0</v>
      </c>
      <c r="Y231" s="131" t="s">
        <v>699</v>
      </c>
      <c r="Z231" s="1"/>
    </row>
    <row r="232" spans="1:27" ht="21" customHeight="1">
      <c r="A232" s="45"/>
      <c r="B232" s="46"/>
      <c r="C232" s="46"/>
      <c r="D232" s="46"/>
      <c r="E232" s="48"/>
      <c r="F232" s="48"/>
      <c r="G232" s="49"/>
      <c r="H232" s="31"/>
      <c r="I232" s="638" t="s">
        <v>727</v>
      </c>
      <c r="J232" s="630"/>
      <c r="K232" s="630"/>
      <c r="L232" s="630"/>
      <c r="M232" s="630"/>
      <c r="N232" s="630"/>
      <c r="O232" s="630"/>
      <c r="P232" s="630"/>
      <c r="Q232" s="630"/>
      <c r="R232" s="630"/>
      <c r="S232" s="630"/>
      <c r="T232" s="630"/>
      <c r="U232" s="630"/>
      <c r="V232" s="630"/>
      <c r="W232" s="630"/>
      <c r="X232" s="629">
        <v>0</v>
      </c>
      <c r="Y232" s="131" t="s">
        <v>711</v>
      </c>
      <c r="Z232" s="1"/>
    </row>
    <row r="233" spans="1:27" ht="21" customHeight="1" thickBot="1">
      <c r="A233" s="45"/>
      <c r="B233" s="46"/>
      <c r="C233" s="46"/>
      <c r="D233" s="46"/>
      <c r="E233" s="48"/>
      <c r="F233" s="48"/>
      <c r="G233" s="49"/>
      <c r="H233" s="31"/>
      <c r="I233" s="455" t="s">
        <v>726</v>
      </c>
      <c r="J233" s="454"/>
      <c r="K233" s="176"/>
      <c r="L233" s="176"/>
      <c r="M233" s="176"/>
      <c r="N233" s="176"/>
      <c r="O233" s="176"/>
      <c r="P233" s="176"/>
      <c r="Q233" s="176"/>
      <c r="R233" s="176"/>
      <c r="S233" s="454" t="s">
        <v>514</v>
      </c>
      <c r="T233" s="454"/>
      <c r="U233" s="454"/>
      <c r="V233" s="454"/>
      <c r="W233" s="454"/>
      <c r="X233" s="453">
        <f>SUM(X234:X234)</f>
        <v>7000000</v>
      </c>
      <c r="Y233" s="452" t="s">
        <v>56</v>
      </c>
      <c r="Z233" s="1"/>
    </row>
    <row r="234" spans="1:27" ht="21" customHeight="1">
      <c r="A234" s="45"/>
      <c r="B234" s="46"/>
      <c r="C234" s="46"/>
      <c r="D234" s="46"/>
      <c r="E234" s="48"/>
      <c r="F234" s="48"/>
      <c r="G234" s="49"/>
      <c r="H234" s="31"/>
      <c r="I234" s="638" t="s">
        <v>709</v>
      </c>
      <c r="J234" s="638"/>
      <c r="K234" s="638"/>
      <c r="L234" s="638"/>
      <c r="M234" s="638"/>
      <c r="N234" s="638"/>
      <c r="O234" s="638"/>
      <c r="P234" s="638"/>
      <c r="Q234" s="638"/>
      <c r="R234" s="638"/>
      <c r="S234" s="638"/>
      <c r="T234" s="638"/>
      <c r="U234" s="638"/>
      <c r="V234" s="638"/>
      <c r="W234" s="638"/>
      <c r="X234" s="637">
        <v>7000000</v>
      </c>
      <c r="Y234" s="131" t="s">
        <v>699</v>
      </c>
      <c r="Z234" s="23"/>
      <c r="AA234" s="24"/>
    </row>
    <row r="235" spans="1:27" ht="21" customHeight="1">
      <c r="A235" s="45"/>
      <c r="B235" s="46"/>
      <c r="C235" s="36" t="s">
        <v>378</v>
      </c>
      <c r="D235" s="451" t="s">
        <v>377</v>
      </c>
      <c r="E235" s="217">
        <f>E236</f>
        <v>11547</v>
      </c>
      <c r="F235" s="217">
        <f>F236</f>
        <v>1556</v>
      </c>
      <c r="G235" s="218">
        <f>F235-E235</f>
        <v>-9991</v>
      </c>
      <c r="H235" s="219">
        <f>IF(E235=0,0,G235/E235)</f>
        <v>-0.86524638434225343</v>
      </c>
      <c r="I235" s="202" t="s">
        <v>376</v>
      </c>
      <c r="J235" s="203"/>
      <c r="K235" s="204"/>
      <c r="L235" s="204"/>
      <c r="M235" s="204"/>
      <c r="N235" s="204"/>
      <c r="O235" s="204"/>
      <c r="P235" s="205"/>
      <c r="Q235" s="205"/>
      <c r="R235" s="205"/>
      <c r="S235" s="205"/>
      <c r="T235" s="205"/>
      <c r="U235" s="205"/>
      <c r="V235" s="232" t="s">
        <v>373</v>
      </c>
      <c r="W235" s="233"/>
      <c r="X235" s="233">
        <f>SUM(X237,X240)</f>
        <v>1556000</v>
      </c>
      <c r="Y235" s="265" t="s">
        <v>368</v>
      </c>
      <c r="Z235" s="23"/>
      <c r="AA235" s="24"/>
    </row>
    <row r="236" spans="1:27" ht="21" customHeight="1">
      <c r="A236" s="45"/>
      <c r="B236" s="46"/>
      <c r="C236" s="46" t="s">
        <v>375</v>
      </c>
      <c r="D236" s="46" t="s">
        <v>374</v>
      </c>
      <c r="E236" s="48">
        <v>11547</v>
      </c>
      <c r="F236" s="48">
        <f>ROUND(X235/1000,0)</f>
        <v>1556</v>
      </c>
      <c r="G236" s="38">
        <f>F236-E236</f>
        <v>-9991</v>
      </c>
      <c r="H236" s="39">
        <f>IF(E236=0,0,G236/E236)</f>
        <v>-0.86524638434225343</v>
      </c>
      <c r="I236" s="138"/>
      <c r="J236" s="142"/>
      <c r="K236" s="293"/>
      <c r="L236" s="293"/>
      <c r="M236" s="293"/>
      <c r="N236" s="449"/>
      <c r="O236" s="72"/>
      <c r="P236" s="67"/>
      <c r="Q236" s="72"/>
      <c r="R236" s="77"/>
      <c r="S236" s="74"/>
      <c r="T236" s="74"/>
      <c r="U236" s="449"/>
      <c r="V236" s="719"/>
      <c r="W236" s="719"/>
      <c r="X236" s="140"/>
      <c r="Y236" s="141"/>
    </row>
    <row r="237" spans="1:27" ht="21" customHeight="1" thickBot="1">
      <c r="A237" s="45"/>
      <c r="B237" s="46"/>
      <c r="C237" s="46" t="s">
        <v>171</v>
      </c>
      <c r="D237" s="46" t="s">
        <v>341</v>
      </c>
      <c r="E237" s="48"/>
      <c r="F237" s="48"/>
      <c r="G237" s="49"/>
      <c r="H237" s="31"/>
      <c r="I237" s="455" t="s">
        <v>658</v>
      </c>
      <c r="J237" s="63"/>
      <c r="K237" s="293"/>
      <c r="L237" s="293"/>
      <c r="M237" s="293"/>
      <c r="N237" s="293"/>
      <c r="O237" s="293"/>
      <c r="P237" s="293"/>
      <c r="Q237" s="518" t="s">
        <v>367</v>
      </c>
      <c r="R237" s="518"/>
      <c r="S237" s="518"/>
      <c r="T237" s="518"/>
      <c r="U237" s="518"/>
      <c r="V237" s="518"/>
      <c r="W237" s="518"/>
      <c r="X237" s="518">
        <f>ROUND(SUM(X238:X238),-3)</f>
        <v>1556000</v>
      </c>
      <c r="Y237" s="452" t="s">
        <v>56</v>
      </c>
    </row>
    <row r="238" spans="1:27" ht="21" customHeight="1">
      <c r="A238" s="45"/>
      <c r="B238" s="46"/>
      <c r="C238" s="46"/>
      <c r="D238" s="46"/>
      <c r="E238" s="48"/>
      <c r="F238" s="48"/>
      <c r="G238" s="49"/>
      <c r="H238" s="31"/>
      <c r="I238" s="277" t="s">
        <v>531</v>
      </c>
      <c r="J238" s="277"/>
      <c r="K238" s="277"/>
      <c r="L238" s="277"/>
      <c r="M238" s="275">
        <v>18668000</v>
      </c>
      <c r="N238" s="334" t="s">
        <v>56</v>
      </c>
      <c r="O238" s="334" t="s">
        <v>64</v>
      </c>
      <c r="P238" s="380">
        <v>12</v>
      </c>
      <c r="Q238" s="583" t="s">
        <v>0</v>
      </c>
      <c r="R238" s="275"/>
      <c r="S238" s="275"/>
      <c r="T238" s="275"/>
      <c r="U238" s="275" t="s">
        <v>53</v>
      </c>
      <c r="V238" s="275"/>
      <c r="W238" s="278"/>
      <c r="X238" s="278">
        <f>ROUNDUP(M238/P238,-3)</f>
        <v>1556000</v>
      </c>
      <c r="Y238" s="301" t="s">
        <v>56</v>
      </c>
    </row>
    <row r="239" spans="1:27" ht="21" customHeight="1">
      <c r="A239" s="45"/>
      <c r="B239" s="46"/>
      <c r="C239" s="46"/>
      <c r="D239" s="46"/>
      <c r="E239" s="48"/>
      <c r="F239" s="48"/>
      <c r="G239" s="49"/>
      <c r="H239" s="31"/>
      <c r="I239" s="277"/>
      <c r="J239" s="277"/>
      <c r="K239" s="277"/>
      <c r="L239" s="277"/>
      <c r="M239" s="275"/>
      <c r="N239" s="334"/>
      <c r="O239" s="334"/>
      <c r="P239" s="380"/>
      <c r="Q239" s="595"/>
      <c r="R239" s="275"/>
      <c r="S239" s="275"/>
      <c r="T239" s="275"/>
      <c r="U239" s="275"/>
      <c r="V239" s="275"/>
      <c r="W239" s="278"/>
      <c r="X239" s="278"/>
      <c r="Y239" s="301"/>
    </row>
    <row r="240" spans="1:27" ht="21" customHeight="1" thickBot="1">
      <c r="A240" s="45"/>
      <c r="B240" s="46"/>
      <c r="C240" s="46"/>
      <c r="D240" s="46"/>
      <c r="E240" s="48"/>
      <c r="F240" s="48"/>
      <c r="G240" s="49"/>
      <c r="H240" s="31"/>
      <c r="I240" s="455" t="s">
        <v>681</v>
      </c>
      <c r="J240" s="63"/>
      <c r="K240" s="293"/>
      <c r="L240" s="293"/>
      <c r="M240" s="293"/>
      <c r="N240" s="293"/>
      <c r="O240" s="293"/>
      <c r="P240" s="293"/>
      <c r="Q240" s="518" t="s">
        <v>676</v>
      </c>
      <c r="R240" s="518"/>
      <c r="S240" s="518"/>
      <c r="T240" s="518"/>
      <c r="U240" s="518"/>
      <c r="V240" s="518"/>
      <c r="W240" s="518"/>
      <c r="X240" s="518">
        <f>ROUND(SUM(X241:X241),-3)</f>
        <v>0</v>
      </c>
      <c r="Y240" s="452" t="s">
        <v>56</v>
      </c>
    </row>
    <row r="241" spans="1:26" ht="21" customHeight="1" thickBot="1">
      <c r="A241" s="58"/>
      <c r="B241" s="59"/>
      <c r="C241" s="59"/>
      <c r="D241" s="59"/>
      <c r="E241" s="61"/>
      <c r="F241" s="61"/>
      <c r="G241" s="62"/>
      <c r="H241" s="201"/>
      <c r="I241" s="660" t="s">
        <v>736</v>
      </c>
      <c r="J241" s="638"/>
      <c r="K241" s="638"/>
      <c r="L241" s="638"/>
      <c r="M241" s="637"/>
      <c r="N241" s="639"/>
      <c r="O241" s="639"/>
      <c r="P241" s="575"/>
      <c r="Q241" s="387"/>
      <c r="R241" s="637"/>
      <c r="S241" s="637"/>
      <c r="T241" s="637"/>
      <c r="U241" s="637"/>
      <c r="V241" s="637"/>
      <c r="W241" s="640"/>
      <c r="X241" s="649">
        <v>0</v>
      </c>
      <c r="Y241" s="131" t="s">
        <v>699</v>
      </c>
      <c r="Z241" s="1"/>
    </row>
    <row r="242" spans="1:26" ht="21" customHeight="1">
      <c r="A242" s="35" t="s">
        <v>14</v>
      </c>
      <c r="B242" s="36" t="s">
        <v>14</v>
      </c>
      <c r="C242" s="722" t="s">
        <v>357</v>
      </c>
      <c r="D242" s="723"/>
      <c r="E242" s="246">
        <f>SUM(E243,E258,E264)</f>
        <v>49405</v>
      </c>
      <c r="F242" s="246">
        <f>SUM(F243,F258,F264)</f>
        <v>41567</v>
      </c>
      <c r="G242" s="247">
        <f>F242-E242</f>
        <v>-7838</v>
      </c>
      <c r="H242" s="248">
        <f>IF(E242=0,0,G242/E242)</f>
        <v>-0.1586479101305536</v>
      </c>
      <c r="I242" s="249" t="s">
        <v>356</v>
      </c>
      <c r="J242" s="250"/>
      <c r="K242" s="251"/>
      <c r="L242" s="251"/>
      <c r="M242" s="250"/>
      <c r="N242" s="250"/>
      <c r="O242" s="250"/>
      <c r="P242" s="250"/>
      <c r="Q242" s="250" t="s">
        <v>355</v>
      </c>
      <c r="R242" s="252"/>
      <c r="S242" s="252"/>
      <c r="T242" s="252"/>
      <c r="U242" s="252"/>
      <c r="V242" s="252"/>
      <c r="W242" s="252"/>
      <c r="X242" s="605">
        <f>SUM(X243,X258,X264)</f>
        <v>41567000</v>
      </c>
      <c r="Y242" s="264" t="s">
        <v>25</v>
      </c>
      <c r="Z242" s="1"/>
    </row>
    <row r="243" spans="1:26" ht="21" customHeight="1">
      <c r="A243" s="45"/>
      <c r="B243" s="46"/>
      <c r="C243" s="36" t="s">
        <v>354</v>
      </c>
      <c r="D243" s="451" t="s">
        <v>353</v>
      </c>
      <c r="E243" s="217">
        <f>SUM(E244,E247,E250,E254,E256)</f>
        <v>24221</v>
      </c>
      <c r="F243" s="217">
        <f>SUM(F244,F247,F250,F254,F256)</f>
        <v>25067</v>
      </c>
      <c r="G243" s="218">
        <f>F243-E243</f>
        <v>846</v>
      </c>
      <c r="H243" s="219">
        <f>IF(E243=0,0,G243/E243)</f>
        <v>3.4928367945171547E-2</v>
      </c>
      <c r="I243" s="202" t="s">
        <v>352</v>
      </c>
      <c r="J243" s="203"/>
      <c r="K243" s="204"/>
      <c r="L243" s="204"/>
      <c r="M243" s="204"/>
      <c r="N243" s="204"/>
      <c r="O243" s="204"/>
      <c r="P243" s="205"/>
      <c r="Q243" s="205"/>
      <c r="R243" s="205"/>
      <c r="S243" s="205"/>
      <c r="T243" s="205"/>
      <c r="U243" s="205"/>
      <c r="V243" s="232" t="s">
        <v>346</v>
      </c>
      <c r="W243" s="233"/>
      <c r="X243" s="234">
        <f>SUM(X244,X247,X250,X254)</f>
        <v>25067000</v>
      </c>
      <c r="Y243" s="265" t="s">
        <v>345</v>
      </c>
      <c r="Z243" s="1"/>
    </row>
    <row r="244" spans="1:26" ht="21" customHeight="1">
      <c r="A244" s="45"/>
      <c r="B244" s="46"/>
      <c r="C244" s="46"/>
      <c r="D244" s="532" t="s">
        <v>524</v>
      </c>
      <c r="E244" s="37">
        <v>0</v>
      </c>
      <c r="F244" s="37">
        <f>ROUND(X244/1000,0)</f>
        <v>0</v>
      </c>
      <c r="G244" s="38">
        <f>F244-E244</f>
        <v>0</v>
      </c>
      <c r="H244" s="39">
        <f>IF(E244=0,0,G244/E244)</f>
        <v>0</v>
      </c>
      <c r="I244" s="138" t="s">
        <v>525</v>
      </c>
      <c r="J244" s="157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719" t="s">
        <v>63</v>
      </c>
      <c r="W244" s="719"/>
      <c r="X244" s="140">
        <f>ROUNDUP(SUM(W245:X246),-3)</f>
        <v>0</v>
      </c>
      <c r="Y244" s="141" t="s">
        <v>56</v>
      </c>
      <c r="Z244" s="1"/>
    </row>
    <row r="245" spans="1:26" ht="21" customHeight="1">
      <c r="A245" s="45"/>
      <c r="B245" s="46"/>
      <c r="C245" s="46"/>
      <c r="D245" s="533"/>
      <c r="E245" s="48"/>
      <c r="F245" s="48"/>
      <c r="G245" s="49"/>
      <c r="H245" s="31"/>
      <c r="I245" s="283" t="s">
        <v>526</v>
      </c>
      <c r="J245" s="294"/>
      <c r="K245" s="293"/>
      <c r="L245" s="293"/>
      <c r="M245" s="293"/>
      <c r="N245" s="293"/>
      <c r="O245" s="293"/>
      <c r="P245" s="293"/>
      <c r="Q245" s="293"/>
      <c r="R245" s="293"/>
      <c r="S245" s="293"/>
      <c r="T245" s="293"/>
      <c r="U245" s="293"/>
      <c r="V245" s="526"/>
      <c r="W245" s="526"/>
      <c r="X245" s="66">
        <v>0</v>
      </c>
      <c r="Y245" s="57" t="s">
        <v>56</v>
      </c>
      <c r="Z245" s="1"/>
    </row>
    <row r="246" spans="1:26" ht="21" customHeight="1">
      <c r="A246" s="45"/>
      <c r="B246" s="46"/>
      <c r="C246" s="46"/>
      <c r="D246" s="528"/>
      <c r="E246" s="529"/>
      <c r="F246" s="530"/>
      <c r="G246" s="530"/>
      <c r="H246" s="531"/>
      <c r="I246" s="284" t="s">
        <v>527</v>
      </c>
      <c r="J246" s="359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199"/>
      <c r="W246" s="199"/>
      <c r="X246" s="70">
        <v>0</v>
      </c>
      <c r="Y246" s="71" t="s">
        <v>56</v>
      </c>
      <c r="Z246" s="1"/>
    </row>
    <row r="247" spans="1:26" ht="21" customHeight="1">
      <c r="A247" s="45"/>
      <c r="B247" s="46"/>
      <c r="C247" s="46" t="s">
        <v>351</v>
      </c>
      <c r="D247" s="36" t="s">
        <v>350</v>
      </c>
      <c r="E247" s="37">
        <v>10764</v>
      </c>
      <c r="F247" s="37">
        <f>ROUND(X247/1000,0)</f>
        <v>10867</v>
      </c>
      <c r="G247" s="38">
        <f>F247-E247</f>
        <v>103</v>
      </c>
      <c r="H247" s="39">
        <f>IF(E247=0,0,G247/E247)</f>
        <v>9.56893348197696E-3</v>
      </c>
      <c r="I247" s="138" t="s">
        <v>349</v>
      </c>
      <c r="J247" s="157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719" t="s">
        <v>346</v>
      </c>
      <c r="W247" s="719"/>
      <c r="X247" s="140">
        <f>ROUNDUP(SUM(W248:X249),-3)</f>
        <v>10867000</v>
      </c>
      <c r="Y247" s="141" t="s">
        <v>345</v>
      </c>
      <c r="Z247" s="1"/>
    </row>
    <row r="248" spans="1:26" ht="21" customHeight="1">
      <c r="A248" s="45"/>
      <c r="B248" s="46"/>
      <c r="C248" s="46"/>
      <c r="D248" s="46"/>
      <c r="E248" s="48"/>
      <c r="F248" s="48"/>
      <c r="G248" s="49"/>
      <c r="H248" s="31"/>
      <c r="I248" s="283" t="s">
        <v>348</v>
      </c>
      <c r="J248" s="294"/>
      <c r="K248" s="293"/>
      <c r="L248" s="293"/>
      <c r="M248" s="293"/>
      <c r="N248" s="293"/>
      <c r="O248" s="293"/>
      <c r="P248" s="293"/>
      <c r="Q248" s="293"/>
      <c r="R248" s="293"/>
      <c r="S248" s="293"/>
      <c r="T248" s="293"/>
      <c r="U248" s="293"/>
      <c r="V248" s="449"/>
      <c r="W248" s="449"/>
      <c r="X248" s="66">
        <v>10867000</v>
      </c>
      <c r="Y248" s="57" t="s">
        <v>345</v>
      </c>
      <c r="Z248" s="1"/>
    </row>
    <row r="249" spans="1:26" ht="21" customHeight="1">
      <c r="A249" s="45"/>
      <c r="B249" s="46"/>
      <c r="C249" s="46"/>
      <c r="D249" s="59"/>
      <c r="E249" s="61"/>
      <c r="F249" s="61"/>
      <c r="G249" s="62"/>
      <c r="H249" s="201"/>
      <c r="I249" s="284" t="s">
        <v>347</v>
      </c>
      <c r="J249" s="359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199"/>
      <c r="W249" s="199"/>
      <c r="X249" s="70">
        <v>0</v>
      </c>
      <c r="Y249" s="71" t="s">
        <v>345</v>
      </c>
      <c r="Z249" s="1"/>
    </row>
    <row r="250" spans="1:26" ht="21" customHeight="1">
      <c r="A250" s="45"/>
      <c r="B250" s="46"/>
      <c r="C250" s="46"/>
      <c r="D250" s="36" t="s">
        <v>344</v>
      </c>
      <c r="E250" s="37">
        <v>81</v>
      </c>
      <c r="F250" s="37">
        <f>ROUND(X250/1000,0)</f>
        <v>5500</v>
      </c>
      <c r="G250" s="38">
        <f>F250-E250</f>
        <v>5419</v>
      </c>
      <c r="H250" s="39">
        <f>IF(E250=0,0,G250/E250)</f>
        <v>66.901234567901241</v>
      </c>
      <c r="I250" s="138" t="s">
        <v>183</v>
      </c>
      <c r="J250" s="157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719" t="s">
        <v>63</v>
      </c>
      <c r="W250" s="719"/>
      <c r="X250" s="140">
        <f>ROUNDUP(SUM(W251:X252),-3)</f>
        <v>5500000</v>
      </c>
      <c r="Y250" s="141" t="s">
        <v>56</v>
      </c>
      <c r="Z250" s="1"/>
    </row>
    <row r="251" spans="1:26" ht="21" customHeight="1">
      <c r="A251" s="45"/>
      <c r="B251" s="46"/>
      <c r="C251" s="46"/>
      <c r="D251" s="46"/>
      <c r="E251" s="48"/>
      <c r="F251" s="48"/>
      <c r="G251" s="49"/>
      <c r="H251" s="31"/>
      <c r="I251" s="283" t="s">
        <v>195</v>
      </c>
      <c r="J251" s="294"/>
      <c r="K251" s="293"/>
      <c r="L251" s="293"/>
      <c r="M251" s="293"/>
      <c r="N251" s="293"/>
      <c r="O251" s="293"/>
      <c r="P251" s="293"/>
      <c r="Q251" s="293"/>
      <c r="R251" s="293"/>
      <c r="S251" s="293"/>
      <c r="T251" s="293"/>
      <c r="U251" s="293"/>
      <c r="V251" s="449"/>
      <c r="W251" s="449"/>
      <c r="X251" s="66">
        <v>5500000</v>
      </c>
      <c r="Y251" s="57" t="s">
        <v>56</v>
      </c>
      <c r="Z251" s="1"/>
    </row>
    <row r="252" spans="1:26" ht="21" customHeight="1">
      <c r="A252" s="45"/>
      <c r="B252" s="46"/>
      <c r="C252" s="46"/>
      <c r="D252" s="46"/>
      <c r="E252" s="48"/>
      <c r="F252" s="48"/>
      <c r="G252" s="49"/>
      <c r="H252" s="31"/>
      <c r="I252" s="283" t="s">
        <v>196</v>
      </c>
      <c r="J252" s="294"/>
      <c r="K252" s="293"/>
      <c r="L252" s="293"/>
      <c r="M252" s="293"/>
      <c r="N252" s="293"/>
      <c r="O252" s="293"/>
      <c r="P252" s="293"/>
      <c r="Q252" s="293"/>
      <c r="R252" s="293"/>
      <c r="S252" s="293"/>
      <c r="T252" s="293"/>
      <c r="U252" s="293"/>
      <c r="V252" s="449"/>
      <c r="W252" s="449"/>
      <c r="X252" s="66">
        <v>0</v>
      </c>
      <c r="Y252" s="57" t="s">
        <v>56</v>
      </c>
      <c r="Z252" s="1"/>
    </row>
    <row r="253" spans="1:26" ht="21" customHeight="1">
      <c r="A253" s="45"/>
      <c r="B253" s="46"/>
      <c r="C253" s="46"/>
      <c r="D253" s="59"/>
      <c r="E253" s="61"/>
      <c r="F253" s="61"/>
      <c r="G253" s="62"/>
      <c r="H253" s="201"/>
      <c r="I253" s="69"/>
      <c r="J253" s="359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199"/>
      <c r="W253" s="199"/>
      <c r="X253" s="70"/>
      <c r="Y253" s="71"/>
      <c r="Z253" s="1"/>
    </row>
    <row r="254" spans="1:26" ht="21" customHeight="1">
      <c r="A254" s="45"/>
      <c r="B254" s="46"/>
      <c r="C254" s="46"/>
      <c r="D254" s="36" t="s">
        <v>343</v>
      </c>
      <c r="E254" s="37">
        <v>7180</v>
      </c>
      <c r="F254" s="37">
        <f>ROUND(X255/1000,0)</f>
        <v>8000</v>
      </c>
      <c r="G254" s="38">
        <f>F254-E254</f>
        <v>820</v>
      </c>
      <c r="H254" s="39">
        <f>IF(E254=0,0,G254/E254)</f>
        <v>0.11420612813370473</v>
      </c>
      <c r="I254" s="138" t="s">
        <v>184</v>
      </c>
      <c r="J254" s="157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719" t="s">
        <v>63</v>
      </c>
      <c r="W254" s="719"/>
      <c r="X254" s="140">
        <f>ROUNDUP(SUM(W255:X256),-3)</f>
        <v>8700000</v>
      </c>
      <c r="Y254" s="141" t="s">
        <v>56</v>
      </c>
      <c r="Z254" s="1"/>
    </row>
    <row r="255" spans="1:26" ht="21" customHeight="1">
      <c r="A255" s="45"/>
      <c r="B255" s="46"/>
      <c r="C255" s="46"/>
      <c r="D255" s="46" t="s">
        <v>674</v>
      </c>
      <c r="E255" s="48"/>
      <c r="F255" s="48"/>
      <c r="G255" s="49"/>
      <c r="H255" s="31"/>
      <c r="I255" s="283" t="s">
        <v>670</v>
      </c>
      <c r="J255" s="294"/>
      <c r="K255" s="293"/>
      <c r="L255" s="293"/>
      <c r="M255" s="293"/>
      <c r="N255" s="293"/>
      <c r="O255" s="293"/>
      <c r="P255" s="293"/>
      <c r="Q255" s="293"/>
      <c r="R255" s="293"/>
      <c r="S255" s="293"/>
      <c r="T255" s="293"/>
      <c r="U255" s="293"/>
      <c r="V255" s="606"/>
      <c r="W255" s="606"/>
      <c r="X255" s="66">
        <v>8000000</v>
      </c>
      <c r="Y255" s="57" t="s">
        <v>56</v>
      </c>
    </row>
    <row r="256" spans="1:26" ht="21" customHeight="1">
      <c r="A256" s="45"/>
      <c r="B256" s="46"/>
      <c r="C256" s="46"/>
      <c r="D256" s="585" t="s">
        <v>683</v>
      </c>
      <c r="E256" s="503">
        <v>6196</v>
      </c>
      <c r="F256" s="503">
        <f>ROUND(X256/1000,0)</f>
        <v>700</v>
      </c>
      <c r="G256" s="612">
        <f>F256-E256</f>
        <v>-5496</v>
      </c>
      <c r="H256" s="613">
        <f>IF(E256=0,0,G256/E256)</f>
        <v>-0.88702388637830853</v>
      </c>
      <c r="I256" s="283" t="s">
        <v>684</v>
      </c>
      <c r="J256" s="610"/>
      <c r="K256" s="609"/>
      <c r="L256" s="609"/>
      <c r="M256" s="609"/>
      <c r="N256" s="609"/>
      <c r="O256" s="609"/>
      <c r="P256" s="609"/>
      <c r="Q256" s="609"/>
      <c r="R256" s="609"/>
      <c r="S256" s="609"/>
      <c r="T256" s="609"/>
      <c r="U256" s="609"/>
      <c r="V256" s="607"/>
      <c r="W256" s="607"/>
      <c r="X256" s="608">
        <v>700000</v>
      </c>
      <c r="Y256" s="131" t="s">
        <v>685</v>
      </c>
      <c r="Z256" s="611"/>
    </row>
    <row r="257" spans="1:47" ht="21" customHeight="1">
      <c r="A257" s="45"/>
      <c r="B257" s="46"/>
      <c r="C257" s="46"/>
      <c r="D257" s="585" t="s">
        <v>686</v>
      </c>
      <c r="E257" s="503"/>
      <c r="F257" s="503"/>
      <c r="G257" s="612"/>
      <c r="H257" s="613"/>
      <c r="I257" s="283"/>
      <c r="J257" s="610"/>
      <c r="K257" s="609"/>
      <c r="L257" s="609"/>
      <c r="M257" s="609"/>
      <c r="N257" s="607"/>
      <c r="O257" s="387"/>
      <c r="P257" s="390"/>
      <c r="Q257" s="387"/>
      <c r="R257" s="391"/>
      <c r="S257" s="74"/>
      <c r="T257" s="74"/>
      <c r="U257" s="607"/>
      <c r="V257" s="609"/>
      <c r="W257" s="608"/>
      <c r="X257" s="608"/>
      <c r="Y257" s="131"/>
    </row>
    <row r="258" spans="1:47" ht="21" customHeight="1">
      <c r="A258" s="45"/>
      <c r="B258" s="46"/>
      <c r="C258" s="36" t="s">
        <v>172</v>
      </c>
      <c r="D258" s="451" t="s">
        <v>140</v>
      </c>
      <c r="E258" s="217">
        <f>E259+E261</f>
        <v>25184</v>
      </c>
      <c r="F258" s="217">
        <f>SUM(F259,F261)</f>
        <v>16500</v>
      </c>
      <c r="G258" s="218">
        <f>F258-E258</f>
        <v>-8684</v>
      </c>
      <c r="H258" s="219">
        <f>IF(E258=0,0,G258/E258)</f>
        <v>-0.34482210927573065</v>
      </c>
      <c r="I258" s="202" t="s">
        <v>174</v>
      </c>
      <c r="J258" s="203"/>
      <c r="K258" s="204"/>
      <c r="L258" s="204"/>
      <c r="M258" s="204"/>
      <c r="N258" s="204"/>
      <c r="O258" s="204"/>
      <c r="P258" s="205"/>
      <c r="Q258" s="205"/>
      <c r="R258" s="205"/>
      <c r="S258" s="205"/>
      <c r="T258" s="205"/>
      <c r="U258" s="205"/>
      <c r="V258" s="232" t="s">
        <v>63</v>
      </c>
      <c r="W258" s="233"/>
      <c r="X258" s="233">
        <f>X259+X261</f>
        <v>16500000</v>
      </c>
      <c r="Y258" s="265" t="s">
        <v>56</v>
      </c>
    </row>
    <row r="259" spans="1:47" ht="21" customHeight="1">
      <c r="A259" s="45"/>
      <c r="B259" s="46"/>
      <c r="C259" s="46" t="s">
        <v>173</v>
      </c>
      <c r="D259" s="46" t="s">
        <v>342</v>
      </c>
      <c r="E259" s="48">
        <v>21151</v>
      </c>
      <c r="F259" s="48">
        <f>ROUND(X259/1000,0)</f>
        <v>1500</v>
      </c>
      <c r="G259" s="38">
        <f>F259-E259</f>
        <v>-19651</v>
      </c>
      <c r="H259" s="39">
        <f>IF(E259=0,0,G259/E259)</f>
        <v>-0.92908136731123825</v>
      </c>
      <c r="I259" s="283" t="s">
        <v>603</v>
      </c>
      <c r="J259" s="600"/>
      <c r="K259" s="599"/>
      <c r="L259" s="599"/>
      <c r="M259" s="599"/>
      <c r="N259" s="599"/>
      <c r="O259" s="599"/>
      <c r="P259" s="599"/>
      <c r="Q259" s="568"/>
      <c r="R259" s="568"/>
      <c r="S259" s="568"/>
      <c r="T259" s="599"/>
      <c r="U259" s="599"/>
      <c r="V259" s="599"/>
      <c r="W259" s="596"/>
      <c r="X259" s="596">
        <v>1500000</v>
      </c>
      <c r="Y259" s="131" t="s">
        <v>56</v>
      </c>
    </row>
    <row r="260" spans="1:47" ht="21" customHeight="1">
      <c r="A260" s="45"/>
      <c r="B260" s="46"/>
      <c r="C260" s="46" t="s">
        <v>171</v>
      </c>
      <c r="D260" s="46" t="s">
        <v>671</v>
      </c>
      <c r="E260" s="48"/>
      <c r="F260" s="61"/>
      <c r="G260" s="49"/>
      <c r="H260" s="68"/>
      <c r="I260" s="284"/>
      <c r="J260" s="598"/>
      <c r="K260" s="597"/>
      <c r="L260" s="597"/>
      <c r="M260" s="597"/>
      <c r="N260" s="597"/>
      <c r="O260" s="597"/>
      <c r="P260" s="597"/>
      <c r="Q260" s="604"/>
      <c r="R260" s="604"/>
      <c r="S260" s="604"/>
      <c r="T260" s="597"/>
      <c r="U260" s="597"/>
      <c r="V260" s="597"/>
      <c r="W260" s="408"/>
      <c r="X260" s="408"/>
      <c r="Y260" s="399" t="s">
        <v>596</v>
      </c>
    </row>
    <row r="261" spans="1:47" ht="21" customHeight="1">
      <c r="A261" s="45"/>
      <c r="B261" s="46"/>
      <c r="C261" s="46"/>
      <c r="D261" s="36" t="s">
        <v>672</v>
      </c>
      <c r="E261" s="37">
        <v>4033</v>
      </c>
      <c r="F261" s="37">
        <f>ROUND(X261/1000,0)</f>
        <v>15000</v>
      </c>
      <c r="G261" s="38">
        <f>F261-E261</f>
        <v>10967</v>
      </c>
      <c r="H261" s="39">
        <f>IF(E261=0,0,G261/E261)</f>
        <v>2.7193156459211507</v>
      </c>
      <c r="I261" s="286" t="s">
        <v>604</v>
      </c>
      <c r="J261" s="307"/>
      <c r="K261" s="291"/>
      <c r="L261" s="291"/>
      <c r="M261" s="291"/>
      <c r="N261" s="291"/>
      <c r="O261" s="291"/>
      <c r="P261" s="291"/>
      <c r="Q261" s="602"/>
      <c r="R261" s="602"/>
      <c r="S261" s="602"/>
      <c r="T261" s="291"/>
      <c r="U261" s="291"/>
      <c r="V261" s="291"/>
      <c r="W261" s="603"/>
      <c r="X261" s="603">
        <v>15000000</v>
      </c>
      <c r="Y261" s="395" t="s">
        <v>56</v>
      </c>
    </row>
    <row r="262" spans="1:47" ht="21" customHeight="1">
      <c r="A262" s="45"/>
      <c r="B262" s="46"/>
      <c r="C262" s="46"/>
      <c r="D262" s="46" t="s">
        <v>673</v>
      </c>
      <c r="E262" s="48"/>
      <c r="F262" s="48"/>
      <c r="G262" s="49"/>
      <c r="H262" s="68"/>
      <c r="I262" s="283"/>
      <c r="J262" s="600"/>
      <c r="K262" s="599"/>
      <c r="L262" s="599"/>
      <c r="M262" s="599"/>
      <c r="N262" s="599"/>
      <c r="O262" s="599"/>
      <c r="P262" s="599"/>
      <c r="Q262" s="568"/>
      <c r="R262" s="568"/>
      <c r="S262" s="568"/>
      <c r="T262" s="599"/>
      <c r="U262" s="599"/>
      <c r="V262" s="599"/>
      <c r="W262" s="596"/>
      <c r="X262" s="596"/>
      <c r="Y262" s="131"/>
    </row>
    <row r="263" spans="1:47" ht="21" customHeight="1">
      <c r="A263" s="45"/>
      <c r="B263" s="46"/>
      <c r="C263" s="46"/>
      <c r="D263" s="46"/>
      <c r="E263" s="48"/>
      <c r="F263" s="48"/>
      <c r="G263" s="49"/>
      <c r="H263" s="68"/>
      <c r="I263" s="65"/>
      <c r="J263" s="294"/>
      <c r="K263" s="293"/>
      <c r="L263" s="293"/>
      <c r="M263" s="293"/>
      <c r="N263" s="293"/>
      <c r="O263" s="293"/>
      <c r="P263" s="293"/>
      <c r="Q263" s="54"/>
      <c r="R263" s="54"/>
      <c r="S263" s="54"/>
      <c r="T263" s="293"/>
      <c r="U263" s="293"/>
      <c r="V263" s="293"/>
      <c r="W263" s="66"/>
      <c r="X263" s="66"/>
      <c r="Y263" s="57"/>
    </row>
    <row r="264" spans="1:47" ht="21" customHeight="1">
      <c r="A264" s="45"/>
      <c r="B264" s="46"/>
      <c r="C264" s="36" t="s">
        <v>175</v>
      </c>
      <c r="D264" s="451" t="s">
        <v>140</v>
      </c>
      <c r="E264" s="217">
        <f>E265</f>
        <v>0</v>
      </c>
      <c r="F264" s="217">
        <f>F265</f>
        <v>0</v>
      </c>
      <c r="G264" s="218">
        <f>F264-E264</f>
        <v>0</v>
      </c>
      <c r="H264" s="219">
        <f>IF(E264=0,0,G264/E264)</f>
        <v>0</v>
      </c>
      <c r="I264" s="202" t="s">
        <v>176</v>
      </c>
      <c r="J264" s="203"/>
      <c r="K264" s="204"/>
      <c r="L264" s="204"/>
      <c r="M264" s="204"/>
      <c r="N264" s="204"/>
      <c r="O264" s="204"/>
      <c r="P264" s="205"/>
      <c r="Q264" s="205"/>
      <c r="R264" s="205"/>
      <c r="S264" s="205"/>
      <c r="T264" s="205"/>
      <c r="U264" s="205"/>
      <c r="V264" s="232" t="s">
        <v>63</v>
      </c>
      <c r="W264" s="233"/>
      <c r="X264" s="233">
        <f>ROUND(SUM(W265:X266),-3)</f>
        <v>0</v>
      </c>
      <c r="Y264" s="265" t="s">
        <v>56</v>
      </c>
    </row>
    <row r="265" spans="1:47" ht="21" customHeight="1">
      <c r="A265" s="45"/>
      <c r="B265" s="46"/>
      <c r="C265" s="46" t="s">
        <v>128</v>
      </c>
      <c r="D265" s="46" t="s">
        <v>340</v>
      </c>
      <c r="E265" s="48">
        <v>0</v>
      </c>
      <c r="F265" s="48">
        <f>ROUND(X265/1000,0)</f>
        <v>0</v>
      </c>
      <c r="G265" s="38">
        <f>F265-E265</f>
        <v>0</v>
      </c>
      <c r="H265" s="39">
        <f>IF(E265=0,0,G265/E265)</f>
        <v>0</v>
      </c>
      <c r="I265" s="65"/>
      <c r="J265" s="294"/>
      <c r="K265" s="293"/>
      <c r="L265" s="293"/>
      <c r="M265" s="293"/>
      <c r="N265" s="449"/>
      <c r="O265" s="72"/>
      <c r="P265" s="67"/>
      <c r="Q265" s="72"/>
      <c r="R265" s="77"/>
      <c r="S265" s="74"/>
      <c r="T265" s="74"/>
      <c r="U265" s="449"/>
      <c r="V265" s="293"/>
      <c r="W265" s="66"/>
      <c r="X265" s="66"/>
      <c r="Y265" s="57"/>
    </row>
    <row r="266" spans="1:47" ht="21" customHeight="1">
      <c r="A266" s="58"/>
      <c r="B266" s="59"/>
      <c r="C266" s="59"/>
      <c r="D266" s="59"/>
      <c r="E266" s="61"/>
      <c r="F266" s="61"/>
      <c r="G266" s="62"/>
      <c r="H266" s="82"/>
      <c r="I266" s="69"/>
      <c r="J266" s="359"/>
      <c r="K266" s="222"/>
      <c r="L266" s="222"/>
      <c r="M266" s="222"/>
      <c r="N266" s="222"/>
      <c r="O266" s="222"/>
      <c r="P266" s="222"/>
      <c r="Q266" s="125"/>
      <c r="R266" s="125"/>
      <c r="S266" s="125"/>
      <c r="T266" s="222"/>
      <c r="U266" s="222"/>
      <c r="V266" s="222"/>
      <c r="W266" s="70"/>
      <c r="X266" s="70"/>
      <c r="Y266" s="71"/>
    </row>
    <row r="267" spans="1:47" s="4" customFormat="1" ht="21" customHeight="1">
      <c r="A267" s="45" t="s">
        <v>60</v>
      </c>
      <c r="B267" s="85" t="s">
        <v>16</v>
      </c>
      <c r="C267" s="722" t="s">
        <v>186</v>
      </c>
      <c r="D267" s="723"/>
      <c r="E267" s="246">
        <f>SUM(E268,E273,E285)</f>
        <v>57064</v>
      </c>
      <c r="F267" s="246">
        <f>SUM(F268,F273,F285)</f>
        <v>56398</v>
      </c>
      <c r="G267" s="247">
        <f>F267-E267</f>
        <v>-666</v>
      </c>
      <c r="H267" s="248">
        <f>IF(E267=0,0,G267/E267)</f>
        <v>-1.1671106126454507E-2</v>
      </c>
      <c r="I267" s="249" t="s">
        <v>187</v>
      </c>
      <c r="J267" s="250"/>
      <c r="K267" s="251"/>
      <c r="L267" s="251"/>
      <c r="M267" s="250"/>
      <c r="N267" s="250"/>
      <c r="O267" s="250"/>
      <c r="P267" s="250"/>
      <c r="Q267" s="250" t="s">
        <v>62</v>
      </c>
      <c r="R267" s="252"/>
      <c r="S267" s="252"/>
      <c r="T267" s="252"/>
      <c r="U267" s="252"/>
      <c r="V267" s="252"/>
      <c r="W267" s="252"/>
      <c r="X267" s="262">
        <f>SUM(X268,X273,X285)</f>
        <v>56398000</v>
      </c>
      <c r="Y267" s="268" t="s">
        <v>56</v>
      </c>
      <c r="Z267" s="254"/>
      <c r="AA267" s="255"/>
      <c r="AB267" s="255"/>
      <c r="AC267" s="256"/>
      <c r="AD267" s="257"/>
      <c r="AE267" s="258"/>
      <c r="AF267" s="259"/>
      <c r="AG267" s="260"/>
      <c r="AH267" s="260"/>
      <c r="AI267" s="259"/>
      <c r="AJ267" s="259"/>
      <c r="AK267" s="259"/>
      <c r="AL267" s="259"/>
      <c r="AM267" s="259"/>
      <c r="AN267" s="258"/>
      <c r="AO267" s="258"/>
      <c r="AP267" s="258"/>
      <c r="AQ267" s="258"/>
      <c r="AR267" s="258"/>
      <c r="AS267" s="258"/>
      <c r="AT267" s="261"/>
      <c r="AU267" s="259"/>
    </row>
    <row r="268" spans="1:47" ht="21" customHeight="1">
      <c r="A268" s="45"/>
      <c r="B268" s="94"/>
      <c r="C268" s="36" t="s">
        <v>177</v>
      </c>
      <c r="D268" s="451" t="s">
        <v>140</v>
      </c>
      <c r="E268" s="217">
        <f>E269</f>
        <v>530</v>
      </c>
      <c r="F268" s="217">
        <f>F269</f>
        <v>0</v>
      </c>
      <c r="G268" s="218">
        <f>F268-E268</f>
        <v>-530</v>
      </c>
      <c r="H268" s="219">
        <f>IF(E268=0,0,G268/E268)</f>
        <v>-1</v>
      </c>
      <c r="I268" s="202" t="s">
        <v>181</v>
      </c>
      <c r="J268" s="203"/>
      <c r="K268" s="204"/>
      <c r="L268" s="204"/>
      <c r="M268" s="204"/>
      <c r="N268" s="204"/>
      <c r="O268" s="204"/>
      <c r="P268" s="205"/>
      <c r="Q268" s="205"/>
      <c r="R268" s="205"/>
      <c r="S268" s="205"/>
      <c r="T268" s="205"/>
      <c r="U268" s="205"/>
      <c r="V268" s="232" t="s">
        <v>63</v>
      </c>
      <c r="W268" s="233"/>
      <c r="X268" s="234">
        <f>SUM(X269:X269)</f>
        <v>0</v>
      </c>
      <c r="Y268" s="265" t="s">
        <v>56</v>
      </c>
    </row>
    <row r="269" spans="1:47" s="11" customFormat="1" ht="19.5" customHeight="1">
      <c r="A269" s="60"/>
      <c r="B269" s="96"/>
      <c r="C269" s="46" t="s">
        <v>178</v>
      </c>
      <c r="D269" s="36" t="s">
        <v>339</v>
      </c>
      <c r="E269" s="37">
        <v>530</v>
      </c>
      <c r="F269" s="48">
        <f>ROUND(X269/1000,0)</f>
        <v>0</v>
      </c>
      <c r="G269" s="38">
        <f>F269-E269</f>
        <v>-530</v>
      </c>
      <c r="H269" s="39">
        <f>IF(E269=0,0,G269/E269)</f>
        <v>-1</v>
      </c>
      <c r="I269" s="138" t="s">
        <v>181</v>
      </c>
      <c r="J269" s="157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719" t="s">
        <v>63</v>
      </c>
      <c r="W269" s="719"/>
      <c r="X269" s="140">
        <f>ROUNDUP(SUM(W270:X272),-3)</f>
        <v>0</v>
      </c>
      <c r="Y269" s="141" t="s">
        <v>56</v>
      </c>
      <c r="Z269" s="6"/>
    </row>
    <row r="270" spans="1:47" s="11" customFormat="1" ht="19.5" customHeight="1">
      <c r="A270" s="60"/>
      <c r="B270" s="96"/>
      <c r="C270" s="46"/>
      <c r="D270" s="46"/>
      <c r="E270" s="48"/>
      <c r="F270" s="48"/>
      <c r="G270" s="49"/>
      <c r="H270" s="31"/>
      <c r="I270" s="283"/>
      <c r="J270" s="551"/>
      <c r="K270" s="550"/>
      <c r="L270" s="550"/>
      <c r="M270" s="550"/>
      <c r="N270" s="550"/>
      <c r="O270" s="550"/>
      <c r="P270" s="550"/>
      <c r="Q270" s="550"/>
      <c r="R270" s="550"/>
      <c r="S270" s="550"/>
      <c r="T270" s="550"/>
      <c r="U270" s="550"/>
      <c r="V270" s="549"/>
      <c r="W270" s="549"/>
      <c r="X270" s="130"/>
      <c r="Y270" s="131"/>
      <c r="Z270" s="6"/>
    </row>
    <row r="271" spans="1:47" s="11" customFormat="1" ht="19.5" customHeight="1">
      <c r="A271" s="60"/>
      <c r="B271" s="96"/>
      <c r="C271" s="46"/>
      <c r="D271" s="46"/>
      <c r="E271" s="48"/>
      <c r="F271" s="48"/>
      <c r="G271" s="49"/>
      <c r="H271" s="31"/>
      <c r="I271" s="283" t="s">
        <v>755</v>
      </c>
      <c r="J271" s="664"/>
      <c r="K271" s="663"/>
      <c r="L271" s="663"/>
      <c r="M271" s="663"/>
      <c r="N271" s="663"/>
      <c r="O271" s="663"/>
      <c r="P271" s="663"/>
      <c r="Q271" s="663"/>
      <c r="R271" s="663"/>
      <c r="S271" s="663"/>
      <c r="T271" s="663"/>
      <c r="U271" s="663"/>
      <c r="V271" s="661"/>
      <c r="W271" s="661"/>
      <c r="X271" s="662">
        <v>0</v>
      </c>
      <c r="Y271" s="131" t="s">
        <v>745</v>
      </c>
      <c r="Z271" s="6"/>
    </row>
    <row r="272" spans="1:47" s="11" customFormat="1" ht="19.5" customHeight="1">
      <c r="A272" s="60"/>
      <c r="B272" s="88"/>
      <c r="C272" s="46"/>
      <c r="D272" s="46"/>
      <c r="E272" s="48"/>
      <c r="F272" s="48"/>
      <c r="G272" s="49"/>
      <c r="H272" s="31"/>
      <c r="I272" s="283"/>
      <c r="J272" s="664"/>
      <c r="K272" s="663"/>
      <c r="L272" s="663"/>
      <c r="M272" s="663"/>
      <c r="N272" s="661"/>
      <c r="O272" s="387"/>
      <c r="P272" s="390"/>
      <c r="Q272" s="387"/>
      <c r="R272" s="391"/>
      <c r="S272" s="74"/>
      <c r="T272" s="74"/>
      <c r="U272" s="661"/>
      <c r="V272" s="663"/>
      <c r="W272" s="662"/>
      <c r="X272" s="662"/>
      <c r="Y272" s="131"/>
      <c r="Z272" s="6"/>
    </row>
    <row r="273" spans="1:26" s="11" customFormat="1" ht="19.5" customHeight="1">
      <c r="A273" s="60"/>
      <c r="B273" s="88"/>
      <c r="C273" s="36" t="s">
        <v>179</v>
      </c>
      <c r="D273" s="451" t="s">
        <v>140</v>
      </c>
      <c r="E273" s="217">
        <f>E274</f>
        <v>320</v>
      </c>
      <c r="F273" s="217">
        <f>F274</f>
        <v>320</v>
      </c>
      <c r="G273" s="218">
        <f>F273-E273</f>
        <v>0</v>
      </c>
      <c r="H273" s="219">
        <f>IF(E273=0,0,G273/E273)</f>
        <v>0</v>
      </c>
      <c r="I273" s="202" t="s">
        <v>182</v>
      </c>
      <c r="J273" s="203"/>
      <c r="K273" s="204"/>
      <c r="L273" s="204"/>
      <c r="M273" s="204"/>
      <c r="N273" s="204"/>
      <c r="O273" s="204"/>
      <c r="P273" s="205"/>
      <c r="Q273" s="205"/>
      <c r="R273" s="205"/>
      <c r="S273" s="205"/>
      <c r="T273" s="205"/>
      <c r="U273" s="205"/>
      <c r="V273" s="232" t="s">
        <v>63</v>
      </c>
      <c r="W273" s="233"/>
      <c r="X273" s="233">
        <f>SUM(X274:X274)</f>
        <v>320000</v>
      </c>
      <c r="Y273" s="265" t="s">
        <v>56</v>
      </c>
      <c r="Z273" s="6"/>
    </row>
    <row r="274" spans="1:26" s="11" customFormat="1" ht="19.5" customHeight="1">
      <c r="A274" s="60"/>
      <c r="B274" s="88"/>
      <c r="C274" s="46" t="s">
        <v>180</v>
      </c>
      <c r="D274" s="46" t="s">
        <v>338</v>
      </c>
      <c r="E274" s="48">
        <v>320</v>
      </c>
      <c r="F274" s="48">
        <f>ROUND(X274/1000,0)</f>
        <v>320</v>
      </c>
      <c r="G274" s="38">
        <f>F274-E274</f>
        <v>0</v>
      </c>
      <c r="H274" s="39">
        <f>IF(E274=0,0,G274/E274)</f>
        <v>0</v>
      </c>
      <c r="I274" s="138" t="s">
        <v>337</v>
      </c>
      <c r="J274" s="157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719"/>
      <c r="W274" s="719"/>
      <c r="X274" s="140">
        <f>ROUND(SUM(W275:X283),-3)</f>
        <v>320000</v>
      </c>
      <c r="Y274" s="141" t="s">
        <v>56</v>
      </c>
      <c r="Z274" s="6"/>
    </row>
    <row r="275" spans="1:26" s="11" customFormat="1" ht="19.5" customHeight="1">
      <c r="A275" s="60"/>
      <c r="B275" s="88"/>
      <c r="C275" s="46" t="s">
        <v>168</v>
      </c>
      <c r="D275" s="46" t="s">
        <v>336</v>
      </c>
      <c r="E275" s="48"/>
      <c r="F275" s="48"/>
      <c r="G275" s="49"/>
      <c r="H275" s="68"/>
      <c r="I275" s="65" t="s">
        <v>335</v>
      </c>
      <c r="J275" s="294"/>
      <c r="K275" s="293"/>
      <c r="L275" s="293"/>
      <c r="M275" s="293"/>
      <c r="N275" s="293"/>
      <c r="O275" s="293"/>
      <c r="P275" s="293"/>
      <c r="Q275" s="54"/>
      <c r="R275" s="54"/>
      <c r="S275" s="54"/>
      <c r="T275" s="293"/>
      <c r="U275" s="293"/>
      <c r="V275" s="293"/>
      <c r="W275" s="66"/>
      <c r="X275" s="66">
        <v>200000</v>
      </c>
      <c r="Y275" s="57" t="s">
        <v>56</v>
      </c>
      <c r="Z275" s="6"/>
    </row>
    <row r="276" spans="1:26" s="11" customFormat="1" ht="19.5" customHeight="1">
      <c r="A276" s="60"/>
      <c r="B276" s="88"/>
      <c r="C276" s="46"/>
      <c r="D276" s="46"/>
      <c r="E276" s="48"/>
      <c r="F276" s="48"/>
      <c r="G276" s="49"/>
      <c r="H276" s="68"/>
      <c r="I276" s="65" t="s">
        <v>334</v>
      </c>
      <c r="J276" s="294"/>
      <c r="K276" s="293"/>
      <c r="L276" s="293"/>
      <c r="M276" s="293"/>
      <c r="N276" s="293"/>
      <c r="O276" s="293"/>
      <c r="P276" s="293"/>
      <c r="Q276" s="54"/>
      <c r="R276" s="54"/>
      <c r="S276" s="54"/>
      <c r="T276" s="293"/>
      <c r="U276" s="293"/>
      <c r="V276" s="293"/>
      <c r="W276" s="66"/>
      <c r="X276" s="66">
        <v>5000</v>
      </c>
      <c r="Y276" s="57" t="s">
        <v>56</v>
      </c>
      <c r="Z276" s="6"/>
    </row>
    <row r="277" spans="1:26" s="11" customFormat="1" ht="19.5" customHeight="1">
      <c r="A277" s="60"/>
      <c r="B277" s="88"/>
      <c r="C277" s="46"/>
      <c r="D277" s="46"/>
      <c r="E277" s="48"/>
      <c r="F277" s="48"/>
      <c r="G277" s="49"/>
      <c r="H277" s="68"/>
      <c r="I277" s="65" t="s">
        <v>333</v>
      </c>
      <c r="J277" s="294"/>
      <c r="K277" s="293"/>
      <c r="L277" s="293"/>
      <c r="M277" s="293"/>
      <c r="N277" s="293"/>
      <c r="O277" s="293"/>
      <c r="P277" s="293"/>
      <c r="Q277" s="54"/>
      <c r="R277" s="54"/>
      <c r="S277" s="54"/>
      <c r="T277" s="293"/>
      <c r="U277" s="293"/>
      <c r="V277" s="293"/>
      <c r="W277" s="66"/>
      <c r="X277" s="66">
        <v>5000</v>
      </c>
      <c r="Y277" s="57" t="s">
        <v>56</v>
      </c>
      <c r="Z277" s="6"/>
    </row>
    <row r="278" spans="1:26" s="11" customFormat="1" ht="19.5" customHeight="1">
      <c r="A278" s="60"/>
      <c r="B278" s="88"/>
      <c r="C278" s="46"/>
      <c r="D278" s="46"/>
      <c r="E278" s="48"/>
      <c r="F278" s="48"/>
      <c r="G278" s="49"/>
      <c r="H278" s="68"/>
      <c r="I278" s="65" t="s">
        <v>332</v>
      </c>
      <c r="J278" s="294"/>
      <c r="K278" s="293"/>
      <c r="L278" s="293"/>
      <c r="M278" s="293"/>
      <c r="N278" s="293"/>
      <c r="O278" s="293"/>
      <c r="P278" s="293"/>
      <c r="Q278" s="54"/>
      <c r="R278" s="54"/>
      <c r="S278" s="54"/>
      <c r="T278" s="293"/>
      <c r="U278" s="293"/>
      <c r="V278" s="293"/>
      <c r="W278" s="66"/>
      <c r="X278" s="66">
        <v>25000</v>
      </c>
      <c r="Y278" s="57" t="s">
        <v>56</v>
      </c>
      <c r="Z278" s="6"/>
    </row>
    <row r="279" spans="1:26" s="11" customFormat="1" ht="19.5" customHeight="1">
      <c r="A279" s="60"/>
      <c r="B279" s="88"/>
      <c r="C279" s="46"/>
      <c r="D279" s="46"/>
      <c r="E279" s="48"/>
      <c r="F279" s="48"/>
      <c r="G279" s="49"/>
      <c r="H279" s="68"/>
      <c r="I279" s="65" t="s">
        <v>880</v>
      </c>
      <c r="J279" s="294"/>
      <c r="K279" s="293"/>
      <c r="L279" s="293"/>
      <c r="M279" s="293"/>
      <c r="N279" s="293"/>
      <c r="O279" s="293"/>
      <c r="P279" s="293"/>
      <c r="Q279" s="54"/>
      <c r="R279" s="54"/>
      <c r="S279" s="54"/>
      <c r="T279" s="293"/>
      <c r="U279" s="293"/>
      <c r="V279" s="293"/>
      <c r="W279" s="66"/>
      <c r="X279" s="66">
        <v>5000</v>
      </c>
      <c r="Y279" s="57" t="s">
        <v>56</v>
      </c>
      <c r="Z279" s="6"/>
    </row>
    <row r="280" spans="1:26" s="11" customFormat="1" ht="19.5" customHeight="1">
      <c r="A280" s="60"/>
      <c r="B280" s="88"/>
      <c r="C280" s="46"/>
      <c r="D280" s="46"/>
      <c r="E280" s="48"/>
      <c r="F280" s="48"/>
      <c r="G280" s="49"/>
      <c r="H280" s="68"/>
      <c r="I280" s="65" t="s">
        <v>194</v>
      </c>
      <c r="J280" s="294"/>
      <c r="K280" s="293"/>
      <c r="L280" s="293"/>
      <c r="M280" s="293"/>
      <c r="N280" s="293"/>
      <c r="O280" s="293"/>
      <c r="P280" s="293"/>
      <c r="Q280" s="54"/>
      <c r="R280" s="54"/>
      <c r="S280" s="54"/>
      <c r="T280" s="293"/>
      <c r="U280" s="293"/>
      <c r="V280" s="293"/>
      <c r="W280" s="66"/>
      <c r="X280" s="66">
        <v>25000</v>
      </c>
      <c r="Y280" s="57" t="s">
        <v>56</v>
      </c>
      <c r="Z280" s="6"/>
    </row>
    <row r="281" spans="1:26" s="11" customFormat="1" ht="19.5" customHeight="1">
      <c r="A281" s="60"/>
      <c r="B281" s="88"/>
      <c r="C281" s="46"/>
      <c r="D281" s="46"/>
      <c r="E281" s="48"/>
      <c r="F281" s="48"/>
      <c r="G281" s="49"/>
      <c r="H281" s="68"/>
      <c r="I281" s="65" t="s">
        <v>331</v>
      </c>
      <c r="J281" s="294"/>
      <c r="K281" s="293"/>
      <c r="L281" s="293"/>
      <c r="M281" s="293"/>
      <c r="N281" s="293"/>
      <c r="O281" s="293"/>
      <c r="P281" s="293"/>
      <c r="Q281" s="54"/>
      <c r="R281" s="54"/>
      <c r="S281" s="54"/>
      <c r="T281" s="293"/>
      <c r="U281" s="293"/>
      <c r="V281" s="293"/>
      <c r="W281" s="66"/>
      <c r="X281" s="66">
        <v>40000</v>
      </c>
      <c r="Y281" s="57" t="s">
        <v>56</v>
      </c>
      <c r="Z281" s="6"/>
    </row>
    <row r="282" spans="1:26" s="11" customFormat="1" ht="19.5" customHeight="1">
      <c r="A282" s="60"/>
      <c r="B282" s="88"/>
      <c r="C282" s="46"/>
      <c r="D282" s="46"/>
      <c r="E282" s="48"/>
      <c r="F282" s="48"/>
      <c r="G282" s="49"/>
      <c r="H282" s="68"/>
      <c r="I282" s="65" t="s">
        <v>196</v>
      </c>
      <c r="J282" s="294"/>
      <c r="K282" s="293"/>
      <c r="L282" s="293"/>
      <c r="M282" s="293"/>
      <c r="N282" s="293"/>
      <c r="O282" s="293"/>
      <c r="P282" s="293"/>
      <c r="Q282" s="54"/>
      <c r="R282" s="54"/>
      <c r="S282" s="54"/>
      <c r="T282" s="293"/>
      <c r="U282" s="293"/>
      <c r="V282" s="293"/>
      <c r="W282" s="66"/>
      <c r="X282" s="66">
        <v>5000</v>
      </c>
      <c r="Y282" s="57" t="s">
        <v>56</v>
      </c>
      <c r="Z282" s="6"/>
    </row>
    <row r="283" spans="1:26" s="11" customFormat="1" ht="19.5" customHeight="1">
      <c r="A283" s="60"/>
      <c r="B283" s="88"/>
      <c r="C283" s="46"/>
      <c r="D283" s="46"/>
      <c r="E283" s="48"/>
      <c r="F283" s="48"/>
      <c r="G283" s="49"/>
      <c r="H283" s="68"/>
      <c r="I283" s="65" t="s">
        <v>197</v>
      </c>
      <c r="J283" s="294"/>
      <c r="K283" s="293"/>
      <c r="L283" s="293"/>
      <c r="M283" s="293"/>
      <c r="N283" s="293"/>
      <c r="O283" s="293"/>
      <c r="P283" s="293"/>
      <c r="Q283" s="54"/>
      <c r="R283" s="54"/>
      <c r="S283" s="54"/>
      <c r="T283" s="293"/>
      <c r="U283" s="293"/>
      <c r="V283" s="293"/>
      <c r="W283" s="66"/>
      <c r="X283" s="66">
        <v>10000</v>
      </c>
      <c r="Y283" s="57" t="s">
        <v>56</v>
      </c>
      <c r="Z283" s="6"/>
    </row>
    <row r="284" spans="1:26" s="11" customFormat="1" ht="19.5" customHeight="1">
      <c r="A284" s="60"/>
      <c r="B284" s="88"/>
      <c r="C284" s="46"/>
      <c r="D284" s="46"/>
      <c r="E284" s="48"/>
      <c r="F284" s="48"/>
      <c r="G284" s="49"/>
      <c r="H284" s="68"/>
      <c r="I284" s="65"/>
      <c r="J284" s="294"/>
      <c r="K284" s="293"/>
      <c r="L284" s="293"/>
      <c r="M284" s="293"/>
      <c r="N284" s="293"/>
      <c r="O284" s="293"/>
      <c r="P284" s="293"/>
      <c r="Q284" s="54"/>
      <c r="R284" s="54"/>
      <c r="S284" s="54"/>
      <c r="T284" s="293"/>
      <c r="U284" s="293"/>
      <c r="V284" s="293"/>
      <c r="W284" s="66"/>
      <c r="X284" s="66"/>
      <c r="Y284" s="57"/>
      <c r="Z284" s="6"/>
    </row>
    <row r="285" spans="1:26" s="11" customFormat="1" ht="19.5" customHeight="1">
      <c r="A285" s="60"/>
      <c r="B285" s="88"/>
      <c r="C285" s="36" t="s">
        <v>169</v>
      </c>
      <c r="D285" s="451" t="s">
        <v>140</v>
      </c>
      <c r="E285" s="217">
        <f>SUM(E286,E292)</f>
        <v>56214</v>
      </c>
      <c r="F285" s="217">
        <f>SUM(F286,F292)</f>
        <v>56078</v>
      </c>
      <c r="G285" s="218">
        <f>F285-E285</f>
        <v>-136</v>
      </c>
      <c r="H285" s="219">
        <f>IF(E285=0,0,G285/E285)</f>
        <v>-2.4193261465115454E-3</v>
      </c>
      <c r="I285" s="202" t="s">
        <v>185</v>
      </c>
      <c r="J285" s="203"/>
      <c r="K285" s="204"/>
      <c r="L285" s="204"/>
      <c r="M285" s="204"/>
      <c r="N285" s="204"/>
      <c r="O285" s="204"/>
      <c r="P285" s="205"/>
      <c r="Q285" s="205"/>
      <c r="R285" s="205"/>
      <c r="S285" s="205"/>
      <c r="T285" s="205"/>
      <c r="U285" s="205"/>
      <c r="V285" s="232" t="s">
        <v>63</v>
      </c>
      <c r="W285" s="233"/>
      <c r="X285" s="233">
        <f>SUM(X286,X292)</f>
        <v>56078000</v>
      </c>
      <c r="Y285" s="265" t="s">
        <v>56</v>
      </c>
      <c r="Z285" s="6"/>
    </row>
    <row r="286" spans="1:26" s="11" customFormat="1" ht="19.5" customHeight="1">
      <c r="A286" s="60"/>
      <c r="B286" s="88"/>
      <c r="C286" s="46" t="s">
        <v>60</v>
      </c>
      <c r="D286" s="46" t="s">
        <v>654</v>
      </c>
      <c r="E286" s="48">
        <v>54000</v>
      </c>
      <c r="F286" s="48">
        <f>ROUND(X286/1000,0)</f>
        <v>54000</v>
      </c>
      <c r="G286" s="38">
        <f>F286-E286</f>
        <v>0</v>
      </c>
      <c r="H286" s="39">
        <f>IF(E286=0,0,G286/E286)</f>
        <v>0</v>
      </c>
      <c r="I286" s="138" t="s">
        <v>185</v>
      </c>
      <c r="J286" s="157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719"/>
      <c r="W286" s="719"/>
      <c r="X286" s="140">
        <f>ROUNDUP(SUM(W287:X291),-3)</f>
        <v>54000000</v>
      </c>
      <c r="Y286" s="141" t="s">
        <v>56</v>
      </c>
      <c r="Z286" s="6"/>
    </row>
    <row r="287" spans="1:26" s="11" customFormat="1" ht="19.5" customHeight="1">
      <c r="A287" s="60"/>
      <c r="B287" s="88"/>
      <c r="C287" s="46"/>
      <c r="D287" s="46"/>
      <c r="E287" s="48"/>
      <c r="F287" s="48"/>
      <c r="G287" s="49"/>
      <c r="H287" s="31"/>
      <c r="I287" s="283" t="s">
        <v>597</v>
      </c>
      <c r="J287" s="566"/>
      <c r="K287" s="566"/>
      <c r="L287" s="566"/>
      <c r="M287" s="566">
        <v>60000</v>
      </c>
      <c r="N287" s="566" t="s">
        <v>596</v>
      </c>
      <c r="O287" s="567" t="s">
        <v>598</v>
      </c>
      <c r="P287" s="566">
        <v>39</v>
      </c>
      <c r="Q287" s="567" t="s">
        <v>599</v>
      </c>
      <c r="R287" s="567" t="s">
        <v>598</v>
      </c>
      <c r="S287" s="566">
        <v>12</v>
      </c>
      <c r="T287" s="566" t="s">
        <v>600</v>
      </c>
      <c r="U287" s="549" t="s">
        <v>601</v>
      </c>
      <c r="V287" s="549"/>
      <c r="W287" s="567"/>
      <c r="X287" s="566">
        <f>ROUND(M287*P287*S287,-3)</f>
        <v>28080000</v>
      </c>
      <c r="Y287" s="131" t="s">
        <v>596</v>
      </c>
      <c r="Z287" s="6"/>
    </row>
    <row r="288" spans="1:26" s="11" customFormat="1" ht="19.5" customHeight="1">
      <c r="A288" s="60"/>
      <c r="B288" s="88"/>
      <c r="C288" s="46"/>
      <c r="D288" s="46"/>
      <c r="E288" s="48"/>
      <c r="F288" s="48"/>
      <c r="G288" s="49"/>
      <c r="H288" s="31"/>
      <c r="I288" s="283"/>
      <c r="J288" s="566"/>
      <c r="K288" s="566"/>
      <c r="L288" s="566"/>
      <c r="M288" s="566"/>
      <c r="N288" s="566"/>
      <c r="O288" s="567"/>
      <c r="P288" s="566"/>
      <c r="Q288" s="567"/>
      <c r="R288" s="567"/>
      <c r="S288" s="566"/>
      <c r="T288" s="566"/>
      <c r="U288" s="549"/>
      <c r="V288" s="549"/>
      <c r="W288" s="567"/>
      <c r="X288" s="566"/>
      <c r="Y288" s="131"/>
      <c r="Z288" s="6"/>
    </row>
    <row r="289" spans="1:26" s="11" customFormat="1" ht="19.5" customHeight="1">
      <c r="A289" s="60"/>
      <c r="B289" s="88"/>
      <c r="C289" s="46"/>
      <c r="D289" s="46"/>
      <c r="E289" s="48"/>
      <c r="F289" s="48"/>
      <c r="G289" s="49"/>
      <c r="H289" s="31"/>
      <c r="I289" s="283" t="s">
        <v>602</v>
      </c>
      <c r="J289" s="566"/>
      <c r="K289" s="566"/>
      <c r="L289" s="566"/>
      <c r="M289" s="566">
        <v>60000</v>
      </c>
      <c r="N289" s="566" t="s">
        <v>596</v>
      </c>
      <c r="O289" s="567" t="s">
        <v>598</v>
      </c>
      <c r="P289" s="566">
        <v>10</v>
      </c>
      <c r="Q289" s="569" t="s">
        <v>55</v>
      </c>
      <c r="R289" s="567" t="s">
        <v>598</v>
      </c>
      <c r="S289" s="566">
        <v>12</v>
      </c>
      <c r="T289" s="569" t="s">
        <v>605</v>
      </c>
      <c r="U289" s="549" t="s">
        <v>601</v>
      </c>
      <c r="V289" s="549"/>
      <c r="W289" s="567"/>
      <c r="X289" s="569">
        <f>ROUND(M289*P289*S289,-3)</f>
        <v>7200000</v>
      </c>
      <c r="Y289" s="131" t="s">
        <v>596</v>
      </c>
      <c r="Z289" s="6"/>
    </row>
    <row r="290" spans="1:26" s="11" customFormat="1" ht="19.5" customHeight="1">
      <c r="A290" s="60"/>
      <c r="B290" s="88"/>
      <c r="C290" s="46"/>
      <c r="D290" s="46"/>
      <c r="E290" s="48"/>
      <c r="F290" s="48"/>
      <c r="G290" s="49"/>
      <c r="H290" s="31"/>
      <c r="I290" s="283"/>
      <c r="J290" s="566"/>
      <c r="K290" s="566"/>
      <c r="L290" s="566"/>
      <c r="M290" s="566">
        <v>60000</v>
      </c>
      <c r="N290" s="566" t="s">
        <v>596</v>
      </c>
      <c r="O290" s="567" t="s">
        <v>598</v>
      </c>
      <c r="P290" s="566">
        <v>21</v>
      </c>
      <c r="Q290" s="567" t="s">
        <v>599</v>
      </c>
      <c r="R290" s="567" t="s">
        <v>598</v>
      </c>
      <c r="S290" s="566">
        <v>12</v>
      </c>
      <c r="T290" s="566" t="s">
        <v>600</v>
      </c>
      <c r="U290" s="549" t="s">
        <v>601</v>
      </c>
      <c r="V290" s="549"/>
      <c r="W290" s="567"/>
      <c r="X290" s="566">
        <f>ROUND(M290*P290*S290,-3)</f>
        <v>15120000</v>
      </c>
      <c r="Y290" s="131" t="s">
        <v>596</v>
      </c>
      <c r="Z290" s="6"/>
    </row>
    <row r="291" spans="1:26" s="11" customFormat="1" ht="19.5" customHeight="1">
      <c r="A291" s="60"/>
      <c r="B291" s="88"/>
      <c r="C291" s="46"/>
      <c r="D291" s="59"/>
      <c r="E291" s="61"/>
      <c r="F291" s="61"/>
      <c r="G291" s="49"/>
      <c r="H291" s="31"/>
      <c r="I291" s="283" t="s">
        <v>756</v>
      </c>
      <c r="J291" s="663"/>
      <c r="K291" s="663"/>
      <c r="L291" s="663"/>
      <c r="M291" s="663">
        <v>300000</v>
      </c>
      <c r="N291" s="663" t="s">
        <v>745</v>
      </c>
      <c r="O291" s="664" t="s">
        <v>746</v>
      </c>
      <c r="P291" s="663">
        <v>12</v>
      </c>
      <c r="Q291" s="664" t="s">
        <v>748</v>
      </c>
      <c r="R291" s="664"/>
      <c r="S291" s="663"/>
      <c r="T291" s="663"/>
      <c r="U291" s="661" t="s">
        <v>749</v>
      </c>
      <c r="V291" s="661"/>
      <c r="W291" s="664"/>
      <c r="X291" s="663">
        <f>M291*P291</f>
        <v>3600000</v>
      </c>
      <c r="Y291" s="131" t="s">
        <v>745</v>
      </c>
      <c r="Z291" s="6"/>
    </row>
    <row r="292" spans="1:26" s="11" customFormat="1" ht="19.5" customHeight="1">
      <c r="A292" s="60"/>
      <c r="B292" s="88"/>
      <c r="C292" s="46"/>
      <c r="D292" s="585" t="s">
        <v>687</v>
      </c>
      <c r="E292" s="503">
        <v>2214</v>
      </c>
      <c r="F292" s="503">
        <f>ROUND(X292/1000,0)</f>
        <v>2078</v>
      </c>
      <c r="G292" s="614">
        <f>F292-E292</f>
        <v>-136</v>
      </c>
      <c r="H292" s="615">
        <f>IF(E292=0,0,G292/E292)</f>
        <v>-6.142728093947606E-2</v>
      </c>
      <c r="I292" s="285" t="s">
        <v>688</v>
      </c>
      <c r="J292" s="307"/>
      <c r="K292" s="291"/>
      <c r="L292" s="291"/>
      <c r="M292" s="291"/>
      <c r="N292" s="291"/>
      <c r="O292" s="291"/>
      <c r="P292" s="291"/>
      <c r="Q292" s="291"/>
      <c r="R292" s="291"/>
      <c r="S292" s="291"/>
      <c r="T292" s="291"/>
      <c r="U292" s="291"/>
      <c r="V292" s="718"/>
      <c r="W292" s="718"/>
      <c r="X292" s="443">
        <f>ROUNDUP(SUM(W293:X302),-3)</f>
        <v>2078000</v>
      </c>
      <c r="Y292" s="444" t="s">
        <v>685</v>
      </c>
      <c r="Z292" s="6"/>
    </row>
    <row r="293" spans="1:26" s="11" customFormat="1" ht="19.5" customHeight="1">
      <c r="A293" s="60"/>
      <c r="B293" s="88"/>
      <c r="C293" s="46"/>
      <c r="D293" s="585"/>
      <c r="E293" s="503"/>
      <c r="F293" s="503"/>
      <c r="G293" s="612"/>
      <c r="H293" s="613"/>
      <c r="I293" s="283" t="s">
        <v>757</v>
      </c>
      <c r="J293" s="663"/>
      <c r="K293" s="663"/>
      <c r="L293" s="663"/>
      <c r="M293" s="663">
        <v>100000</v>
      </c>
      <c r="N293" s="663" t="s">
        <v>745</v>
      </c>
      <c r="O293" s="664" t="s">
        <v>746</v>
      </c>
      <c r="P293" s="663">
        <v>14</v>
      </c>
      <c r="Q293" s="664" t="s">
        <v>747</v>
      </c>
      <c r="R293" s="664"/>
      <c r="S293" s="663"/>
      <c r="T293" s="663"/>
      <c r="U293" s="661" t="s">
        <v>749</v>
      </c>
      <c r="V293" s="661"/>
      <c r="W293" s="664"/>
      <c r="X293" s="663">
        <f>ROUND(M293*P293,-3)</f>
        <v>1400000</v>
      </c>
      <c r="Y293" s="131" t="s">
        <v>745</v>
      </c>
      <c r="Z293" s="6"/>
    </row>
    <row r="294" spans="1:26" s="11" customFormat="1" ht="19.5" customHeight="1">
      <c r="A294" s="60"/>
      <c r="B294" s="88"/>
      <c r="C294" s="46"/>
      <c r="D294" s="585"/>
      <c r="E294" s="503"/>
      <c r="F294" s="503"/>
      <c r="G294" s="612"/>
      <c r="H294" s="613"/>
      <c r="I294" s="283" t="s">
        <v>758</v>
      </c>
      <c r="J294" s="663"/>
      <c r="K294" s="663"/>
      <c r="L294" s="663"/>
      <c r="M294" s="663"/>
      <c r="N294" s="663"/>
      <c r="O294" s="664"/>
      <c r="P294" s="663"/>
      <c r="Q294" s="664"/>
      <c r="R294" s="664"/>
      <c r="S294" s="663"/>
      <c r="T294" s="663"/>
      <c r="U294" s="661"/>
      <c r="V294" s="661"/>
      <c r="W294" s="664"/>
      <c r="X294" s="663">
        <v>600000</v>
      </c>
      <c r="Y294" s="131" t="s">
        <v>745</v>
      </c>
      <c r="Z294" s="6"/>
    </row>
    <row r="295" spans="1:26" s="11" customFormat="1" ht="19.5" customHeight="1" thickBot="1">
      <c r="A295" s="98"/>
      <c r="B295" s="99"/>
      <c r="C295" s="99"/>
      <c r="D295" s="616"/>
      <c r="E295" s="617"/>
      <c r="F295" s="617"/>
      <c r="G295" s="618"/>
      <c r="H295" s="619"/>
      <c r="I295" s="650" t="s">
        <v>710</v>
      </c>
      <c r="J295" s="412"/>
      <c r="K295" s="412"/>
      <c r="L295" s="412"/>
      <c r="M295" s="412"/>
      <c r="N295" s="412"/>
      <c r="O295" s="411"/>
      <c r="P295" s="412"/>
      <c r="Q295" s="411"/>
      <c r="R295" s="411"/>
      <c r="S295" s="412"/>
      <c r="T295" s="412"/>
      <c r="U295" s="651"/>
      <c r="V295" s="651"/>
      <c r="W295" s="411"/>
      <c r="X295" s="412">
        <v>78000</v>
      </c>
      <c r="Y295" s="413" t="s">
        <v>699</v>
      </c>
      <c r="Z295" s="6"/>
    </row>
    <row r="306" spans="26:26" ht="19.5" customHeight="1">
      <c r="Z306" s="6" t="s">
        <v>61</v>
      </c>
    </row>
  </sheetData>
  <mergeCells count="46"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  <mergeCell ref="C242:D242"/>
    <mergeCell ref="V247:W247"/>
    <mergeCell ref="C267:D267"/>
    <mergeCell ref="V269:W269"/>
    <mergeCell ref="F2:F3"/>
    <mergeCell ref="C12:D12"/>
    <mergeCell ref="C171:D171"/>
    <mergeCell ref="C190:D190"/>
    <mergeCell ref="V192:W192"/>
    <mergeCell ref="C197:D197"/>
    <mergeCell ref="V146:W146"/>
    <mergeCell ref="V147:W147"/>
    <mergeCell ref="V148:W148"/>
    <mergeCell ref="V128:W128"/>
    <mergeCell ref="V129:W129"/>
    <mergeCell ref="V52:W52"/>
    <mergeCell ref="V53:W53"/>
    <mergeCell ref="V286:W286"/>
    <mergeCell ref="V181:W181"/>
    <mergeCell ref="V116:W116"/>
    <mergeCell ref="V117:W117"/>
    <mergeCell ref="V64:W64"/>
    <mergeCell ref="V65:W65"/>
    <mergeCell ref="V85:W85"/>
    <mergeCell ref="V86:W86"/>
    <mergeCell ref="V87:W87"/>
    <mergeCell ref="V274:W274"/>
    <mergeCell ref="V186:W186"/>
    <mergeCell ref="V236:W236"/>
    <mergeCell ref="V115:W115"/>
    <mergeCell ref="V250:W250"/>
    <mergeCell ref="V292:W292"/>
    <mergeCell ref="V254:W254"/>
    <mergeCell ref="V173:W173"/>
    <mergeCell ref="V199:W199"/>
    <mergeCell ref="V244:W244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56"/>
  <sheetViews>
    <sheetView tabSelected="1" zoomScale="90" zoomScaleNormal="90" workbookViewId="0">
      <pane xSplit="3" ySplit="5" topLeftCell="D52" activePane="bottomRight" state="frozen"/>
      <selection pane="topRight" activeCell="D1" sqref="D1"/>
      <selection pane="bottomLeft" activeCell="A6" sqref="A6"/>
      <selection pane="bottomRight" activeCell="D54" sqref="D5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7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26" t="s">
        <v>743</v>
      </c>
      <c r="B1" s="726"/>
      <c r="C1" s="726"/>
      <c r="D1" s="726"/>
      <c r="E1" s="101"/>
      <c r="F1" s="101"/>
      <c r="G1" s="101"/>
      <c r="H1" s="101"/>
      <c r="I1" s="101"/>
      <c r="J1" s="101"/>
      <c r="K1" s="101"/>
      <c r="L1" s="101"/>
      <c r="M1" s="101"/>
      <c r="N1" s="164"/>
      <c r="O1" s="63"/>
      <c r="P1" s="63"/>
      <c r="Q1" s="63"/>
      <c r="R1" s="63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</row>
    <row r="2" spans="1:32" s="3" customFormat="1" ht="27" customHeight="1">
      <c r="A2" s="727" t="s">
        <v>22</v>
      </c>
      <c r="B2" s="728"/>
      <c r="C2" s="728"/>
      <c r="D2" s="724" t="s">
        <v>741</v>
      </c>
      <c r="E2" s="747" t="s">
        <v>744</v>
      </c>
      <c r="F2" s="748"/>
      <c r="G2" s="748"/>
      <c r="H2" s="748"/>
      <c r="I2" s="748"/>
      <c r="J2" s="748"/>
      <c r="K2" s="748"/>
      <c r="L2" s="749"/>
      <c r="M2" s="732" t="s">
        <v>23</v>
      </c>
      <c r="N2" s="732"/>
      <c r="O2" s="740" t="s">
        <v>54</v>
      </c>
      <c r="P2" s="741"/>
      <c r="Q2" s="741"/>
      <c r="R2" s="741"/>
      <c r="S2" s="741"/>
      <c r="T2" s="741"/>
      <c r="U2" s="741"/>
      <c r="V2" s="741"/>
      <c r="W2" s="741"/>
      <c r="X2" s="741"/>
      <c r="Y2" s="741"/>
      <c r="Z2" s="741"/>
      <c r="AA2" s="741"/>
      <c r="AB2" s="741"/>
      <c r="AC2" s="741"/>
      <c r="AD2" s="741"/>
      <c r="AE2" s="742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25"/>
      <c r="E3" s="144" t="s">
        <v>122</v>
      </c>
      <c r="F3" s="175" t="s">
        <v>152</v>
      </c>
      <c r="G3" s="175" t="s">
        <v>153</v>
      </c>
      <c r="H3" s="144" t="s">
        <v>120</v>
      </c>
      <c r="I3" s="144" t="s">
        <v>59</v>
      </c>
      <c r="J3" s="144" t="s">
        <v>118</v>
      </c>
      <c r="K3" s="144" t="s">
        <v>121</v>
      </c>
      <c r="L3" s="144" t="s">
        <v>60</v>
      </c>
      <c r="M3" s="143" t="s">
        <v>123</v>
      </c>
      <c r="N3" s="102" t="s">
        <v>4</v>
      </c>
      <c r="O3" s="743"/>
      <c r="P3" s="744"/>
      <c r="Q3" s="744"/>
      <c r="R3" s="744"/>
      <c r="S3" s="744"/>
      <c r="T3" s="744"/>
      <c r="U3" s="744"/>
      <c r="V3" s="744"/>
      <c r="W3" s="744"/>
      <c r="X3" s="744"/>
      <c r="Y3" s="744"/>
      <c r="Z3" s="744"/>
      <c r="AA3" s="744"/>
      <c r="AB3" s="744"/>
      <c r="AC3" s="744"/>
      <c r="AD3" s="744"/>
      <c r="AE3" s="745"/>
    </row>
    <row r="4" spans="1:32" s="11" customFormat="1" ht="21" customHeight="1">
      <c r="A4" s="760" t="s">
        <v>31</v>
      </c>
      <c r="B4" s="761"/>
      <c r="C4" s="761"/>
      <c r="D4" s="311">
        <f t="shared" ref="D4:L4" si="0">SUM(D5,D164,D184,D327,D340,D343)</f>
        <v>2379951</v>
      </c>
      <c r="E4" s="311">
        <f t="shared" si="0"/>
        <v>2531631</v>
      </c>
      <c r="F4" s="311">
        <f t="shared" si="0"/>
        <v>1930806</v>
      </c>
      <c r="G4" s="311">
        <f t="shared" si="0"/>
        <v>157390</v>
      </c>
      <c r="H4" s="311">
        <f t="shared" si="0"/>
        <v>21351</v>
      </c>
      <c r="I4" s="311">
        <f t="shared" si="0"/>
        <v>179692</v>
      </c>
      <c r="J4" s="311">
        <f t="shared" si="0"/>
        <v>128492</v>
      </c>
      <c r="K4" s="311">
        <f t="shared" si="0"/>
        <v>49112</v>
      </c>
      <c r="L4" s="311">
        <f t="shared" si="0"/>
        <v>64788</v>
      </c>
      <c r="M4" s="312">
        <f>E4-D4</f>
        <v>151680</v>
      </c>
      <c r="N4" s="313">
        <f>IF(D4=0,0,M4/D4)</f>
        <v>6.3732404574716031E-2</v>
      </c>
      <c r="O4" s="314" t="s">
        <v>213</v>
      </c>
      <c r="P4" s="315"/>
      <c r="Q4" s="315"/>
      <c r="R4" s="315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>
        <f>SUM(AD5,AD164,AD184,AD327,AD340,AD343)</f>
        <v>2531631000</v>
      </c>
      <c r="AE4" s="317" t="s">
        <v>25</v>
      </c>
      <c r="AF4" s="2"/>
    </row>
    <row r="5" spans="1:32" s="11" customFormat="1" ht="21" customHeight="1">
      <c r="A5" s="106" t="s">
        <v>6</v>
      </c>
      <c r="B5" s="758" t="s">
        <v>7</v>
      </c>
      <c r="C5" s="759"/>
      <c r="D5" s="318">
        <f t="shared" ref="D5:L5" si="1">SUM(D6,D80,D89)</f>
        <v>1900131</v>
      </c>
      <c r="E5" s="318">
        <f t="shared" si="1"/>
        <v>2036430</v>
      </c>
      <c r="F5" s="318">
        <f t="shared" si="1"/>
        <v>1831410</v>
      </c>
      <c r="G5" s="318">
        <f t="shared" si="1"/>
        <v>141736</v>
      </c>
      <c r="H5" s="318">
        <f t="shared" si="1"/>
        <v>0</v>
      </c>
      <c r="I5" s="318">
        <f t="shared" si="1"/>
        <v>18752</v>
      </c>
      <c r="J5" s="318">
        <f t="shared" si="1"/>
        <v>0</v>
      </c>
      <c r="K5" s="318">
        <f t="shared" si="1"/>
        <v>40112</v>
      </c>
      <c r="L5" s="318">
        <f t="shared" si="1"/>
        <v>4420</v>
      </c>
      <c r="M5" s="319">
        <f>E5-D5</f>
        <v>136299</v>
      </c>
      <c r="N5" s="320">
        <f>IF(D5=0,0,M5/D5)</f>
        <v>7.1731370100272029E-2</v>
      </c>
      <c r="O5" s="321" t="s">
        <v>214</v>
      </c>
      <c r="P5" s="321"/>
      <c r="Q5" s="321"/>
      <c r="R5" s="321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>
        <f>SUM(AD6,AD80,AD89)</f>
        <v>2036430000</v>
      </c>
      <c r="AE5" s="323" t="s">
        <v>25</v>
      </c>
      <c r="AF5" s="2"/>
    </row>
    <row r="6" spans="1:32" s="11" customFormat="1" ht="21" customHeight="1">
      <c r="A6" s="45"/>
      <c r="B6" s="36" t="s">
        <v>8</v>
      </c>
      <c r="C6" s="324" t="s">
        <v>5</v>
      </c>
      <c r="D6" s="428">
        <f t="shared" ref="D6:L6" si="2">SUM(D7,D13,D18,D32,D40,D62)</f>
        <v>1785022</v>
      </c>
      <c r="E6" s="325">
        <f t="shared" si="2"/>
        <v>1933136</v>
      </c>
      <c r="F6" s="325">
        <f t="shared" si="2"/>
        <v>1769918</v>
      </c>
      <c r="G6" s="325">
        <f t="shared" si="2"/>
        <v>138136</v>
      </c>
      <c r="H6" s="325">
        <f t="shared" si="2"/>
        <v>0</v>
      </c>
      <c r="I6" s="325">
        <f t="shared" si="2"/>
        <v>3968</v>
      </c>
      <c r="J6" s="325">
        <f t="shared" si="2"/>
        <v>0</v>
      </c>
      <c r="K6" s="325">
        <f t="shared" si="2"/>
        <v>17904</v>
      </c>
      <c r="L6" s="325">
        <f t="shared" si="2"/>
        <v>3210</v>
      </c>
      <c r="M6" s="326">
        <f>E6-D6</f>
        <v>148114</v>
      </c>
      <c r="N6" s="327">
        <f>IF(D6=0,0,M6/D6)</f>
        <v>8.2976008138835267E-2</v>
      </c>
      <c r="O6" s="328" t="s">
        <v>215</v>
      </c>
      <c r="P6" s="328"/>
      <c r="Q6" s="328"/>
      <c r="R6" s="328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>
        <f>SUM(AD7,AD13,AD18,AD32,AD40,AD62)</f>
        <v>1933136000</v>
      </c>
      <c r="AE6" s="330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3">
        <v>1093611</v>
      </c>
      <c r="E7" s="108">
        <f>ROUND(AD7/1000,0)</f>
        <v>1198108</v>
      </c>
      <c r="F7" s="108">
        <f>SUMIF($AB$8:$AB$12,"보조",$AD$8:$AD$12)/1000</f>
        <v>1127048</v>
      </c>
      <c r="G7" s="108">
        <f>SUMIF($AB$8:$AB$12,"7종",$AD$8:$AD$12)/1000</f>
        <v>71060</v>
      </c>
      <c r="H7" s="108">
        <f>SUMIF($AB$8:$AB$12,"4종",$AD$8:$AD$12)/1000</f>
        <v>0</v>
      </c>
      <c r="I7" s="108">
        <f>SUMIF($AB$8:$AB$12,"후원",$AD$8:$AD$12)/1000</f>
        <v>0</v>
      </c>
      <c r="J7" s="108">
        <f>SUMIF($AB$8:$AB$12,"입소",$AD$8:$AD$12)/1000</f>
        <v>0</v>
      </c>
      <c r="K7" s="108">
        <f>SUMIF($AB$8:$AB$12,"법인",$AD$8:$AD$12)/1000</f>
        <v>0</v>
      </c>
      <c r="L7" s="108">
        <f>SUMIF($AB$8:$AB$12,"잡수",$AD$8:$AD$12)/1000</f>
        <v>0</v>
      </c>
      <c r="M7" s="107">
        <f>E7-D7</f>
        <v>104497</v>
      </c>
      <c r="N7" s="281">
        <f>IF(D7=0,0,M7/D7)</f>
        <v>9.5552257612624605E-2</v>
      </c>
      <c r="O7" s="110" t="s">
        <v>67</v>
      </c>
      <c r="P7" s="110"/>
      <c r="Q7" s="150"/>
      <c r="R7" s="150"/>
      <c r="S7" s="150"/>
      <c r="T7" s="149"/>
      <c r="U7" s="149"/>
      <c r="V7" s="149"/>
      <c r="W7" s="97" t="s">
        <v>124</v>
      </c>
      <c r="X7" s="97"/>
      <c r="Y7" s="97"/>
      <c r="Z7" s="97"/>
      <c r="AA7" s="97"/>
      <c r="AB7" s="97"/>
      <c r="AC7" s="112"/>
      <c r="AD7" s="112">
        <f>SUM(기본급,기본급7종)</f>
        <v>1198108000</v>
      </c>
      <c r="AE7" s="113" t="s">
        <v>56</v>
      </c>
      <c r="AF7" s="1"/>
    </row>
    <row r="8" spans="1:32" s="11" customFormat="1" ht="21" customHeight="1">
      <c r="A8" s="45"/>
      <c r="B8" s="46"/>
      <c r="C8" s="46"/>
      <c r="D8" s="151"/>
      <c r="E8" s="103"/>
      <c r="F8" s="103"/>
      <c r="G8" s="103"/>
      <c r="H8" s="103"/>
      <c r="I8" s="103"/>
      <c r="J8" s="103"/>
      <c r="K8" s="103"/>
      <c r="L8" s="103"/>
      <c r="M8" s="103"/>
      <c r="N8" s="68"/>
      <c r="O8" s="150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1"/>
      <c r="E9" s="103"/>
      <c r="F9" s="103"/>
      <c r="G9" s="103"/>
      <c r="H9" s="103"/>
      <c r="I9" s="103"/>
      <c r="J9" s="103"/>
      <c r="K9" s="103"/>
      <c r="L9" s="103"/>
      <c r="M9" s="103"/>
      <c r="N9" s="68"/>
      <c r="O9" s="373" t="s">
        <v>545</v>
      </c>
      <c r="P9" s="373"/>
      <c r="Q9" s="373"/>
      <c r="R9" s="373"/>
      <c r="S9" s="277"/>
      <c r="T9" s="275"/>
      <c r="U9" s="275"/>
      <c r="V9" s="275"/>
      <c r="W9" s="356" t="s">
        <v>222</v>
      </c>
      <c r="X9" s="356"/>
      <c r="Y9" s="356"/>
      <c r="Z9" s="356"/>
      <c r="AA9" s="356"/>
      <c r="AB9" s="356" t="s">
        <v>532</v>
      </c>
      <c r="AC9" s="357"/>
      <c r="AD9" s="357">
        <v>1127048000</v>
      </c>
      <c r="AE9" s="358" t="s">
        <v>216</v>
      </c>
      <c r="AF9" s="2"/>
    </row>
    <row r="10" spans="1:32" s="11" customFormat="1" ht="21" customHeight="1">
      <c r="A10" s="45"/>
      <c r="B10" s="46"/>
      <c r="C10" s="46"/>
      <c r="D10" s="151"/>
      <c r="E10" s="103"/>
      <c r="F10" s="103"/>
      <c r="G10" s="103"/>
      <c r="H10" s="103"/>
      <c r="I10" s="103"/>
      <c r="J10" s="103"/>
      <c r="K10" s="103"/>
      <c r="L10" s="103"/>
      <c r="M10" s="103"/>
      <c r="N10" s="68"/>
      <c r="O10" s="377"/>
      <c r="P10" s="377"/>
      <c r="Q10" s="377"/>
      <c r="R10" s="377"/>
      <c r="S10" s="275"/>
      <c r="T10" s="337"/>
      <c r="U10" s="275"/>
      <c r="V10" s="275"/>
      <c r="W10" s="337"/>
      <c r="X10" s="275"/>
      <c r="Y10" s="275"/>
      <c r="Z10" s="275"/>
      <c r="AA10" s="275"/>
      <c r="AB10" s="275"/>
      <c r="AC10" s="275"/>
      <c r="AD10" s="275"/>
      <c r="AE10" s="301"/>
      <c r="AF10" s="1"/>
    </row>
    <row r="11" spans="1:32" s="11" customFormat="1" ht="21" customHeight="1">
      <c r="A11" s="45"/>
      <c r="B11" s="46"/>
      <c r="C11" s="46"/>
      <c r="D11" s="151"/>
      <c r="E11" s="103"/>
      <c r="F11" s="103"/>
      <c r="G11" s="103"/>
      <c r="H11" s="103"/>
      <c r="I11" s="103"/>
      <c r="J11" s="103"/>
      <c r="K11" s="103"/>
      <c r="L11" s="103"/>
      <c r="M11" s="103"/>
      <c r="N11" s="68"/>
      <c r="O11" s="373" t="s">
        <v>223</v>
      </c>
      <c r="P11" s="373"/>
      <c r="Q11" s="373"/>
      <c r="R11" s="373"/>
      <c r="S11" s="277"/>
      <c r="T11" s="275"/>
      <c r="U11" s="275"/>
      <c r="V11" s="275"/>
      <c r="W11" s="356" t="s">
        <v>222</v>
      </c>
      <c r="X11" s="356"/>
      <c r="Y11" s="356"/>
      <c r="Z11" s="356"/>
      <c r="AA11" s="356"/>
      <c r="AB11" s="356" t="s">
        <v>533</v>
      </c>
      <c r="AC11" s="357"/>
      <c r="AD11" s="357">
        <v>71060000</v>
      </c>
      <c r="AE11" s="358" t="s">
        <v>216</v>
      </c>
      <c r="AF11" s="1"/>
    </row>
    <row r="12" spans="1:32" s="11" customFormat="1" ht="21" customHeight="1">
      <c r="A12" s="45"/>
      <c r="B12" s="46"/>
      <c r="C12" s="46"/>
      <c r="D12" s="151"/>
      <c r="E12" s="103"/>
      <c r="F12" s="103"/>
      <c r="G12" s="103"/>
      <c r="H12" s="103"/>
      <c r="I12" s="103"/>
      <c r="J12" s="103"/>
      <c r="K12" s="103"/>
      <c r="L12" s="103"/>
      <c r="M12" s="103"/>
      <c r="N12" s="68"/>
      <c r="O12" s="50"/>
      <c r="P12" s="50"/>
      <c r="Q12" s="50"/>
      <c r="R12" s="50"/>
      <c r="S12" s="50"/>
      <c r="T12" s="51"/>
      <c r="U12" s="51"/>
      <c r="V12" s="145"/>
      <c r="W12" s="145"/>
      <c r="X12" s="145"/>
      <c r="Y12" s="145"/>
      <c r="Z12" s="145"/>
      <c r="AA12" s="145"/>
      <c r="AB12" s="145"/>
      <c r="AC12" s="70"/>
      <c r="AD12" s="70"/>
      <c r="AE12" s="71"/>
      <c r="AF12" s="1"/>
    </row>
    <row r="13" spans="1:32" s="11" customFormat="1" ht="21" customHeight="1">
      <c r="A13" s="45"/>
      <c r="B13" s="46"/>
      <c r="C13" s="36" t="s">
        <v>66</v>
      </c>
      <c r="D13" s="153">
        <v>640</v>
      </c>
      <c r="E13" s="108">
        <f>ROUND(AD13/1000,0)</f>
        <v>0</v>
      </c>
      <c r="F13" s="108">
        <f>SUMIF($AB$14:$AB$17,"보조",$AD$14:$AD$17)/1000</f>
        <v>0</v>
      </c>
      <c r="G13" s="108">
        <f>SUMIF($AB$14:$AB$17,"7종",$AD$14:$AD$17)/1000</f>
        <v>0</v>
      </c>
      <c r="H13" s="108">
        <f>SUMIF($AB$14:$AB$17,"4종",$AD$14:$AD$17)/1000</f>
        <v>0</v>
      </c>
      <c r="I13" s="108">
        <f>SUMIF($AB$14:$AB$17,"후원",$AD$14:$AD$17)/1000</f>
        <v>0</v>
      </c>
      <c r="J13" s="108">
        <f>SUMIF($AB$14:$AB$17,"입소",$AD$14:$AD$17)/1000</f>
        <v>0</v>
      </c>
      <c r="K13" s="108">
        <f>SUMIF($AB$14:$AB$17,"법인",$AD$14:$AD$17)/1000</f>
        <v>0</v>
      </c>
      <c r="L13" s="108">
        <f>SUMIF($AB$14:$AB$17,"잡수",$AD$14:$AD$17)/1000</f>
        <v>0</v>
      </c>
      <c r="M13" s="117">
        <f>E13-D13</f>
        <v>-640</v>
      </c>
      <c r="N13" s="115">
        <f>IF(D13=0,0,M13/D13)</f>
        <v>-1</v>
      </c>
      <c r="O13" s="95" t="s">
        <v>69</v>
      </c>
      <c r="P13" s="168"/>
      <c r="Q13" s="91"/>
      <c r="R13" s="91"/>
      <c r="S13" s="91"/>
      <c r="T13" s="87"/>
      <c r="U13" s="87"/>
      <c r="V13" s="149"/>
      <c r="W13" s="97" t="s">
        <v>124</v>
      </c>
      <c r="X13" s="97"/>
      <c r="Y13" s="97"/>
      <c r="Z13" s="97"/>
      <c r="AA13" s="97"/>
      <c r="AB13" s="97"/>
      <c r="AC13" s="112"/>
      <c r="AD13" s="112">
        <f>SUM(AD15:AD16)</f>
        <v>0</v>
      </c>
      <c r="AE13" s="113" t="s">
        <v>56</v>
      </c>
      <c r="AF13" s="1"/>
    </row>
    <row r="14" spans="1:32" s="11" customFormat="1" ht="21" customHeight="1">
      <c r="A14" s="45"/>
      <c r="B14" s="46"/>
      <c r="C14" s="46"/>
      <c r="D14" s="151"/>
      <c r="E14" s="103"/>
      <c r="F14" s="103"/>
      <c r="G14" s="103"/>
      <c r="H14" s="103"/>
      <c r="I14" s="103"/>
      <c r="J14" s="103"/>
      <c r="K14" s="103"/>
      <c r="L14" s="103"/>
      <c r="M14" s="103"/>
      <c r="N14" s="68"/>
      <c r="O14" s="150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1"/>
      <c r="E15" s="103"/>
      <c r="F15" s="103"/>
      <c r="G15" s="103"/>
      <c r="H15" s="103"/>
      <c r="I15" s="103"/>
      <c r="J15" s="103"/>
      <c r="K15" s="103"/>
      <c r="L15" s="103"/>
      <c r="M15" s="103"/>
      <c r="N15" s="68"/>
      <c r="O15" s="283" t="s">
        <v>202</v>
      </c>
      <c r="P15" s="294"/>
      <c r="Q15" s="50"/>
      <c r="R15" s="50"/>
      <c r="S15" s="119">
        <v>45000</v>
      </c>
      <c r="T15" s="119" t="s">
        <v>56</v>
      </c>
      <c r="U15" s="120" t="s">
        <v>57</v>
      </c>
      <c r="V15" s="119">
        <v>0</v>
      </c>
      <c r="W15" s="119" t="s">
        <v>55</v>
      </c>
      <c r="X15" s="120" t="s">
        <v>57</v>
      </c>
      <c r="Y15" s="296">
        <v>0</v>
      </c>
      <c r="Z15" s="89" t="s">
        <v>89</v>
      </c>
      <c r="AA15" s="89" t="s">
        <v>53</v>
      </c>
      <c r="AB15" s="293" t="s">
        <v>533</v>
      </c>
      <c r="AC15" s="66"/>
      <c r="AD15" s="129">
        <f>S15*V15*Y15</f>
        <v>0</v>
      </c>
      <c r="AE15" s="57" t="s">
        <v>68</v>
      </c>
      <c r="AF15" s="1"/>
    </row>
    <row r="16" spans="1:32" s="11" customFormat="1" ht="21" customHeight="1">
      <c r="A16" s="45"/>
      <c r="B16" s="46"/>
      <c r="C16" s="46"/>
      <c r="D16" s="151"/>
      <c r="E16" s="103"/>
      <c r="F16" s="103"/>
      <c r="G16" s="103"/>
      <c r="H16" s="103"/>
      <c r="I16" s="103"/>
      <c r="J16" s="103"/>
      <c r="K16" s="103"/>
      <c r="L16" s="103"/>
      <c r="M16" s="103"/>
      <c r="N16" s="68"/>
      <c r="O16" s="638" t="s">
        <v>728</v>
      </c>
      <c r="P16" s="638"/>
      <c r="Q16" s="638"/>
      <c r="R16" s="638"/>
      <c r="S16" s="637">
        <v>0</v>
      </c>
      <c r="T16" s="637" t="s">
        <v>699</v>
      </c>
      <c r="U16" s="638" t="s">
        <v>701</v>
      </c>
      <c r="V16" s="637">
        <v>1</v>
      </c>
      <c r="W16" s="637" t="s">
        <v>702</v>
      </c>
      <c r="X16" s="638" t="s">
        <v>701</v>
      </c>
      <c r="Y16" s="296">
        <v>8</v>
      </c>
      <c r="Z16" s="639" t="s">
        <v>729</v>
      </c>
      <c r="AA16" s="639" t="s">
        <v>703</v>
      </c>
      <c r="AB16" s="637" t="s">
        <v>712</v>
      </c>
      <c r="AC16" s="640"/>
      <c r="AD16" s="637">
        <f>S16*V16*Y16</f>
        <v>0</v>
      </c>
      <c r="AE16" s="131" t="s">
        <v>699</v>
      </c>
      <c r="AF16" s="1"/>
    </row>
    <row r="17" spans="1:32" s="11" customFormat="1" ht="21" customHeight="1">
      <c r="A17" s="45"/>
      <c r="B17" s="46"/>
      <c r="C17" s="46"/>
      <c r="D17" s="151"/>
      <c r="E17" s="103"/>
      <c r="F17" s="103"/>
      <c r="G17" s="103"/>
      <c r="H17" s="103"/>
      <c r="I17" s="103"/>
      <c r="J17" s="103"/>
      <c r="K17" s="103"/>
      <c r="L17" s="103"/>
      <c r="M17" s="103"/>
      <c r="N17" s="68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0"/>
      <c r="Z17" s="51"/>
      <c r="AA17" s="51"/>
      <c r="AB17" s="51"/>
      <c r="AC17" s="66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3">
        <v>400267</v>
      </c>
      <c r="E18" s="108">
        <f>ROUND(AD18/1000,0)</f>
        <v>415549</v>
      </c>
      <c r="F18" s="108">
        <f>SUMIF($AB$19:$AB$31,"보조",$AD$19:$AD$31)/1000</f>
        <v>371850</v>
      </c>
      <c r="G18" s="108">
        <f>SUMIF($AB$19:$AB$31,"7종",$AD$19:$AD$31)/1000</f>
        <v>43699</v>
      </c>
      <c r="H18" s="108">
        <f>SUMIF($AB$19:$AB$31,"4종",$AD$19:$AD$31)/1000</f>
        <v>0</v>
      </c>
      <c r="I18" s="108">
        <f>SUMIF($AB$19:$AB$31,"후원",$AD$19:$AD$31)/1000</f>
        <v>0</v>
      </c>
      <c r="J18" s="108">
        <f>SUMIF($AB$19:$AB$31,"입소",$AD$19:$AD$31)/1000</f>
        <v>0</v>
      </c>
      <c r="K18" s="108">
        <f>SUMIF($AB$19:$AB$31,"법인",$AD$19:$AD$31)/1000</f>
        <v>0</v>
      </c>
      <c r="L18" s="108">
        <f>SUMIF($AB$19:$AB$31,"잡수",$AD$19:$AD$31)/1000</f>
        <v>0</v>
      </c>
      <c r="M18" s="107">
        <f>E18-D18</f>
        <v>15282</v>
      </c>
      <c r="N18" s="115">
        <f>IF(D18=0,0,M18/D18)</f>
        <v>3.8179515173621607E-2</v>
      </c>
      <c r="O18" s="95" t="s">
        <v>34</v>
      </c>
      <c r="P18" s="168"/>
      <c r="Q18" s="91"/>
      <c r="R18" s="91"/>
      <c r="S18" s="91"/>
      <c r="T18" s="87"/>
      <c r="U18" s="87"/>
      <c r="V18" s="87"/>
      <c r="W18" s="169" t="s">
        <v>124</v>
      </c>
      <c r="X18" s="169"/>
      <c r="Y18" s="169"/>
      <c r="Z18" s="169"/>
      <c r="AA18" s="169"/>
      <c r="AB18" s="169"/>
      <c r="AC18" s="171"/>
      <c r="AD18" s="171">
        <f>SUM(명절휴가비,가족수당,연장근로수당)</f>
        <v>415549000</v>
      </c>
      <c r="AE18" s="170" t="s">
        <v>56</v>
      </c>
      <c r="AF18" s="1"/>
    </row>
    <row r="19" spans="1:32" s="11" customFormat="1" ht="21" customHeight="1">
      <c r="A19" s="45"/>
      <c r="B19" s="46"/>
      <c r="C19" s="46"/>
      <c r="D19" s="151"/>
      <c r="E19" s="103"/>
      <c r="F19" s="103"/>
      <c r="G19" s="103"/>
      <c r="H19" s="103"/>
      <c r="I19" s="103"/>
      <c r="J19" s="103"/>
      <c r="K19" s="103"/>
      <c r="L19" s="103"/>
      <c r="M19" s="103"/>
      <c r="N19" s="68"/>
      <c r="O19" s="373" t="s">
        <v>224</v>
      </c>
      <c r="P19" s="277"/>
      <c r="Q19" s="277"/>
      <c r="R19" s="277"/>
      <c r="S19" s="277"/>
      <c r="T19" s="275"/>
      <c r="U19" s="275"/>
      <c r="V19" s="275"/>
      <c r="W19" s="356" t="s">
        <v>222</v>
      </c>
      <c r="X19" s="356"/>
      <c r="Y19" s="356"/>
      <c r="Z19" s="356"/>
      <c r="AA19" s="356"/>
      <c r="AB19" s="356"/>
      <c r="AC19" s="357" t="s">
        <v>225</v>
      </c>
      <c r="AD19" s="357">
        <f>ROUND(SUM(AD20:AD21),-3)</f>
        <v>117414000</v>
      </c>
      <c r="AE19" s="358" t="s">
        <v>216</v>
      </c>
      <c r="AF19" s="17"/>
    </row>
    <row r="20" spans="1:32" s="11" customFormat="1" ht="21" customHeight="1">
      <c r="A20" s="45"/>
      <c r="B20" s="46"/>
      <c r="C20" s="46"/>
      <c r="D20" s="151"/>
      <c r="E20" s="103"/>
      <c r="F20" s="103"/>
      <c r="G20" s="103"/>
      <c r="H20" s="103"/>
      <c r="I20" s="103"/>
      <c r="J20" s="103"/>
      <c r="K20" s="103"/>
      <c r="L20" s="103"/>
      <c r="M20" s="103"/>
      <c r="N20" s="68"/>
      <c r="O20" s="277" t="s">
        <v>546</v>
      </c>
      <c r="P20" s="277"/>
      <c r="Q20" s="277"/>
      <c r="R20" s="277"/>
      <c r="S20" s="277"/>
      <c r="T20" s="275"/>
      <c r="U20" s="275"/>
      <c r="V20" s="275"/>
      <c r="W20" s="275"/>
      <c r="X20" s="275"/>
      <c r="Y20" s="275"/>
      <c r="Z20" s="275"/>
      <c r="AA20" s="275"/>
      <c r="AB20" s="275" t="s">
        <v>532</v>
      </c>
      <c r="AC20" s="278"/>
      <c r="AD20" s="278">
        <v>110350000</v>
      </c>
      <c r="AE20" s="301" t="s">
        <v>216</v>
      </c>
      <c r="AF20" s="17"/>
    </row>
    <row r="21" spans="1:32" s="11" customFormat="1" ht="21" customHeight="1">
      <c r="A21" s="45"/>
      <c r="B21" s="46"/>
      <c r="C21" s="46"/>
      <c r="D21" s="151"/>
      <c r="E21" s="103"/>
      <c r="F21" s="103"/>
      <c r="G21" s="103"/>
      <c r="H21" s="103"/>
      <c r="I21" s="103"/>
      <c r="J21" s="103"/>
      <c r="K21" s="103"/>
      <c r="L21" s="103"/>
      <c r="M21" s="103"/>
      <c r="N21" s="68"/>
      <c r="O21" s="277" t="s">
        <v>226</v>
      </c>
      <c r="P21" s="277"/>
      <c r="Q21" s="277"/>
      <c r="R21" s="277"/>
      <c r="S21" s="277"/>
      <c r="T21" s="275"/>
      <c r="U21" s="275"/>
      <c r="V21" s="275"/>
      <c r="W21" s="275"/>
      <c r="X21" s="275"/>
      <c r="Y21" s="275"/>
      <c r="Z21" s="275"/>
      <c r="AA21" s="275"/>
      <c r="AB21" s="275" t="s">
        <v>533</v>
      </c>
      <c r="AC21" s="278"/>
      <c r="AD21" s="278">
        <v>7064000</v>
      </c>
      <c r="AE21" s="301" t="s">
        <v>216</v>
      </c>
      <c r="AF21" s="17"/>
    </row>
    <row r="22" spans="1:32" s="11" customFormat="1" ht="21" customHeight="1">
      <c r="A22" s="45"/>
      <c r="B22" s="46"/>
      <c r="C22" s="46"/>
      <c r="D22" s="151"/>
      <c r="E22" s="103"/>
      <c r="F22" s="103"/>
      <c r="G22" s="103"/>
      <c r="H22" s="103"/>
      <c r="I22" s="103"/>
      <c r="J22" s="103"/>
      <c r="K22" s="103"/>
      <c r="L22" s="103"/>
      <c r="M22" s="103"/>
      <c r="N22" s="68"/>
      <c r="O22" s="277"/>
      <c r="P22" s="277"/>
      <c r="Q22" s="277"/>
      <c r="R22" s="277"/>
      <c r="S22" s="277"/>
      <c r="T22" s="275"/>
      <c r="U22" s="275"/>
      <c r="V22" s="275"/>
      <c r="W22" s="275"/>
      <c r="X22" s="275"/>
      <c r="Y22" s="275"/>
      <c r="Z22" s="275"/>
      <c r="AA22" s="275"/>
      <c r="AB22" s="275"/>
      <c r="AC22" s="278"/>
      <c r="AD22" s="278"/>
      <c r="AE22" s="301"/>
      <c r="AF22" s="17"/>
    </row>
    <row r="23" spans="1:32" s="11" customFormat="1" ht="21" customHeight="1">
      <c r="A23" s="45"/>
      <c r="B23" s="46"/>
      <c r="C23" s="46"/>
      <c r="D23" s="151"/>
      <c r="E23" s="103"/>
      <c r="F23" s="103"/>
      <c r="G23" s="103"/>
      <c r="H23" s="103"/>
      <c r="I23" s="103"/>
      <c r="J23" s="103"/>
      <c r="K23" s="103"/>
      <c r="L23" s="103"/>
      <c r="M23" s="103"/>
      <c r="N23" s="68"/>
      <c r="O23" s="373" t="s">
        <v>227</v>
      </c>
      <c r="P23" s="277"/>
      <c r="Q23" s="277"/>
      <c r="R23" s="277"/>
      <c r="S23" s="277"/>
      <c r="T23" s="275"/>
      <c r="U23" s="275"/>
      <c r="V23" s="275"/>
      <c r="W23" s="356" t="s">
        <v>222</v>
      </c>
      <c r="X23" s="356"/>
      <c r="Y23" s="356"/>
      <c r="Z23" s="356"/>
      <c r="AA23" s="356"/>
      <c r="AB23" s="356"/>
      <c r="AC23" s="357" t="s">
        <v>225</v>
      </c>
      <c r="AD23" s="357">
        <f>SUM(AD24:AD25)</f>
        <v>14400000</v>
      </c>
      <c r="AE23" s="358" t="s">
        <v>216</v>
      </c>
      <c r="AF23" s="17"/>
    </row>
    <row r="24" spans="1:32" s="11" customFormat="1" ht="21" customHeight="1">
      <c r="A24" s="45"/>
      <c r="B24" s="46"/>
      <c r="C24" s="46"/>
      <c r="D24" s="151"/>
      <c r="E24" s="103"/>
      <c r="F24" s="103"/>
      <c r="G24" s="103"/>
      <c r="H24" s="103"/>
      <c r="I24" s="103"/>
      <c r="J24" s="103"/>
      <c r="K24" s="103"/>
      <c r="L24" s="103"/>
      <c r="M24" s="103"/>
      <c r="N24" s="68"/>
      <c r="O24" s="277" t="s">
        <v>546</v>
      </c>
      <c r="P24" s="277"/>
      <c r="Q24" s="277"/>
      <c r="R24" s="277"/>
      <c r="S24" s="277"/>
      <c r="T24" s="275"/>
      <c r="U24" s="275"/>
      <c r="V24" s="275"/>
      <c r="W24" s="275"/>
      <c r="X24" s="275"/>
      <c r="Y24" s="275"/>
      <c r="Z24" s="275"/>
      <c r="AA24" s="275"/>
      <c r="AB24" s="275" t="s">
        <v>532</v>
      </c>
      <c r="AC24" s="278"/>
      <c r="AD24" s="278">
        <v>13440000</v>
      </c>
      <c r="AE24" s="301" t="s">
        <v>216</v>
      </c>
      <c r="AF24" s="17"/>
    </row>
    <row r="25" spans="1:32" s="11" customFormat="1" ht="21" customHeight="1">
      <c r="A25" s="45"/>
      <c r="B25" s="46"/>
      <c r="C25" s="46"/>
      <c r="D25" s="151"/>
      <c r="E25" s="103"/>
      <c r="F25" s="103"/>
      <c r="G25" s="103"/>
      <c r="H25" s="103"/>
      <c r="I25" s="103"/>
      <c r="J25" s="103"/>
      <c r="K25" s="103"/>
      <c r="L25" s="103"/>
      <c r="M25" s="103"/>
      <c r="N25" s="68"/>
      <c r="O25" s="277" t="s">
        <v>226</v>
      </c>
      <c r="P25" s="277"/>
      <c r="Q25" s="277"/>
      <c r="R25" s="277"/>
      <c r="S25" s="277"/>
      <c r="T25" s="275"/>
      <c r="U25" s="275"/>
      <c r="V25" s="275"/>
      <c r="W25" s="275"/>
      <c r="X25" s="275"/>
      <c r="Y25" s="275"/>
      <c r="Z25" s="275"/>
      <c r="AA25" s="275"/>
      <c r="AB25" s="275" t="s">
        <v>533</v>
      </c>
      <c r="AC25" s="278"/>
      <c r="AD25" s="278">
        <v>960000</v>
      </c>
      <c r="AE25" s="301" t="s">
        <v>216</v>
      </c>
      <c r="AF25" s="17"/>
    </row>
    <row r="26" spans="1:32" s="11" customFormat="1" ht="21" customHeight="1">
      <c r="A26" s="45"/>
      <c r="B26" s="46"/>
      <c r="C26" s="46"/>
      <c r="D26" s="151"/>
      <c r="E26" s="103"/>
      <c r="F26" s="103"/>
      <c r="G26" s="103"/>
      <c r="H26" s="103"/>
      <c r="I26" s="103"/>
      <c r="J26" s="103"/>
      <c r="K26" s="103"/>
      <c r="L26" s="103"/>
      <c r="M26" s="103"/>
      <c r="N26" s="68"/>
      <c r="O26" s="277"/>
      <c r="P26" s="277"/>
      <c r="Q26" s="277"/>
      <c r="R26" s="277"/>
      <c r="S26" s="277"/>
      <c r="T26" s="275"/>
      <c r="U26" s="275"/>
      <c r="V26" s="275"/>
      <c r="W26" s="275"/>
      <c r="X26" s="275"/>
      <c r="Y26" s="275"/>
      <c r="Z26" s="275"/>
      <c r="AA26" s="275"/>
      <c r="AB26" s="275"/>
      <c r="AC26" s="278"/>
      <c r="AD26" s="278"/>
      <c r="AE26" s="301"/>
      <c r="AF26" s="17"/>
    </row>
    <row r="27" spans="1:32" s="11" customFormat="1" ht="21" customHeight="1">
      <c r="A27" s="45"/>
      <c r="B27" s="46"/>
      <c r="C27" s="46"/>
      <c r="D27" s="151"/>
      <c r="E27" s="103"/>
      <c r="F27" s="103"/>
      <c r="G27" s="103"/>
      <c r="H27" s="103"/>
      <c r="I27" s="103"/>
      <c r="J27" s="103"/>
      <c r="K27" s="103"/>
      <c r="L27" s="103"/>
      <c r="M27" s="103"/>
      <c r="N27" s="68"/>
      <c r="O27" s="373" t="s">
        <v>228</v>
      </c>
      <c r="P27" s="277"/>
      <c r="Q27" s="277"/>
      <c r="R27" s="277"/>
      <c r="S27" s="277"/>
      <c r="T27" s="275"/>
      <c r="U27" s="275"/>
      <c r="V27" s="275"/>
      <c r="W27" s="356" t="s">
        <v>222</v>
      </c>
      <c r="X27" s="356"/>
      <c r="Y27" s="356"/>
      <c r="Z27" s="356"/>
      <c r="AA27" s="356"/>
      <c r="AB27" s="356"/>
      <c r="AC27" s="357" t="s">
        <v>225</v>
      </c>
      <c r="AD27" s="357">
        <f>ROUND(SUM(AD28:AD30),-3)</f>
        <v>283735000</v>
      </c>
      <c r="AE27" s="358" t="s">
        <v>216</v>
      </c>
      <c r="AF27" s="17"/>
    </row>
    <row r="28" spans="1:32" s="11" customFormat="1" ht="21" customHeight="1">
      <c r="A28" s="45"/>
      <c r="B28" s="46"/>
      <c r="C28" s="46"/>
      <c r="D28" s="151"/>
      <c r="E28" s="103"/>
      <c r="F28" s="103"/>
      <c r="G28" s="103"/>
      <c r="H28" s="103"/>
      <c r="I28" s="103"/>
      <c r="J28" s="103"/>
      <c r="K28" s="103"/>
      <c r="L28" s="103"/>
      <c r="M28" s="103"/>
      <c r="N28" s="68"/>
      <c r="O28" s="277" t="s">
        <v>569</v>
      </c>
      <c r="P28" s="277"/>
      <c r="Q28" s="277"/>
      <c r="R28" s="277"/>
      <c r="S28" s="277"/>
      <c r="T28" s="275"/>
      <c r="U28" s="275"/>
      <c r="V28" s="275"/>
      <c r="W28" s="275"/>
      <c r="X28" s="275"/>
      <c r="Y28" s="275"/>
      <c r="Z28" s="275"/>
      <c r="AA28" s="275"/>
      <c r="AB28" s="275" t="s">
        <v>532</v>
      </c>
      <c r="AC28" s="278"/>
      <c r="AD28" s="278">
        <v>248060000</v>
      </c>
      <c r="AE28" s="301" t="s">
        <v>216</v>
      </c>
      <c r="AF28" s="17"/>
    </row>
    <row r="29" spans="1:32" s="11" customFormat="1" ht="21" customHeight="1">
      <c r="A29" s="45"/>
      <c r="B29" s="46"/>
      <c r="C29" s="46"/>
      <c r="D29" s="151"/>
      <c r="E29" s="103"/>
      <c r="F29" s="103"/>
      <c r="G29" s="103"/>
      <c r="H29" s="103"/>
      <c r="I29" s="103"/>
      <c r="J29" s="103"/>
      <c r="K29" s="103"/>
      <c r="L29" s="103"/>
      <c r="M29" s="103"/>
      <c r="N29" s="68"/>
      <c r="O29" s="277" t="s">
        <v>226</v>
      </c>
      <c r="P29" s="277"/>
      <c r="Q29" s="277"/>
      <c r="R29" s="277"/>
      <c r="S29" s="277"/>
      <c r="T29" s="275"/>
      <c r="U29" s="275"/>
      <c r="V29" s="275"/>
      <c r="W29" s="275"/>
      <c r="X29" s="275"/>
      <c r="Y29" s="275"/>
      <c r="Z29" s="275"/>
      <c r="AA29" s="275"/>
      <c r="AB29" s="275" t="s">
        <v>533</v>
      </c>
      <c r="AC29" s="278"/>
      <c r="AD29" s="278">
        <v>17007000</v>
      </c>
      <c r="AE29" s="301" t="s">
        <v>216</v>
      </c>
      <c r="AF29" s="17"/>
    </row>
    <row r="30" spans="1:32" s="11" customFormat="1" ht="21" customHeight="1">
      <c r="A30" s="45"/>
      <c r="B30" s="46"/>
      <c r="C30" s="46"/>
      <c r="D30" s="151"/>
      <c r="E30" s="103"/>
      <c r="F30" s="103"/>
      <c r="G30" s="103"/>
      <c r="H30" s="103"/>
      <c r="I30" s="103"/>
      <c r="J30" s="103"/>
      <c r="K30" s="103"/>
      <c r="L30" s="103"/>
      <c r="M30" s="103"/>
      <c r="N30" s="68"/>
      <c r="O30" s="277" t="s">
        <v>606</v>
      </c>
      <c r="P30" s="277"/>
      <c r="Q30" s="277"/>
      <c r="R30" s="277"/>
      <c r="S30" s="277"/>
      <c r="T30" s="275"/>
      <c r="U30" s="275"/>
      <c r="V30" s="275"/>
      <c r="W30" s="275"/>
      <c r="X30" s="275"/>
      <c r="Y30" s="275"/>
      <c r="Z30" s="275"/>
      <c r="AA30" s="275"/>
      <c r="AB30" s="275" t="s">
        <v>607</v>
      </c>
      <c r="AC30" s="278"/>
      <c r="AD30" s="278">
        <v>18668000</v>
      </c>
      <c r="AE30" s="301" t="s">
        <v>608</v>
      </c>
      <c r="AF30" s="17"/>
    </row>
    <row r="31" spans="1:32" s="11" customFormat="1" ht="21" customHeight="1">
      <c r="A31" s="45"/>
      <c r="B31" s="46"/>
      <c r="C31" s="46"/>
      <c r="D31" s="151"/>
      <c r="E31" s="103"/>
      <c r="F31" s="103"/>
      <c r="G31" s="103"/>
      <c r="H31" s="103"/>
      <c r="I31" s="103"/>
      <c r="J31" s="103"/>
      <c r="K31" s="103"/>
      <c r="L31" s="103"/>
      <c r="M31" s="103"/>
      <c r="N31" s="68"/>
      <c r="O31" s="277"/>
      <c r="P31" s="277"/>
      <c r="Q31" s="277"/>
      <c r="R31" s="277"/>
      <c r="S31" s="275"/>
      <c r="T31" s="337"/>
      <c r="U31" s="378"/>
      <c r="V31" s="337"/>
      <c r="W31" s="379"/>
      <c r="X31" s="379"/>
      <c r="Y31" s="275"/>
      <c r="Z31" s="275"/>
      <c r="AA31" s="275"/>
      <c r="AB31" s="275"/>
      <c r="AC31" s="275"/>
      <c r="AD31" s="275"/>
      <c r="AE31" s="301"/>
      <c r="AF31" s="17"/>
    </row>
    <row r="32" spans="1:32" s="11" customFormat="1" ht="21" customHeight="1">
      <c r="A32" s="45"/>
      <c r="B32" s="46"/>
      <c r="C32" s="36" t="s">
        <v>9</v>
      </c>
      <c r="D32" s="153">
        <v>124492</v>
      </c>
      <c r="E32" s="108">
        <f>ROUND(AD32/1000,0)</f>
        <v>134473</v>
      </c>
      <c r="F32" s="108">
        <f>SUMIF($AB$33:$AB$39,"보조",$AD$33:$AD$39)/1000</f>
        <v>124909</v>
      </c>
      <c r="G32" s="108">
        <f>SUMIF($AB$33:$AB$39,"7종",$AD$33:$AD$39)/1000</f>
        <v>8008</v>
      </c>
      <c r="H32" s="108">
        <f>SUMIF($AB$33:$AB$39,"4종",$AD$33:$AD$39)/1000</f>
        <v>0</v>
      </c>
      <c r="I32" s="108">
        <f>SUMIF($AB$33:$AB$39,"후원",$AD$33:$AD$39)/1000</f>
        <v>0</v>
      </c>
      <c r="J32" s="108">
        <f>SUMIF($AB$33:$AB$39,"입소",$AD$33:$AD$39)/1000</f>
        <v>0</v>
      </c>
      <c r="K32" s="108">
        <f>SUMIF($AB$33:$AB$39,"법인",$AD$33:$AD$39)/1000</f>
        <v>1556</v>
      </c>
      <c r="L32" s="108">
        <f>SUMIF($AB$33:$AB$39,"잡수",$AD$33:$AD$39)/1000</f>
        <v>0</v>
      </c>
      <c r="M32" s="107">
        <f>E32-D32</f>
        <v>9981</v>
      </c>
      <c r="N32" s="115">
        <f>IF(D32=0,0,M32/D32)</f>
        <v>8.017382643061402E-2</v>
      </c>
      <c r="O32" s="95" t="s">
        <v>35</v>
      </c>
      <c r="P32" s="168"/>
      <c r="Q32" s="147"/>
      <c r="R32" s="91"/>
      <c r="S32" s="91"/>
      <c r="T32" s="87"/>
      <c r="U32" s="87"/>
      <c r="V32" s="87"/>
      <c r="W32" s="272" t="s">
        <v>188</v>
      </c>
      <c r="X32" s="272"/>
      <c r="Y32" s="272"/>
      <c r="Z32" s="272"/>
      <c r="AA32" s="272"/>
      <c r="AB32" s="272"/>
      <c r="AC32" s="171" t="s">
        <v>189</v>
      </c>
      <c r="AD32" s="171">
        <f>SUM(AD33,AD35,AD37)</f>
        <v>134473000</v>
      </c>
      <c r="AE32" s="170" t="s">
        <v>190</v>
      </c>
      <c r="AF32" s="2"/>
    </row>
    <row r="33" spans="1:32" s="11" customFormat="1" ht="21" customHeight="1">
      <c r="A33" s="45"/>
      <c r="B33" s="46"/>
      <c r="C33" s="46"/>
      <c r="D33" s="154"/>
      <c r="E33" s="103"/>
      <c r="F33" s="103"/>
      <c r="G33" s="103"/>
      <c r="H33" s="103"/>
      <c r="I33" s="103"/>
      <c r="J33" s="103"/>
      <c r="K33" s="103"/>
      <c r="L33" s="103"/>
      <c r="M33" s="109"/>
      <c r="N33" s="68"/>
      <c r="O33" s="373" t="s">
        <v>547</v>
      </c>
      <c r="P33" s="277"/>
      <c r="Q33" s="277"/>
      <c r="R33" s="277"/>
      <c r="S33" s="277"/>
      <c r="T33" s="275"/>
      <c r="U33" s="275"/>
      <c r="V33" s="275"/>
      <c r="W33" s="356" t="s">
        <v>222</v>
      </c>
      <c r="X33" s="356"/>
      <c r="Y33" s="356"/>
      <c r="Z33" s="356"/>
      <c r="AA33" s="356"/>
      <c r="AB33" s="356"/>
      <c r="AC33" s="357"/>
      <c r="AD33" s="357">
        <f>ROUNDUP(AD34,-3)</f>
        <v>124909000</v>
      </c>
      <c r="AE33" s="358" t="s">
        <v>216</v>
      </c>
      <c r="AF33" s="2"/>
    </row>
    <row r="34" spans="1:32" s="11" customFormat="1" ht="21" customHeight="1">
      <c r="A34" s="45"/>
      <c r="B34" s="46"/>
      <c r="C34" s="46"/>
      <c r="D34" s="154"/>
      <c r="E34" s="103"/>
      <c r="F34" s="103"/>
      <c r="G34" s="103"/>
      <c r="H34" s="103"/>
      <c r="I34" s="103"/>
      <c r="J34" s="103"/>
      <c r="K34" s="103"/>
      <c r="L34" s="103"/>
      <c r="M34" s="109"/>
      <c r="N34" s="68"/>
      <c r="O34" s="277"/>
      <c r="P34" s="277"/>
      <c r="Q34" s="277"/>
      <c r="R34" s="277"/>
      <c r="S34" s="275">
        <f>SUM(AD9,AD20,AD24,AD28)</f>
        <v>1498898000</v>
      </c>
      <c r="T34" s="334" t="s">
        <v>216</v>
      </c>
      <c r="U34" s="334" t="s">
        <v>229</v>
      </c>
      <c r="V34" s="380">
        <v>12</v>
      </c>
      <c r="W34" s="331" t="s">
        <v>217</v>
      </c>
      <c r="X34" s="275"/>
      <c r="Y34" s="275"/>
      <c r="Z34" s="275"/>
      <c r="AA34" s="275" t="s">
        <v>220</v>
      </c>
      <c r="AB34" s="275" t="s">
        <v>532</v>
      </c>
      <c r="AC34" s="278"/>
      <c r="AD34" s="278">
        <f>ROUNDUP(S34/V34,-3)</f>
        <v>124909000</v>
      </c>
      <c r="AE34" s="301" t="s">
        <v>216</v>
      </c>
      <c r="AF34" s="2"/>
    </row>
    <row r="35" spans="1:32" s="11" customFormat="1" ht="21" customHeight="1">
      <c r="A35" s="45"/>
      <c r="B35" s="46"/>
      <c r="C35" s="46"/>
      <c r="D35" s="154"/>
      <c r="E35" s="103"/>
      <c r="F35" s="103"/>
      <c r="G35" s="103"/>
      <c r="H35" s="103"/>
      <c r="I35" s="103"/>
      <c r="J35" s="103"/>
      <c r="K35" s="103"/>
      <c r="L35" s="103"/>
      <c r="M35" s="109"/>
      <c r="N35" s="68"/>
      <c r="O35" s="373" t="s">
        <v>230</v>
      </c>
      <c r="P35" s="277"/>
      <c r="Q35" s="277"/>
      <c r="R35" s="277"/>
      <c r="S35" s="277"/>
      <c r="T35" s="275"/>
      <c r="U35" s="275"/>
      <c r="V35" s="275"/>
      <c r="W35" s="356" t="s">
        <v>222</v>
      </c>
      <c r="X35" s="356"/>
      <c r="Y35" s="356"/>
      <c r="Z35" s="356"/>
      <c r="AA35" s="356"/>
      <c r="AB35" s="356"/>
      <c r="AC35" s="357" t="s">
        <v>225</v>
      </c>
      <c r="AD35" s="357">
        <f>ROUND(AD36,-3)</f>
        <v>8008000</v>
      </c>
      <c r="AE35" s="358" t="s">
        <v>216</v>
      </c>
      <c r="AF35" s="2"/>
    </row>
    <row r="36" spans="1:32" s="11" customFormat="1" ht="21" customHeight="1">
      <c r="A36" s="45"/>
      <c r="B36" s="46"/>
      <c r="C36" s="46"/>
      <c r="D36" s="154"/>
      <c r="E36" s="103"/>
      <c r="F36" s="103"/>
      <c r="G36" s="103"/>
      <c r="H36" s="103"/>
      <c r="I36" s="103"/>
      <c r="J36" s="103"/>
      <c r="K36" s="103"/>
      <c r="L36" s="103"/>
      <c r="M36" s="109"/>
      <c r="N36" s="68"/>
      <c r="O36" s="277"/>
      <c r="P36" s="277"/>
      <c r="Q36" s="277"/>
      <c r="R36" s="277"/>
      <c r="S36" s="275">
        <f>SUM(AD11,AD21,AD25,AD29)</f>
        <v>96091000</v>
      </c>
      <c r="T36" s="334" t="s">
        <v>216</v>
      </c>
      <c r="U36" s="334" t="s">
        <v>229</v>
      </c>
      <c r="V36" s="380">
        <v>12</v>
      </c>
      <c r="W36" s="331" t="s">
        <v>217</v>
      </c>
      <c r="X36" s="275"/>
      <c r="Y36" s="275"/>
      <c r="Z36" s="275"/>
      <c r="AA36" s="275" t="s">
        <v>220</v>
      </c>
      <c r="AB36" s="275" t="s">
        <v>533</v>
      </c>
      <c r="AC36" s="278"/>
      <c r="AD36" s="278">
        <f>ROUNDUP(S36/V36,-3)</f>
        <v>8008000</v>
      </c>
      <c r="AE36" s="301" t="s">
        <v>216</v>
      </c>
      <c r="AF36" s="2"/>
    </row>
    <row r="37" spans="1:32" s="11" customFormat="1" ht="21" customHeight="1">
      <c r="A37" s="45"/>
      <c r="B37" s="46"/>
      <c r="C37" s="46"/>
      <c r="D37" s="154"/>
      <c r="E37" s="103"/>
      <c r="F37" s="103"/>
      <c r="G37" s="103"/>
      <c r="H37" s="103"/>
      <c r="I37" s="103"/>
      <c r="J37" s="103"/>
      <c r="K37" s="103"/>
      <c r="L37" s="103"/>
      <c r="M37" s="109"/>
      <c r="N37" s="68"/>
      <c r="O37" s="373" t="s">
        <v>231</v>
      </c>
      <c r="P37" s="277"/>
      <c r="Q37" s="277"/>
      <c r="R37" s="277"/>
      <c r="S37" s="277"/>
      <c r="T37" s="275"/>
      <c r="U37" s="275"/>
      <c r="V37" s="275"/>
      <c r="W37" s="356" t="s">
        <v>222</v>
      </c>
      <c r="X37" s="356"/>
      <c r="Y37" s="356"/>
      <c r="Z37" s="356"/>
      <c r="AA37" s="356"/>
      <c r="AB37" s="356"/>
      <c r="AC37" s="357" t="s">
        <v>225</v>
      </c>
      <c r="AD37" s="357">
        <f>SUM(AD38:AD38)</f>
        <v>1556000</v>
      </c>
      <c r="AE37" s="358" t="s">
        <v>216</v>
      </c>
      <c r="AF37" s="2"/>
    </row>
    <row r="38" spans="1:32" s="11" customFormat="1" ht="21" customHeight="1">
      <c r="A38" s="45"/>
      <c r="B38" s="46"/>
      <c r="C38" s="46"/>
      <c r="D38" s="154"/>
      <c r="E38" s="103"/>
      <c r="F38" s="103"/>
      <c r="G38" s="103"/>
      <c r="H38" s="103"/>
      <c r="I38" s="103"/>
      <c r="J38" s="103"/>
      <c r="K38" s="103"/>
      <c r="L38" s="103"/>
      <c r="M38" s="109"/>
      <c r="N38" s="68"/>
      <c r="O38" s="600" t="s">
        <v>675</v>
      </c>
      <c r="P38" s="571"/>
      <c r="Q38" s="571"/>
      <c r="R38" s="571"/>
      <c r="S38" s="570">
        <f>AD30</f>
        <v>18668000</v>
      </c>
      <c r="T38" s="549" t="s">
        <v>609</v>
      </c>
      <c r="U38" s="549" t="s">
        <v>624</v>
      </c>
      <c r="V38" s="575">
        <v>12</v>
      </c>
      <c r="W38" s="387" t="s">
        <v>618</v>
      </c>
      <c r="X38" s="570"/>
      <c r="Y38" s="570"/>
      <c r="Z38" s="570"/>
      <c r="AA38" s="570" t="s">
        <v>613</v>
      </c>
      <c r="AB38" s="631" t="s">
        <v>697</v>
      </c>
      <c r="AC38" s="130"/>
      <c r="AD38" s="130">
        <f>ROUNDUP(S38/V38,-3)</f>
        <v>1556000</v>
      </c>
      <c r="AE38" s="131" t="s">
        <v>609</v>
      </c>
      <c r="AF38" s="2"/>
    </row>
    <row r="39" spans="1:32" s="11" customFormat="1" ht="21" customHeight="1">
      <c r="A39" s="45"/>
      <c r="B39" s="46"/>
      <c r="C39" s="46"/>
      <c r="D39" s="155"/>
      <c r="E39" s="103"/>
      <c r="F39" s="103"/>
      <c r="G39" s="103"/>
      <c r="H39" s="103"/>
      <c r="I39" s="103"/>
      <c r="J39" s="103"/>
      <c r="K39" s="103"/>
      <c r="L39" s="103"/>
      <c r="M39" s="109"/>
      <c r="N39" s="68"/>
      <c r="O39" s="32"/>
      <c r="P39" s="32"/>
      <c r="Q39" s="32"/>
      <c r="R39" s="32"/>
      <c r="S39" s="32"/>
      <c r="T39" s="33"/>
      <c r="U39" s="33"/>
      <c r="V39" s="33"/>
      <c r="W39" s="33"/>
      <c r="X39" s="33"/>
      <c r="Y39" s="33"/>
      <c r="Z39" s="33"/>
      <c r="AA39" s="33"/>
      <c r="AB39" s="33"/>
      <c r="AC39" s="52"/>
      <c r="AD39" s="52"/>
      <c r="AE39" s="34"/>
      <c r="AF39" s="2"/>
    </row>
    <row r="40" spans="1:32" s="11" customFormat="1" ht="21" customHeight="1">
      <c r="A40" s="45"/>
      <c r="B40" s="46"/>
      <c r="C40" s="116" t="s">
        <v>70</v>
      </c>
      <c r="D40" s="153">
        <v>141606</v>
      </c>
      <c r="E40" s="108">
        <f>ROUND(AD40/1000,0)</f>
        <v>155480</v>
      </c>
      <c r="F40" s="108">
        <f>SUMIF($AB$41:$AB$61,"보조",$AD$41:$AD$61)/1000</f>
        <v>146111</v>
      </c>
      <c r="G40" s="108">
        <f>SUMIF($AB$41:$AB$61,"7종",$AD$41:$AD$61)/1000</f>
        <v>9369</v>
      </c>
      <c r="H40" s="108">
        <f>SUMIF($AB$41:$AB$61,"4종",$AD$41:$AD$61)/1000</f>
        <v>0</v>
      </c>
      <c r="I40" s="108">
        <f>SUMIF($AB$41:$AB$61,"후원",$AD$41:$AD$61)/1000</f>
        <v>0</v>
      </c>
      <c r="J40" s="108">
        <f>SUMIF($AB$41:$AB$61,"입소",$AD$41:$AD$61)/1000</f>
        <v>0</v>
      </c>
      <c r="K40" s="108">
        <f>SUMIF($AB$41:$AB$61,"법인",$AD$41:$AD$61)/1000</f>
        <v>0</v>
      </c>
      <c r="L40" s="108">
        <f>SUMIF($AB$41:$AB$61,"잡수",$AD$41:$AD$61)/1000</f>
        <v>0</v>
      </c>
      <c r="M40" s="117">
        <f>E40-D40</f>
        <v>13874</v>
      </c>
      <c r="N40" s="115">
        <f>IF(D40=0,0,M40/D40)</f>
        <v>9.7976074460121743E-2</v>
      </c>
      <c r="O40" s="95" t="s">
        <v>36</v>
      </c>
      <c r="P40" s="168"/>
      <c r="Q40" s="91"/>
      <c r="R40" s="91"/>
      <c r="S40" s="91"/>
      <c r="T40" s="87"/>
      <c r="U40" s="87"/>
      <c r="V40" s="87"/>
      <c r="W40" s="169" t="s">
        <v>124</v>
      </c>
      <c r="X40" s="169"/>
      <c r="Y40" s="169"/>
      <c r="Z40" s="169"/>
      <c r="AA40" s="169"/>
      <c r="AB40" s="169"/>
      <c r="AC40" s="171"/>
      <c r="AD40" s="171">
        <f>SUM(AD42,AD46,AD50,AD54,AD58)</f>
        <v>155480000</v>
      </c>
      <c r="AE40" s="170" t="s">
        <v>25</v>
      </c>
    </row>
    <row r="41" spans="1:32" s="11" customFormat="1" ht="21" customHeight="1">
      <c r="A41" s="45"/>
      <c r="B41" s="46"/>
      <c r="C41" s="46" t="s">
        <v>125</v>
      </c>
      <c r="D41" s="151"/>
      <c r="E41" s="103"/>
      <c r="F41" s="103"/>
      <c r="G41" s="103"/>
      <c r="H41" s="103"/>
      <c r="I41" s="103"/>
      <c r="J41" s="103"/>
      <c r="K41" s="103"/>
      <c r="L41" s="103"/>
      <c r="M41" s="103"/>
      <c r="N41" s="68"/>
      <c r="O41" s="150"/>
      <c r="P41" s="32"/>
      <c r="Q41" s="32"/>
      <c r="R41" s="32"/>
      <c r="S41" s="32"/>
      <c r="T41" s="33"/>
      <c r="U41" s="33"/>
      <c r="V41" s="33"/>
      <c r="W41" s="33"/>
      <c r="X41" s="33"/>
      <c r="Y41" s="33"/>
      <c r="Z41" s="33"/>
      <c r="AA41" s="33"/>
      <c r="AB41" s="33"/>
      <c r="AC41" s="52"/>
      <c r="AD41" s="52"/>
      <c r="AE41" s="34"/>
      <c r="AF41" s="2"/>
    </row>
    <row r="42" spans="1:32" s="11" customFormat="1" ht="21" customHeight="1">
      <c r="A42" s="45"/>
      <c r="B42" s="46"/>
      <c r="C42" s="46"/>
      <c r="D42" s="151"/>
      <c r="E42" s="103"/>
      <c r="F42" s="103"/>
      <c r="G42" s="103"/>
      <c r="H42" s="103"/>
      <c r="I42" s="103"/>
      <c r="J42" s="103"/>
      <c r="K42" s="103"/>
      <c r="L42" s="103"/>
      <c r="M42" s="103"/>
      <c r="N42" s="68"/>
      <c r="O42" s="373" t="s">
        <v>235</v>
      </c>
      <c r="P42" s="277"/>
      <c r="Q42" s="277"/>
      <c r="R42" s="277"/>
      <c r="S42" s="277"/>
      <c r="T42" s="275"/>
      <c r="U42" s="275"/>
      <c r="V42" s="275"/>
      <c r="W42" s="356" t="s">
        <v>222</v>
      </c>
      <c r="X42" s="356"/>
      <c r="Y42" s="356"/>
      <c r="Z42" s="356"/>
      <c r="AA42" s="356"/>
      <c r="AB42" s="356"/>
      <c r="AC42" s="357"/>
      <c r="AD42" s="357">
        <f>ROUND(SUM(AD43:AD44),-3)</f>
        <v>71776000</v>
      </c>
      <c r="AE42" s="358" t="s">
        <v>216</v>
      </c>
      <c r="AF42" s="2"/>
    </row>
    <row r="43" spans="1:32" s="11" customFormat="1" ht="21" customHeight="1">
      <c r="A43" s="45"/>
      <c r="B43" s="46"/>
      <c r="C43" s="46"/>
      <c r="D43" s="151"/>
      <c r="E43" s="103"/>
      <c r="F43" s="103"/>
      <c r="G43" s="103"/>
      <c r="H43" s="103"/>
      <c r="I43" s="103"/>
      <c r="J43" s="103"/>
      <c r="K43" s="103"/>
      <c r="L43" s="103"/>
      <c r="M43" s="103"/>
      <c r="N43" s="68"/>
      <c r="O43" s="277" t="s">
        <v>548</v>
      </c>
      <c r="P43" s="277"/>
      <c r="Q43" s="277"/>
      <c r="R43" s="277"/>
      <c r="S43" s="275">
        <f>S34</f>
        <v>1498898000</v>
      </c>
      <c r="T43" s="334" t="s">
        <v>216</v>
      </c>
      <c r="U43" s="331" t="s">
        <v>219</v>
      </c>
      <c r="V43" s="381">
        <v>0.09</v>
      </c>
      <c r="W43" s="334" t="s">
        <v>229</v>
      </c>
      <c r="X43" s="382">
        <v>2</v>
      </c>
      <c r="Y43" s="336"/>
      <c r="Z43" s="336"/>
      <c r="AA43" s="334" t="s">
        <v>220</v>
      </c>
      <c r="AB43" s="275" t="s">
        <v>532</v>
      </c>
      <c r="AC43" s="278"/>
      <c r="AD43" s="278">
        <f>ROUNDUP(S43*V43/X43,-3)</f>
        <v>67451000</v>
      </c>
      <c r="AE43" s="301" t="s">
        <v>216</v>
      </c>
      <c r="AF43" s="2"/>
    </row>
    <row r="44" spans="1:32" s="11" customFormat="1" ht="21" customHeight="1">
      <c r="A44" s="45"/>
      <c r="B44" s="46"/>
      <c r="C44" s="46"/>
      <c r="D44" s="151"/>
      <c r="E44" s="103"/>
      <c r="F44" s="103"/>
      <c r="G44" s="103"/>
      <c r="H44" s="103"/>
      <c r="I44" s="103"/>
      <c r="J44" s="103"/>
      <c r="K44" s="103"/>
      <c r="L44" s="103"/>
      <c r="M44" s="103"/>
      <c r="N44" s="68"/>
      <c r="O44" s="277" t="s">
        <v>236</v>
      </c>
      <c r="P44" s="277"/>
      <c r="Q44" s="277"/>
      <c r="R44" s="277"/>
      <c r="S44" s="275">
        <f>S36</f>
        <v>96091000</v>
      </c>
      <c r="T44" s="334" t="s">
        <v>216</v>
      </c>
      <c r="U44" s="331" t="s">
        <v>219</v>
      </c>
      <c r="V44" s="381">
        <v>0.09</v>
      </c>
      <c r="W44" s="334" t="s">
        <v>229</v>
      </c>
      <c r="X44" s="382">
        <v>2</v>
      </c>
      <c r="Y44" s="336"/>
      <c r="Z44" s="336"/>
      <c r="AA44" s="334" t="s">
        <v>220</v>
      </c>
      <c r="AB44" s="275" t="s">
        <v>533</v>
      </c>
      <c r="AC44" s="278"/>
      <c r="AD44" s="278">
        <f>ROUNDUP(S44*V44/X44,-3)</f>
        <v>4325000</v>
      </c>
      <c r="AE44" s="301" t="s">
        <v>216</v>
      </c>
      <c r="AF44" s="2"/>
    </row>
    <row r="45" spans="1:32" s="11" customFormat="1" ht="21" customHeight="1">
      <c r="A45" s="45"/>
      <c r="B45" s="46"/>
      <c r="C45" s="46"/>
      <c r="D45" s="151"/>
      <c r="E45" s="103"/>
      <c r="F45" s="103"/>
      <c r="G45" s="103"/>
      <c r="H45" s="103"/>
      <c r="I45" s="103"/>
      <c r="J45" s="103"/>
      <c r="K45" s="103"/>
      <c r="L45" s="103"/>
      <c r="M45" s="103"/>
      <c r="N45" s="68"/>
      <c r="O45" s="277"/>
      <c r="P45" s="277"/>
      <c r="Q45" s="277"/>
      <c r="R45" s="277"/>
      <c r="S45" s="277"/>
      <c r="T45" s="275"/>
      <c r="U45" s="275"/>
      <c r="V45" s="275"/>
      <c r="W45" s="275"/>
      <c r="X45" s="275"/>
      <c r="Y45" s="275"/>
      <c r="Z45" s="275"/>
      <c r="AA45" s="275"/>
      <c r="AB45" s="275"/>
      <c r="AC45" s="278"/>
      <c r="AD45" s="278"/>
      <c r="AE45" s="301"/>
      <c r="AF45" s="2"/>
    </row>
    <row r="46" spans="1:32" s="11" customFormat="1" ht="21" customHeight="1">
      <c r="A46" s="45"/>
      <c r="B46" s="46"/>
      <c r="C46" s="46"/>
      <c r="D46" s="151"/>
      <c r="E46" s="103"/>
      <c r="F46" s="103"/>
      <c r="G46" s="103"/>
      <c r="H46" s="103"/>
      <c r="I46" s="103"/>
      <c r="J46" s="103"/>
      <c r="K46" s="103"/>
      <c r="L46" s="103"/>
      <c r="M46" s="103"/>
      <c r="N46" s="68"/>
      <c r="O46" s="373" t="s">
        <v>238</v>
      </c>
      <c r="P46" s="277"/>
      <c r="Q46" s="277"/>
      <c r="R46" s="277"/>
      <c r="S46" s="277"/>
      <c r="T46" s="275"/>
      <c r="U46" s="275"/>
      <c r="V46" s="275"/>
      <c r="W46" s="356" t="s">
        <v>221</v>
      </c>
      <c r="X46" s="356"/>
      <c r="Y46" s="356"/>
      <c r="Z46" s="356"/>
      <c r="AA46" s="356"/>
      <c r="AB46" s="356"/>
      <c r="AC46" s="357" t="s">
        <v>234</v>
      </c>
      <c r="AD46" s="357">
        <f>ROUND(SUM(AD47:AD48),-3)</f>
        <v>51518000</v>
      </c>
      <c r="AE46" s="358" t="s">
        <v>218</v>
      </c>
      <c r="AF46" s="2"/>
    </row>
    <row r="47" spans="1:32" s="11" customFormat="1" ht="21" customHeight="1">
      <c r="A47" s="45"/>
      <c r="B47" s="46"/>
      <c r="C47" s="46"/>
      <c r="D47" s="151"/>
      <c r="E47" s="103"/>
      <c r="F47" s="103"/>
      <c r="G47" s="103"/>
      <c r="H47" s="103"/>
      <c r="I47" s="103"/>
      <c r="J47" s="103"/>
      <c r="K47" s="103"/>
      <c r="L47" s="103"/>
      <c r="M47" s="103"/>
      <c r="N47" s="68"/>
      <c r="O47" s="277" t="s">
        <v>548</v>
      </c>
      <c r="P47" s="277"/>
      <c r="Q47" s="277"/>
      <c r="R47" s="277"/>
      <c r="S47" s="275">
        <f>S43</f>
        <v>1498898000</v>
      </c>
      <c r="T47" s="334" t="s">
        <v>218</v>
      </c>
      <c r="U47" s="331" t="s">
        <v>237</v>
      </c>
      <c r="V47" s="383">
        <v>6.4600000000000005E-2</v>
      </c>
      <c r="W47" s="334" t="s">
        <v>232</v>
      </c>
      <c r="X47" s="384">
        <v>2</v>
      </c>
      <c r="Y47" s="336"/>
      <c r="Z47" s="336"/>
      <c r="AA47" s="334" t="s">
        <v>233</v>
      </c>
      <c r="AB47" s="275" t="s">
        <v>532</v>
      </c>
      <c r="AC47" s="278"/>
      <c r="AD47" s="278">
        <f>ROUND(S47*V47/X47,-3)</f>
        <v>48414000</v>
      </c>
      <c r="AE47" s="301" t="s">
        <v>218</v>
      </c>
      <c r="AF47" s="2"/>
    </row>
    <row r="48" spans="1:32" s="11" customFormat="1" ht="21" customHeight="1">
      <c r="A48" s="45"/>
      <c r="B48" s="46"/>
      <c r="C48" s="46"/>
      <c r="D48" s="151"/>
      <c r="E48" s="103"/>
      <c r="F48" s="103"/>
      <c r="G48" s="103"/>
      <c r="H48" s="103"/>
      <c r="I48" s="103"/>
      <c r="J48" s="103"/>
      <c r="K48" s="103"/>
      <c r="L48" s="103"/>
      <c r="M48" s="103"/>
      <c r="N48" s="68"/>
      <c r="O48" s="277" t="s">
        <v>239</v>
      </c>
      <c r="P48" s="277"/>
      <c r="Q48" s="277"/>
      <c r="R48" s="277"/>
      <c r="S48" s="275">
        <f>S44</f>
        <v>96091000</v>
      </c>
      <c r="T48" s="275" t="s">
        <v>25</v>
      </c>
      <c r="U48" s="334" t="s">
        <v>26</v>
      </c>
      <c r="V48" s="383">
        <v>6.4600000000000005E-2</v>
      </c>
      <c r="W48" s="275" t="s">
        <v>132</v>
      </c>
      <c r="X48" s="334">
        <v>2</v>
      </c>
      <c r="Y48" s="275"/>
      <c r="Z48" s="275"/>
      <c r="AA48" s="275" t="s">
        <v>27</v>
      </c>
      <c r="AB48" s="275" t="s">
        <v>533</v>
      </c>
      <c r="AC48" s="278"/>
      <c r="AD48" s="278">
        <f>ROUNDUP(S48*V48/X48,-3)</f>
        <v>3104000</v>
      </c>
      <c r="AE48" s="301" t="s">
        <v>218</v>
      </c>
      <c r="AF48" s="2"/>
    </row>
    <row r="49" spans="1:32" s="11" customFormat="1" ht="21" customHeight="1">
      <c r="A49" s="45"/>
      <c r="B49" s="46"/>
      <c r="C49" s="46"/>
      <c r="D49" s="151"/>
      <c r="E49" s="103"/>
      <c r="F49" s="103"/>
      <c r="G49" s="103"/>
      <c r="H49" s="103"/>
      <c r="I49" s="103"/>
      <c r="J49" s="103"/>
      <c r="K49" s="103"/>
      <c r="L49" s="103"/>
      <c r="M49" s="103"/>
      <c r="N49" s="68"/>
      <c r="O49" s="277"/>
      <c r="P49" s="277"/>
      <c r="Q49" s="277"/>
      <c r="R49" s="277"/>
      <c r="S49" s="277"/>
      <c r="T49" s="275"/>
      <c r="U49" s="275"/>
      <c r="V49" s="275"/>
      <c r="W49" s="275"/>
      <c r="X49" s="275"/>
      <c r="Y49" s="275"/>
      <c r="Z49" s="275"/>
      <c r="AA49" s="275"/>
      <c r="AB49" s="275"/>
      <c r="AC49" s="278"/>
      <c r="AD49" s="278"/>
      <c r="AE49" s="301"/>
      <c r="AF49" s="2"/>
    </row>
    <row r="50" spans="1:32" s="11" customFormat="1" ht="21" customHeight="1">
      <c r="A50" s="45"/>
      <c r="B50" s="46"/>
      <c r="C50" s="46"/>
      <c r="D50" s="151"/>
      <c r="E50" s="103"/>
      <c r="F50" s="103"/>
      <c r="G50" s="103"/>
      <c r="H50" s="103"/>
      <c r="I50" s="103"/>
      <c r="J50" s="103"/>
      <c r="K50" s="103"/>
      <c r="L50" s="103"/>
      <c r="M50" s="103"/>
      <c r="N50" s="68"/>
      <c r="O50" s="373" t="s">
        <v>240</v>
      </c>
      <c r="P50" s="277"/>
      <c r="Q50" s="277"/>
      <c r="R50" s="277"/>
      <c r="S50" s="277"/>
      <c r="T50" s="275"/>
      <c r="U50" s="275"/>
      <c r="V50" s="275"/>
      <c r="W50" s="356" t="s">
        <v>221</v>
      </c>
      <c r="X50" s="356"/>
      <c r="Y50" s="356"/>
      <c r="Z50" s="356"/>
      <c r="AA50" s="356"/>
      <c r="AB50" s="356"/>
      <c r="AC50" s="357" t="s">
        <v>234</v>
      </c>
      <c r="AD50" s="357">
        <f>ROUND(SUM(AD51:AD52),-3)</f>
        <v>4385000</v>
      </c>
      <c r="AE50" s="358" t="s">
        <v>218</v>
      </c>
      <c r="AF50" s="2"/>
    </row>
    <row r="51" spans="1:32" s="11" customFormat="1" ht="21" customHeight="1">
      <c r="A51" s="45"/>
      <c r="B51" s="46"/>
      <c r="C51" s="46"/>
      <c r="D51" s="151"/>
      <c r="E51" s="103"/>
      <c r="F51" s="103"/>
      <c r="G51" s="103"/>
      <c r="H51" s="103"/>
      <c r="I51" s="103"/>
      <c r="J51" s="103"/>
      <c r="K51" s="103"/>
      <c r="L51" s="103"/>
      <c r="M51" s="103"/>
      <c r="N51" s="68"/>
      <c r="O51" s="277" t="s">
        <v>289</v>
      </c>
      <c r="P51" s="277"/>
      <c r="Q51" s="277"/>
      <c r="R51" s="277"/>
      <c r="S51" s="385">
        <f>AD47</f>
        <v>48414000</v>
      </c>
      <c r="T51" s="334" t="s">
        <v>218</v>
      </c>
      <c r="U51" s="331" t="s">
        <v>237</v>
      </c>
      <c r="V51" s="383">
        <v>8.5099999999999995E-2</v>
      </c>
      <c r="W51" s="331"/>
      <c r="X51" s="335"/>
      <c r="Y51" s="336"/>
      <c r="Z51" s="336"/>
      <c r="AA51" s="334" t="s">
        <v>233</v>
      </c>
      <c r="AB51" s="275" t="s">
        <v>532</v>
      </c>
      <c r="AC51" s="278"/>
      <c r="AD51" s="278">
        <f>ROUND(S51*V51,-3)</f>
        <v>4120000</v>
      </c>
      <c r="AE51" s="301" t="s">
        <v>218</v>
      </c>
      <c r="AF51" s="2"/>
    </row>
    <row r="52" spans="1:32" s="11" customFormat="1" ht="21" customHeight="1">
      <c r="A52" s="45"/>
      <c r="B52" s="46"/>
      <c r="C52" s="46"/>
      <c r="D52" s="151"/>
      <c r="E52" s="103"/>
      <c r="F52" s="103"/>
      <c r="G52" s="103"/>
      <c r="H52" s="103"/>
      <c r="I52" s="103"/>
      <c r="J52" s="103"/>
      <c r="K52" s="103"/>
      <c r="L52" s="103"/>
      <c r="M52" s="103"/>
      <c r="N52" s="68"/>
      <c r="O52" s="277" t="s">
        <v>239</v>
      </c>
      <c r="P52" s="277"/>
      <c r="Q52" s="277"/>
      <c r="R52" s="277"/>
      <c r="S52" s="385">
        <f>AD48</f>
        <v>3104000</v>
      </c>
      <c r="T52" s="334" t="s">
        <v>218</v>
      </c>
      <c r="U52" s="331" t="s">
        <v>237</v>
      </c>
      <c r="V52" s="383">
        <v>8.5099999999999995E-2</v>
      </c>
      <c r="W52" s="331"/>
      <c r="X52" s="335"/>
      <c r="Y52" s="336"/>
      <c r="Z52" s="336"/>
      <c r="AA52" s="334" t="s">
        <v>233</v>
      </c>
      <c r="AB52" s="275" t="s">
        <v>533</v>
      </c>
      <c r="AC52" s="278"/>
      <c r="AD52" s="278">
        <f>ROUNDUP(S52*V52,-3)</f>
        <v>265000</v>
      </c>
      <c r="AE52" s="301" t="s">
        <v>218</v>
      </c>
      <c r="AF52" s="2"/>
    </row>
    <row r="53" spans="1:32" s="11" customFormat="1" ht="21" customHeight="1">
      <c r="A53" s="45"/>
      <c r="B53" s="46"/>
      <c r="C53" s="46"/>
      <c r="D53" s="151"/>
      <c r="E53" s="103"/>
      <c r="F53" s="103"/>
      <c r="G53" s="103"/>
      <c r="H53" s="103"/>
      <c r="I53" s="103"/>
      <c r="J53" s="103"/>
      <c r="K53" s="103"/>
      <c r="L53" s="103"/>
      <c r="M53" s="103"/>
      <c r="N53" s="68"/>
      <c r="O53" s="277"/>
      <c r="P53" s="277"/>
      <c r="Q53" s="277"/>
      <c r="R53" s="277"/>
      <c r="S53" s="277"/>
      <c r="T53" s="275"/>
      <c r="U53" s="275"/>
      <c r="V53" s="275"/>
      <c r="W53" s="275"/>
      <c r="X53" s="275"/>
      <c r="Y53" s="275"/>
      <c r="Z53" s="275"/>
      <c r="AA53" s="275"/>
      <c r="AB53" s="275"/>
      <c r="AC53" s="278"/>
      <c r="AD53" s="278"/>
      <c r="AE53" s="301"/>
      <c r="AF53" s="2"/>
    </row>
    <row r="54" spans="1:32" s="11" customFormat="1" ht="21" customHeight="1">
      <c r="A54" s="45"/>
      <c r="B54" s="46"/>
      <c r="C54" s="46"/>
      <c r="D54" s="151"/>
      <c r="E54" s="103"/>
      <c r="F54" s="103"/>
      <c r="G54" s="103"/>
      <c r="H54" s="103"/>
      <c r="I54" s="103"/>
      <c r="J54" s="103"/>
      <c r="K54" s="103"/>
      <c r="L54" s="103"/>
      <c r="M54" s="103"/>
      <c r="N54" s="68"/>
      <c r="O54" s="373" t="s">
        <v>241</v>
      </c>
      <c r="P54" s="277"/>
      <c r="Q54" s="277"/>
      <c r="R54" s="277"/>
      <c r="S54" s="277"/>
      <c r="T54" s="275"/>
      <c r="U54" s="275"/>
      <c r="V54" s="275"/>
      <c r="W54" s="356" t="s">
        <v>221</v>
      </c>
      <c r="X54" s="356"/>
      <c r="Y54" s="356"/>
      <c r="Z54" s="356"/>
      <c r="AA54" s="356"/>
      <c r="AB54" s="356"/>
      <c r="AC54" s="357" t="s">
        <v>234</v>
      </c>
      <c r="AD54" s="357">
        <f>ROUND(SUM(AD55:AD57),-3)</f>
        <v>16748000</v>
      </c>
      <c r="AE54" s="358" t="s">
        <v>218</v>
      </c>
      <c r="AF54" s="2"/>
    </row>
    <row r="55" spans="1:32" s="11" customFormat="1" ht="21" customHeight="1">
      <c r="A55" s="45"/>
      <c r="B55" s="46"/>
      <c r="C55" s="46"/>
      <c r="D55" s="151"/>
      <c r="E55" s="103"/>
      <c r="F55" s="103"/>
      <c r="G55" s="103"/>
      <c r="H55" s="103"/>
      <c r="I55" s="103"/>
      <c r="J55" s="103"/>
      <c r="K55" s="103"/>
      <c r="L55" s="103"/>
      <c r="M55" s="103"/>
      <c r="N55" s="68"/>
      <c r="O55" s="277" t="s">
        <v>289</v>
      </c>
      <c r="P55" s="277"/>
      <c r="Q55" s="277"/>
      <c r="R55" s="277"/>
      <c r="S55" s="275">
        <f>S47</f>
        <v>1498898000</v>
      </c>
      <c r="T55" s="334" t="s">
        <v>218</v>
      </c>
      <c r="U55" s="331" t="s">
        <v>237</v>
      </c>
      <c r="V55" s="383">
        <v>1.0500000000000001E-2</v>
      </c>
      <c r="W55" s="331"/>
      <c r="X55" s="335"/>
      <c r="Y55" s="336"/>
      <c r="Z55" s="336"/>
      <c r="AA55" s="334" t="s">
        <v>233</v>
      </c>
      <c r="AB55" s="275" t="s">
        <v>532</v>
      </c>
      <c r="AC55" s="278"/>
      <c r="AD55" s="278">
        <f>ROUNDUP(S55*V55,-3)</f>
        <v>15739000</v>
      </c>
      <c r="AE55" s="301" t="s">
        <v>218</v>
      </c>
      <c r="AF55" s="2"/>
    </row>
    <row r="56" spans="1:32" s="11" customFormat="1" ht="21" customHeight="1">
      <c r="A56" s="45"/>
      <c r="B56" s="46"/>
      <c r="C56" s="46"/>
      <c r="D56" s="151"/>
      <c r="E56" s="103"/>
      <c r="F56" s="103"/>
      <c r="G56" s="103"/>
      <c r="H56" s="103"/>
      <c r="I56" s="103"/>
      <c r="J56" s="103"/>
      <c r="K56" s="103"/>
      <c r="L56" s="103"/>
      <c r="M56" s="103"/>
      <c r="N56" s="68"/>
      <c r="O56" s="277" t="s">
        <v>239</v>
      </c>
      <c r="P56" s="277"/>
      <c r="Q56" s="277"/>
      <c r="R56" s="277"/>
      <c r="S56" s="275">
        <f>S48</f>
        <v>96091000</v>
      </c>
      <c r="T56" s="334" t="s">
        <v>218</v>
      </c>
      <c r="U56" s="331" t="s">
        <v>237</v>
      </c>
      <c r="V56" s="383">
        <v>1.0500000000000001E-2</v>
      </c>
      <c r="W56" s="331"/>
      <c r="X56" s="335"/>
      <c r="Y56" s="336"/>
      <c r="Z56" s="336"/>
      <c r="AA56" s="334" t="s">
        <v>233</v>
      </c>
      <c r="AB56" s="275" t="s">
        <v>533</v>
      </c>
      <c r="AC56" s="278"/>
      <c r="AD56" s="278">
        <f>ROUNDUP(S56*V56,-3)</f>
        <v>1009000</v>
      </c>
      <c r="AE56" s="301" t="s">
        <v>218</v>
      </c>
      <c r="AF56" s="2"/>
    </row>
    <row r="57" spans="1:32" s="11" customFormat="1" ht="21" customHeight="1">
      <c r="A57" s="45"/>
      <c r="B57" s="46"/>
      <c r="C57" s="46"/>
      <c r="D57" s="151"/>
      <c r="E57" s="103"/>
      <c r="F57" s="103"/>
      <c r="G57" s="103"/>
      <c r="H57" s="103"/>
      <c r="I57" s="103"/>
      <c r="J57" s="103"/>
      <c r="K57" s="103"/>
      <c r="L57" s="103"/>
      <c r="M57" s="103"/>
      <c r="N57" s="68"/>
      <c r="O57" s="429"/>
      <c r="P57" s="429"/>
      <c r="Q57" s="429"/>
      <c r="R57" s="429"/>
      <c r="S57" s="429"/>
      <c r="T57" s="376"/>
      <c r="U57" s="376"/>
      <c r="V57" s="376"/>
      <c r="W57" s="376"/>
      <c r="X57" s="376"/>
      <c r="Y57" s="376"/>
      <c r="Z57" s="376"/>
      <c r="AA57" s="376"/>
      <c r="AB57" s="376"/>
      <c r="AC57" s="524"/>
      <c r="AD57" s="524"/>
      <c r="AE57" s="591"/>
      <c r="AF57" s="2"/>
    </row>
    <row r="58" spans="1:32" s="11" customFormat="1" ht="21" customHeight="1">
      <c r="A58" s="45"/>
      <c r="B58" s="46"/>
      <c r="C58" s="46"/>
      <c r="D58" s="151"/>
      <c r="E58" s="103"/>
      <c r="F58" s="103"/>
      <c r="G58" s="103"/>
      <c r="H58" s="103"/>
      <c r="I58" s="103"/>
      <c r="J58" s="103"/>
      <c r="K58" s="103"/>
      <c r="L58" s="103"/>
      <c r="M58" s="103"/>
      <c r="N58" s="68"/>
      <c r="O58" s="373" t="s">
        <v>242</v>
      </c>
      <c r="P58" s="277"/>
      <c r="Q58" s="277"/>
      <c r="R58" s="277"/>
      <c r="S58" s="277"/>
      <c r="T58" s="275"/>
      <c r="U58" s="275"/>
      <c r="V58" s="275"/>
      <c r="W58" s="356" t="s">
        <v>221</v>
      </c>
      <c r="X58" s="356"/>
      <c r="Y58" s="356"/>
      <c r="Z58" s="356"/>
      <c r="AA58" s="356"/>
      <c r="AB58" s="356"/>
      <c r="AC58" s="357" t="s">
        <v>234</v>
      </c>
      <c r="AD58" s="357">
        <f>ROUND(SUM(AD59:AD60),-3)</f>
        <v>11053000</v>
      </c>
      <c r="AE58" s="358" t="s">
        <v>218</v>
      </c>
      <c r="AF58" s="2"/>
    </row>
    <row r="59" spans="1:32" s="11" customFormat="1" ht="21" customHeight="1">
      <c r="A59" s="45"/>
      <c r="B59" s="46"/>
      <c r="C59" s="46"/>
      <c r="D59" s="151"/>
      <c r="E59" s="103"/>
      <c r="F59" s="103"/>
      <c r="G59" s="103"/>
      <c r="H59" s="103"/>
      <c r="I59" s="103"/>
      <c r="J59" s="103"/>
      <c r="K59" s="103"/>
      <c r="L59" s="103"/>
      <c r="M59" s="103"/>
      <c r="N59" s="68"/>
      <c r="O59" s="277" t="s">
        <v>289</v>
      </c>
      <c r="P59" s="277"/>
      <c r="Q59" s="277"/>
      <c r="R59" s="277"/>
      <c r="S59" s="275">
        <f>S55</f>
        <v>1498898000</v>
      </c>
      <c r="T59" s="334" t="s">
        <v>218</v>
      </c>
      <c r="U59" s="331" t="s">
        <v>237</v>
      </c>
      <c r="V59" s="386">
        <v>6.9300000000000004E-3</v>
      </c>
      <c r="W59" s="331"/>
      <c r="X59" s="335"/>
      <c r="Y59" s="336"/>
      <c r="Z59" s="336"/>
      <c r="AA59" s="334" t="s">
        <v>233</v>
      </c>
      <c r="AB59" s="275" t="s">
        <v>532</v>
      </c>
      <c r="AC59" s="278"/>
      <c r="AD59" s="278">
        <f>ROUNDDOWN(S59*V59,-3)</f>
        <v>10387000</v>
      </c>
      <c r="AE59" s="301" t="s">
        <v>218</v>
      </c>
      <c r="AF59" s="2"/>
    </row>
    <row r="60" spans="1:32" s="11" customFormat="1" ht="21" customHeight="1">
      <c r="A60" s="45"/>
      <c r="B60" s="46"/>
      <c r="C60" s="46"/>
      <c r="D60" s="151"/>
      <c r="E60" s="103"/>
      <c r="F60" s="103"/>
      <c r="G60" s="103"/>
      <c r="H60" s="103"/>
      <c r="I60" s="103"/>
      <c r="J60" s="103"/>
      <c r="K60" s="103"/>
      <c r="L60" s="103"/>
      <c r="M60" s="103"/>
      <c r="N60" s="68"/>
      <c r="O60" s="277" t="s">
        <v>239</v>
      </c>
      <c r="P60" s="277"/>
      <c r="Q60" s="277"/>
      <c r="R60" s="277"/>
      <c r="S60" s="275">
        <f>S56</f>
        <v>96091000</v>
      </c>
      <c r="T60" s="334" t="s">
        <v>218</v>
      </c>
      <c r="U60" s="331" t="s">
        <v>237</v>
      </c>
      <c r="V60" s="386">
        <v>6.9300000000000004E-3</v>
      </c>
      <c r="W60" s="331"/>
      <c r="X60" s="335"/>
      <c r="Y60" s="336"/>
      <c r="Z60" s="336"/>
      <c r="AA60" s="334" t="s">
        <v>233</v>
      </c>
      <c r="AB60" s="275" t="s">
        <v>533</v>
      </c>
      <c r="AC60" s="278"/>
      <c r="AD60" s="278">
        <f>ROUNDUP(S60*V60,-3)</f>
        <v>666000</v>
      </c>
      <c r="AE60" s="301" t="s">
        <v>218</v>
      </c>
      <c r="AF60" s="2"/>
    </row>
    <row r="61" spans="1:32" s="11" customFormat="1" ht="21" customHeight="1">
      <c r="A61" s="45"/>
      <c r="B61" s="46"/>
      <c r="C61" s="46"/>
      <c r="D61" s="151"/>
      <c r="E61" s="103"/>
      <c r="F61" s="103"/>
      <c r="G61" s="103"/>
      <c r="H61" s="103"/>
      <c r="I61" s="103"/>
      <c r="J61" s="103"/>
      <c r="K61" s="103"/>
      <c r="L61" s="103"/>
      <c r="M61" s="103"/>
      <c r="N61" s="68"/>
      <c r="O61" s="277"/>
      <c r="P61" s="277"/>
      <c r="Q61" s="277"/>
      <c r="R61" s="277"/>
      <c r="S61" s="277"/>
      <c r="T61" s="275"/>
      <c r="U61" s="275"/>
      <c r="V61" s="275"/>
      <c r="W61" s="275"/>
      <c r="X61" s="275"/>
      <c r="Y61" s="275"/>
      <c r="Z61" s="275"/>
      <c r="AA61" s="275"/>
      <c r="AB61" s="275"/>
      <c r="AC61" s="278"/>
      <c r="AD61" s="278"/>
      <c r="AE61" s="301"/>
      <c r="AF61" s="2"/>
    </row>
    <row r="62" spans="1:32" s="11" customFormat="1" ht="21" customHeight="1">
      <c r="A62" s="45"/>
      <c r="B62" s="46"/>
      <c r="C62" s="36" t="s">
        <v>71</v>
      </c>
      <c r="D62" s="153">
        <v>24406</v>
      </c>
      <c r="E62" s="108">
        <f>ROUND(AD62/1000,0)</f>
        <v>29526</v>
      </c>
      <c r="F62" s="108">
        <f>SUMIF($AB$63:$AB$79,"보조",$AD$63:$AD$79)/1000</f>
        <v>0</v>
      </c>
      <c r="G62" s="108">
        <f>SUMIF($AB$63:$AB$79,"7종",$AD$63:$AD$79)/1000</f>
        <v>6000</v>
      </c>
      <c r="H62" s="108">
        <f>SUMIF($AB$63:$AB$79,"4종",$AD$63:$AD$79)/1000</f>
        <v>0</v>
      </c>
      <c r="I62" s="108">
        <f>SUMIF($AB$63:$AB$79,"후원",$AD$63:$AD$79)/1000</f>
        <v>3968</v>
      </c>
      <c r="J62" s="108">
        <f>SUMIF($AB$63:$AB$79,"입소",$AD$63:$AD$79)/1000</f>
        <v>0</v>
      </c>
      <c r="K62" s="108">
        <f>SUMIF($AB$63:$AB$79,"법인",$AD$63:$AD$79)/1000</f>
        <v>16348</v>
      </c>
      <c r="L62" s="108">
        <f>SUMIF($AB$63:$AB$79,"잡수",$AD$63:$AD$79)/1000</f>
        <v>3210</v>
      </c>
      <c r="M62" s="107">
        <f>E62-D62</f>
        <v>5120</v>
      </c>
      <c r="N62" s="115">
        <f>IF(D62=0,0,M62/D62)</f>
        <v>0.20978447922641974</v>
      </c>
      <c r="O62" s="95" t="s">
        <v>72</v>
      </c>
      <c r="P62" s="168"/>
      <c r="Q62" s="91"/>
      <c r="R62" s="91"/>
      <c r="S62" s="91"/>
      <c r="T62" s="87"/>
      <c r="U62" s="87"/>
      <c r="V62" s="87"/>
      <c r="W62" s="169" t="s">
        <v>124</v>
      </c>
      <c r="X62" s="169"/>
      <c r="Y62" s="169"/>
      <c r="Z62" s="169"/>
      <c r="AA62" s="169"/>
      <c r="AB62" s="169"/>
      <c r="AC62" s="171"/>
      <c r="AD62" s="171">
        <f>SUM(AD63:AD79)</f>
        <v>29526000</v>
      </c>
      <c r="AE62" s="170" t="s">
        <v>25</v>
      </c>
      <c r="AF62" s="21"/>
    </row>
    <row r="63" spans="1:32" s="11" customFormat="1" ht="21" customHeight="1">
      <c r="A63" s="45"/>
      <c r="B63" s="46"/>
      <c r="C63" s="46" t="s">
        <v>127</v>
      </c>
      <c r="D63" s="151"/>
      <c r="E63" s="103"/>
      <c r="F63" s="103"/>
      <c r="G63" s="103"/>
      <c r="H63" s="103"/>
      <c r="I63" s="103"/>
      <c r="J63" s="103"/>
      <c r="K63" s="103"/>
      <c r="L63" s="103"/>
      <c r="M63" s="103"/>
      <c r="N63" s="68"/>
      <c r="O63" s="375" t="s">
        <v>243</v>
      </c>
      <c r="P63" s="375"/>
      <c r="Q63" s="374"/>
      <c r="R63" s="374"/>
      <c r="S63" s="374">
        <v>20000</v>
      </c>
      <c r="T63" s="374" t="s">
        <v>244</v>
      </c>
      <c r="U63" s="387" t="s">
        <v>245</v>
      </c>
      <c r="V63" s="374">
        <v>39</v>
      </c>
      <c r="W63" s="374" t="s">
        <v>246</v>
      </c>
      <c r="X63" s="374"/>
      <c r="Y63" s="374"/>
      <c r="Z63" s="374"/>
      <c r="AA63" s="374" t="s">
        <v>247</v>
      </c>
      <c r="AB63" s="374" t="s">
        <v>248</v>
      </c>
      <c r="AC63" s="130"/>
      <c r="AD63" s="685">
        <f>S63*V63</f>
        <v>780000</v>
      </c>
      <c r="AE63" s="131" t="s">
        <v>56</v>
      </c>
      <c r="AF63" s="578"/>
    </row>
    <row r="64" spans="1:32" s="11" customFormat="1" ht="21" customHeight="1">
      <c r="A64" s="45"/>
      <c r="B64" s="46"/>
      <c r="C64" s="46"/>
      <c r="D64" s="151"/>
      <c r="E64" s="103"/>
      <c r="F64" s="103"/>
      <c r="G64" s="103"/>
      <c r="H64" s="103"/>
      <c r="I64" s="103"/>
      <c r="J64" s="103"/>
      <c r="K64" s="103"/>
      <c r="L64" s="103"/>
      <c r="M64" s="103"/>
      <c r="N64" s="68"/>
      <c r="O64" s="668" t="s">
        <v>765</v>
      </c>
      <c r="P64" s="668"/>
      <c r="Q64" s="667"/>
      <c r="R64" s="667"/>
      <c r="S64" s="667">
        <v>30000</v>
      </c>
      <c r="T64" s="667" t="s">
        <v>766</v>
      </c>
      <c r="U64" s="387" t="s">
        <v>767</v>
      </c>
      <c r="V64" s="667">
        <v>39</v>
      </c>
      <c r="W64" s="667" t="s">
        <v>768</v>
      </c>
      <c r="X64" s="387" t="s">
        <v>767</v>
      </c>
      <c r="Y64" s="667">
        <v>2</v>
      </c>
      <c r="Z64" s="667" t="s">
        <v>769</v>
      </c>
      <c r="AA64" s="667" t="s">
        <v>770</v>
      </c>
      <c r="AB64" s="667" t="s">
        <v>771</v>
      </c>
      <c r="AC64" s="666"/>
      <c r="AD64" s="686">
        <f>S64*V64*Y64</f>
        <v>2340000</v>
      </c>
      <c r="AE64" s="131" t="s">
        <v>766</v>
      </c>
      <c r="AF64" s="578"/>
    </row>
    <row r="65" spans="1:32" s="11" customFormat="1" ht="21" customHeight="1">
      <c r="A65" s="45"/>
      <c r="B65" s="46"/>
      <c r="C65" s="46"/>
      <c r="D65" s="151"/>
      <c r="E65" s="103"/>
      <c r="F65" s="103"/>
      <c r="G65" s="103"/>
      <c r="H65" s="103"/>
      <c r="I65" s="103"/>
      <c r="J65" s="103"/>
      <c r="K65" s="103"/>
      <c r="L65" s="103"/>
      <c r="M65" s="103"/>
      <c r="N65" s="68"/>
      <c r="O65" s="668" t="s">
        <v>809</v>
      </c>
      <c r="P65" s="668"/>
      <c r="Q65" s="667"/>
      <c r="R65" s="667"/>
      <c r="S65" s="667">
        <v>0</v>
      </c>
      <c r="T65" s="667" t="s">
        <v>766</v>
      </c>
      <c r="U65" s="387" t="s">
        <v>767</v>
      </c>
      <c r="V65" s="667">
        <v>39</v>
      </c>
      <c r="W65" s="667" t="s">
        <v>768</v>
      </c>
      <c r="X65" s="667"/>
      <c r="Y65" s="667"/>
      <c r="Z65" s="667"/>
      <c r="AA65" s="667" t="s">
        <v>770</v>
      </c>
      <c r="AB65" s="667" t="s">
        <v>783</v>
      </c>
      <c r="AC65" s="666"/>
      <c r="AD65" s="685">
        <v>727000</v>
      </c>
      <c r="AE65" s="131" t="s">
        <v>766</v>
      </c>
      <c r="AF65" s="578"/>
    </row>
    <row r="66" spans="1:32" s="11" customFormat="1" ht="21" customHeight="1">
      <c r="A66" s="45"/>
      <c r="B66" s="46"/>
      <c r="C66" s="46"/>
      <c r="D66" s="151"/>
      <c r="E66" s="103"/>
      <c r="F66" s="103"/>
      <c r="G66" s="103"/>
      <c r="H66" s="103"/>
      <c r="I66" s="103"/>
      <c r="J66" s="103"/>
      <c r="K66" s="103"/>
      <c r="L66" s="103"/>
      <c r="M66" s="103"/>
      <c r="N66" s="68"/>
      <c r="O66" s="695"/>
      <c r="P66" s="695"/>
      <c r="Q66" s="694"/>
      <c r="R66" s="694"/>
      <c r="S66" s="694"/>
      <c r="T66" s="694"/>
      <c r="U66" s="387"/>
      <c r="V66" s="694"/>
      <c r="W66" s="694"/>
      <c r="X66" s="694"/>
      <c r="Y66" s="694"/>
      <c r="Z66" s="694"/>
      <c r="AA66" s="694"/>
      <c r="AB66" s="694" t="s">
        <v>151</v>
      </c>
      <c r="AC66" s="693"/>
      <c r="AD66" s="693">
        <v>2393000</v>
      </c>
      <c r="AE66" s="131" t="s">
        <v>56</v>
      </c>
      <c r="AF66" s="578"/>
    </row>
    <row r="67" spans="1:32" s="11" customFormat="1" ht="21" customHeight="1">
      <c r="A67" s="45"/>
      <c r="B67" s="46"/>
      <c r="C67" s="46"/>
      <c r="D67" s="151"/>
      <c r="E67" s="103"/>
      <c r="F67" s="103"/>
      <c r="G67" s="103"/>
      <c r="H67" s="103"/>
      <c r="I67" s="103"/>
      <c r="J67" s="103"/>
      <c r="K67" s="103"/>
      <c r="L67" s="103"/>
      <c r="M67" s="103"/>
      <c r="N67" s="68"/>
      <c r="O67" s="668" t="s">
        <v>773</v>
      </c>
      <c r="P67" s="668"/>
      <c r="Q67" s="668"/>
      <c r="R67" s="668"/>
      <c r="S67" s="667">
        <v>20000</v>
      </c>
      <c r="T67" s="667" t="s">
        <v>766</v>
      </c>
      <c r="U67" s="387" t="s">
        <v>767</v>
      </c>
      <c r="V67" s="667">
        <v>39</v>
      </c>
      <c r="W67" s="667" t="s">
        <v>768</v>
      </c>
      <c r="X67" s="387" t="s">
        <v>767</v>
      </c>
      <c r="Y67" s="667">
        <v>4</v>
      </c>
      <c r="Z67" s="667" t="s">
        <v>769</v>
      </c>
      <c r="AA67" s="667" t="s">
        <v>770</v>
      </c>
      <c r="AB67" s="667" t="s">
        <v>170</v>
      </c>
      <c r="AC67" s="388"/>
      <c r="AD67" s="686">
        <f>ROUNDDOWN(S67*V67*Y67,-3)</f>
        <v>3120000</v>
      </c>
      <c r="AE67" s="389" t="s">
        <v>25</v>
      </c>
      <c r="AF67" s="578"/>
    </row>
    <row r="68" spans="1:32" s="11" customFormat="1" ht="21" customHeight="1">
      <c r="A68" s="45"/>
      <c r="B68" s="46"/>
      <c r="C68" s="46"/>
      <c r="D68" s="151"/>
      <c r="E68" s="103"/>
      <c r="F68" s="103"/>
      <c r="G68" s="103"/>
      <c r="H68" s="103"/>
      <c r="I68" s="103"/>
      <c r="J68" s="103"/>
      <c r="K68" s="103"/>
      <c r="L68" s="103"/>
      <c r="M68" s="103"/>
      <c r="N68" s="68"/>
      <c r="O68" s="668" t="s">
        <v>775</v>
      </c>
      <c r="P68" s="668"/>
      <c r="Q68" s="668"/>
      <c r="R68" s="668"/>
      <c r="S68" s="667"/>
      <c r="T68" s="667"/>
      <c r="U68" s="387"/>
      <c r="V68" s="667"/>
      <c r="W68" s="667"/>
      <c r="X68" s="387"/>
      <c r="Y68" s="667"/>
      <c r="Z68" s="667"/>
      <c r="AA68" s="667"/>
      <c r="AB68" s="667" t="s">
        <v>774</v>
      </c>
      <c r="AC68" s="388"/>
      <c r="AD68" s="686">
        <v>0</v>
      </c>
      <c r="AE68" s="389" t="s">
        <v>766</v>
      </c>
      <c r="AF68" s="578"/>
    </row>
    <row r="69" spans="1:32" s="11" customFormat="1" ht="21" customHeight="1">
      <c r="A69" s="45"/>
      <c r="B69" s="46"/>
      <c r="C69" s="46"/>
      <c r="D69" s="151"/>
      <c r="E69" s="103"/>
      <c r="F69" s="103"/>
      <c r="G69" s="103"/>
      <c r="H69" s="103"/>
      <c r="I69" s="103"/>
      <c r="J69" s="103"/>
      <c r="K69" s="103"/>
      <c r="L69" s="103"/>
      <c r="M69" s="103"/>
      <c r="N69" s="68"/>
      <c r="O69" s="668" t="s">
        <v>810</v>
      </c>
      <c r="P69" s="668"/>
      <c r="Q69" s="668"/>
      <c r="R69" s="668"/>
      <c r="S69" s="667">
        <v>590000</v>
      </c>
      <c r="T69" s="667" t="s">
        <v>766</v>
      </c>
      <c r="U69" s="387" t="s">
        <v>767</v>
      </c>
      <c r="V69" s="667">
        <v>3</v>
      </c>
      <c r="W69" s="667" t="s">
        <v>768</v>
      </c>
      <c r="X69" s="387"/>
      <c r="Y69" s="667"/>
      <c r="Z69" s="667"/>
      <c r="AA69" s="667" t="s">
        <v>770</v>
      </c>
      <c r="AB69" s="667" t="s">
        <v>771</v>
      </c>
      <c r="AC69" s="666"/>
      <c r="AD69" s="686">
        <f>S69*V69</f>
        <v>1770000</v>
      </c>
      <c r="AE69" s="131" t="s">
        <v>766</v>
      </c>
      <c r="AF69" s="578"/>
    </row>
    <row r="70" spans="1:32" s="11" customFormat="1" ht="21" customHeight="1">
      <c r="A70" s="45"/>
      <c r="B70" s="46"/>
      <c r="C70" s="46"/>
      <c r="D70" s="151"/>
      <c r="E70" s="103"/>
      <c r="F70" s="103"/>
      <c r="G70" s="103"/>
      <c r="H70" s="103"/>
      <c r="I70" s="103"/>
      <c r="J70" s="103"/>
      <c r="K70" s="103"/>
      <c r="L70" s="103"/>
      <c r="M70" s="103"/>
      <c r="N70" s="68"/>
      <c r="O70" s="668" t="s">
        <v>776</v>
      </c>
      <c r="P70" s="668"/>
      <c r="Q70" s="667"/>
      <c r="R70" s="667"/>
      <c r="S70" s="667"/>
      <c r="T70" s="388" t="s">
        <v>766</v>
      </c>
      <c r="U70" s="387" t="s">
        <v>767</v>
      </c>
      <c r="V70" s="388">
        <v>39</v>
      </c>
      <c r="W70" s="667" t="s">
        <v>768</v>
      </c>
      <c r="X70" s="387"/>
      <c r="Y70" s="388"/>
      <c r="Z70" s="388"/>
      <c r="AA70" s="393" t="s">
        <v>770</v>
      </c>
      <c r="AB70" s="388" t="s">
        <v>771</v>
      </c>
      <c r="AC70" s="388"/>
      <c r="AD70" s="686">
        <v>1661000</v>
      </c>
      <c r="AE70" s="389" t="s">
        <v>766</v>
      </c>
      <c r="AF70" s="578"/>
    </row>
    <row r="71" spans="1:32" s="11" customFormat="1" ht="21" customHeight="1">
      <c r="A71" s="45"/>
      <c r="B71" s="46"/>
      <c r="C71" s="46"/>
      <c r="D71" s="151"/>
      <c r="E71" s="103"/>
      <c r="F71" s="103"/>
      <c r="G71" s="103"/>
      <c r="H71" s="103"/>
      <c r="I71" s="103"/>
      <c r="J71" s="103"/>
      <c r="K71" s="103"/>
      <c r="L71" s="103"/>
      <c r="M71" s="103"/>
      <c r="N71" s="68"/>
      <c r="O71" s="668" t="s">
        <v>777</v>
      </c>
      <c r="P71" s="668"/>
      <c r="Q71" s="668"/>
      <c r="R71" s="668"/>
      <c r="S71" s="667"/>
      <c r="T71" s="388"/>
      <c r="U71" s="388"/>
      <c r="V71" s="388"/>
      <c r="W71" s="667"/>
      <c r="X71" s="667"/>
      <c r="Y71" s="388"/>
      <c r="Z71" s="388"/>
      <c r="AA71" s="388"/>
      <c r="AB71" s="388" t="s">
        <v>771</v>
      </c>
      <c r="AC71" s="388"/>
      <c r="AD71" s="686">
        <v>860000</v>
      </c>
      <c r="AE71" s="389" t="s">
        <v>766</v>
      </c>
      <c r="AF71" s="578"/>
    </row>
    <row r="72" spans="1:32" s="11" customFormat="1" ht="21" customHeight="1">
      <c r="A72" s="45"/>
      <c r="B72" s="46"/>
      <c r="C72" s="46"/>
      <c r="D72" s="151"/>
      <c r="E72" s="103"/>
      <c r="F72" s="103"/>
      <c r="G72" s="103"/>
      <c r="H72" s="103"/>
      <c r="I72" s="103"/>
      <c r="J72" s="103"/>
      <c r="K72" s="103"/>
      <c r="L72" s="103"/>
      <c r="M72" s="103"/>
      <c r="N72" s="68"/>
      <c r="O72" s="668" t="s">
        <v>778</v>
      </c>
      <c r="P72" s="668"/>
      <c r="Q72" s="668"/>
      <c r="R72" s="668"/>
      <c r="S72" s="667">
        <v>300000</v>
      </c>
      <c r="T72" s="665" t="s">
        <v>766</v>
      </c>
      <c r="U72" s="387" t="s">
        <v>767</v>
      </c>
      <c r="V72" s="390">
        <v>20</v>
      </c>
      <c r="W72" s="387" t="s">
        <v>768</v>
      </c>
      <c r="X72" s="391"/>
      <c r="Y72" s="74"/>
      <c r="Z72" s="74"/>
      <c r="AA72" s="665" t="s">
        <v>770</v>
      </c>
      <c r="AB72" s="667" t="s">
        <v>779</v>
      </c>
      <c r="AC72" s="666"/>
      <c r="AD72" s="685">
        <f>ROUNDUP(S72*V72,-3)</f>
        <v>6000000</v>
      </c>
      <c r="AE72" s="131" t="s">
        <v>766</v>
      </c>
      <c r="AF72" s="578"/>
    </row>
    <row r="73" spans="1:32" s="11" customFormat="1" ht="21" customHeight="1">
      <c r="A73" s="45"/>
      <c r="B73" s="46"/>
      <c r="C73" s="46"/>
      <c r="D73" s="151"/>
      <c r="E73" s="103"/>
      <c r="F73" s="103"/>
      <c r="G73" s="103"/>
      <c r="H73" s="103"/>
      <c r="I73" s="103"/>
      <c r="J73" s="103"/>
      <c r="K73" s="103"/>
      <c r="L73" s="103"/>
      <c r="M73" s="103"/>
      <c r="N73" s="68"/>
      <c r="O73" s="668" t="s">
        <v>811</v>
      </c>
      <c r="P73" s="668"/>
      <c r="Q73" s="668"/>
      <c r="R73" s="668"/>
      <c r="S73" s="667"/>
      <c r="T73" s="665"/>
      <c r="U73" s="387"/>
      <c r="V73" s="390"/>
      <c r="W73" s="387"/>
      <c r="X73" s="391"/>
      <c r="Y73" s="74"/>
      <c r="Z73" s="74"/>
      <c r="AA73" s="665"/>
      <c r="AB73" s="667" t="s">
        <v>170</v>
      </c>
      <c r="AC73" s="666"/>
      <c r="AD73" s="685">
        <v>690000</v>
      </c>
      <c r="AE73" s="131" t="s">
        <v>766</v>
      </c>
      <c r="AF73" s="578"/>
    </row>
    <row r="74" spans="1:32" s="11" customFormat="1" ht="21" customHeight="1">
      <c r="A74" s="45"/>
      <c r="B74" s="46"/>
      <c r="C74" s="46"/>
      <c r="D74" s="151"/>
      <c r="E74" s="103"/>
      <c r="F74" s="103"/>
      <c r="G74" s="103"/>
      <c r="H74" s="103"/>
      <c r="I74" s="103"/>
      <c r="J74" s="103"/>
      <c r="K74" s="103"/>
      <c r="L74" s="103"/>
      <c r="M74" s="103"/>
      <c r="N74" s="68"/>
      <c r="O74" s="668" t="s">
        <v>780</v>
      </c>
      <c r="P74" s="668"/>
      <c r="Q74" s="668"/>
      <c r="R74" s="668"/>
      <c r="S74" s="667">
        <v>40000</v>
      </c>
      <c r="T74" s="665" t="s">
        <v>766</v>
      </c>
      <c r="U74" s="387" t="s">
        <v>767</v>
      </c>
      <c r="V74" s="390">
        <v>39</v>
      </c>
      <c r="W74" s="387" t="s">
        <v>768</v>
      </c>
      <c r="X74" s="391"/>
      <c r="Y74" s="74"/>
      <c r="Z74" s="74"/>
      <c r="AA74" s="665" t="s">
        <v>770</v>
      </c>
      <c r="AB74" s="388" t="s">
        <v>772</v>
      </c>
      <c r="AC74" s="388"/>
      <c r="AD74" s="685">
        <f>ROUNDUP(S74*V74,-3)</f>
        <v>1560000</v>
      </c>
      <c r="AE74" s="389" t="s">
        <v>766</v>
      </c>
      <c r="AF74" s="578"/>
    </row>
    <row r="75" spans="1:32" s="11" customFormat="1" ht="21" customHeight="1">
      <c r="A75" s="45"/>
      <c r="B75" s="46"/>
      <c r="C75" s="46"/>
      <c r="D75" s="151"/>
      <c r="E75" s="103"/>
      <c r="F75" s="103"/>
      <c r="G75" s="103"/>
      <c r="H75" s="103"/>
      <c r="I75" s="103"/>
      <c r="J75" s="103"/>
      <c r="K75" s="103"/>
      <c r="L75" s="103"/>
      <c r="M75" s="103"/>
      <c r="N75" s="68"/>
      <c r="O75" s="668" t="s">
        <v>781</v>
      </c>
      <c r="P75" s="668"/>
      <c r="Q75" s="668"/>
      <c r="R75" s="668"/>
      <c r="S75" s="667">
        <v>100000</v>
      </c>
      <c r="T75" s="665" t="s">
        <v>766</v>
      </c>
      <c r="U75" s="387" t="s">
        <v>767</v>
      </c>
      <c r="V75" s="390">
        <v>39</v>
      </c>
      <c r="W75" s="387" t="s">
        <v>768</v>
      </c>
      <c r="X75" s="391"/>
      <c r="Y75" s="74"/>
      <c r="Z75" s="74"/>
      <c r="AA75" s="665" t="s">
        <v>770</v>
      </c>
      <c r="AB75" s="388" t="s">
        <v>771</v>
      </c>
      <c r="AC75" s="388"/>
      <c r="AD75" s="685">
        <f>ROUNDUP(S75*V75,-3)</f>
        <v>3900000</v>
      </c>
      <c r="AE75" s="389" t="s">
        <v>766</v>
      </c>
      <c r="AF75" s="578"/>
    </row>
    <row r="76" spans="1:32" s="11" customFormat="1" ht="21" customHeight="1">
      <c r="A76" s="45"/>
      <c r="B76" s="46"/>
      <c r="C76" s="46"/>
      <c r="D76" s="151"/>
      <c r="E76" s="103"/>
      <c r="F76" s="103"/>
      <c r="G76" s="103"/>
      <c r="H76" s="103"/>
      <c r="I76" s="103"/>
      <c r="J76" s="103"/>
      <c r="K76" s="103"/>
      <c r="L76" s="103"/>
      <c r="M76" s="103"/>
      <c r="N76" s="68"/>
      <c r="O76" s="668" t="s">
        <v>812</v>
      </c>
      <c r="P76" s="668"/>
      <c r="Q76" s="668"/>
      <c r="R76" s="668"/>
      <c r="S76" s="667"/>
      <c r="T76" s="665"/>
      <c r="U76" s="387"/>
      <c r="V76" s="390"/>
      <c r="W76" s="387"/>
      <c r="X76" s="391"/>
      <c r="Y76" s="74"/>
      <c r="Z76" s="74"/>
      <c r="AA76" s="665"/>
      <c r="AB76" s="388" t="s">
        <v>771</v>
      </c>
      <c r="AC76" s="388"/>
      <c r="AD76" s="685">
        <v>500000</v>
      </c>
      <c r="AE76" s="389" t="s">
        <v>766</v>
      </c>
      <c r="AF76" s="578"/>
    </row>
    <row r="77" spans="1:32" s="11" customFormat="1" ht="21" customHeight="1">
      <c r="A77" s="45"/>
      <c r="B77" s="46"/>
      <c r="C77" s="46"/>
      <c r="D77" s="151"/>
      <c r="E77" s="103"/>
      <c r="F77" s="103"/>
      <c r="G77" s="103"/>
      <c r="H77" s="103"/>
      <c r="I77" s="103"/>
      <c r="J77" s="103"/>
      <c r="K77" s="103"/>
      <c r="L77" s="103"/>
      <c r="M77" s="103"/>
      <c r="N77" s="68"/>
      <c r="O77" s="682" t="s">
        <v>861</v>
      </c>
      <c r="P77" s="682"/>
      <c r="Q77" s="682"/>
      <c r="R77" s="682"/>
      <c r="S77" s="681"/>
      <c r="T77" s="679"/>
      <c r="U77" s="387"/>
      <c r="V77" s="390"/>
      <c r="W77" s="387"/>
      <c r="X77" s="391"/>
      <c r="Y77" s="74"/>
      <c r="Z77" s="74"/>
      <c r="AA77" s="679"/>
      <c r="AB77" s="388" t="s">
        <v>862</v>
      </c>
      <c r="AC77" s="388"/>
      <c r="AD77" s="685">
        <v>3000000</v>
      </c>
      <c r="AE77" s="389" t="s">
        <v>858</v>
      </c>
      <c r="AF77" s="578"/>
    </row>
    <row r="78" spans="1:32" s="11" customFormat="1" ht="21" customHeight="1">
      <c r="A78" s="45"/>
      <c r="B78" s="46"/>
      <c r="C78" s="46"/>
      <c r="D78" s="151"/>
      <c r="E78" s="103"/>
      <c r="F78" s="103"/>
      <c r="G78" s="103"/>
      <c r="H78" s="103"/>
      <c r="I78" s="103"/>
      <c r="J78" s="103"/>
      <c r="K78" s="103"/>
      <c r="L78" s="103"/>
      <c r="M78" s="103"/>
      <c r="N78" s="68"/>
      <c r="O78" s="668" t="s">
        <v>782</v>
      </c>
      <c r="P78" s="668"/>
      <c r="Q78" s="667"/>
      <c r="R78" s="667"/>
      <c r="S78" s="667"/>
      <c r="T78" s="667"/>
      <c r="U78" s="667"/>
      <c r="V78" s="667"/>
      <c r="W78" s="667"/>
      <c r="X78" s="667"/>
      <c r="Y78" s="667"/>
      <c r="Z78" s="667"/>
      <c r="AA78" s="667"/>
      <c r="AB78" s="388" t="s">
        <v>774</v>
      </c>
      <c r="AC78" s="666"/>
      <c r="AD78" s="685">
        <v>210000</v>
      </c>
      <c r="AE78" s="131" t="s">
        <v>766</v>
      </c>
      <c r="AF78" s="578"/>
    </row>
    <row r="79" spans="1:32" s="11" customFormat="1" ht="21" customHeight="1">
      <c r="A79" s="45"/>
      <c r="B79" s="59"/>
      <c r="C79" s="59"/>
      <c r="D79" s="152"/>
      <c r="E79" s="105"/>
      <c r="F79" s="105"/>
      <c r="G79" s="105"/>
      <c r="H79" s="105"/>
      <c r="I79" s="105"/>
      <c r="J79" s="105"/>
      <c r="K79" s="105"/>
      <c r="L79" s="105"/>
      <c r="M79" s="105"/>
      <c r="N79" s="82"/>
      <c r="O79" s="587" t="s">
        <v>253</v>
      </c>
      <c r="P79" s="587"/>
      <c r="Q79" s="586"/>
      <c r="R79" s="586"/>
      <c r="S79" s="586"/>
      <c r="T79" s="586"/>
      <c r="U79" s="586"/>
      <c r="V79" s="586"/>
      <c r="W79" s="374"/>
      <c r="X79" s="374"/>
      <c r="Y79" s="374"/>
      <c r="Z79" s="374"/>
      <c r="AA79" s="374"/>
      <c r="AB79" s="388" t="s">
        <v>151</v>
      </c>
      <c r="AC79" s="130"/>
      <c r="AD79" s="685">
        <v>15000</v>
      </c>
      <c r="AE79" s="131" t="s">
        <v>56</v>
      </c>
      <c r="AF79" s="578"/>
    </row>
    <row r="80" spans="1:32" s="11" customFormat="1" ht="21" customHeight="1">
      <c r="A80" s="45"/>
      <c r="B80" s="36" t="s">
        <v>126</v>
      </c>
      <c r="C80" s="36" t="s">
        <v>5</v>
      </c>
      <c r="D80" s="107">
        <f t="shared" ref="D80:L80" si="3">SUM(D81,D83,D85)</f>
        <v>1768</v>
      </c>
      <c r="E80" s="107">
        <f t="shared" si="3"/>
        <v>2080</v>
      </c>
      <c r="F80" s="107">
        <f t="shared" si="3"/>
        <v>0</v>
      </c>
      <c r="G80" s="107">
        <f t="shared" si="3"/>
        <v>0</v>
      </c>
      <c r="H80" s="107">
        <f t="shared" si="3"/>
        <v>0</v>
      </c>
      <c r="I80" s="107">
        <f t="shared" si="3"/>
        <v>0</v>
      </c>
      <c r="J80" s="107">
        <f t="shared" si="3"/>
        <v>0</v>
      </c>
      <c r="K80" s="107">
        <f t="shared" si="3"/>
        <v>2080</v>
      </c>
      <c r="L80" s="107">
        <f t="shared" si="3"/>
        <v>0</v>
      </c>
      <c r="M80" s="107">
        <f>E80-D80</f>
        <v>312</v>
      </c>
      <c r="N80" s="115">
        <f>IF(D80=0,0,M80/D80)</f>
        <v>0.17647058823529413</v>
      </c>
      <c r="O80" s="178" t="s">
        <v>134</v>
      </c>
      <c r="P80" s="178"/>
      <c r="Q80" s="178"/>
      <c r="R80" s="178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92"/>
      <c r="AD80" s="92">
        <f>SUM(AD81,AD83,AD85)</f>
        <v>2080000</v>
      </c>
      <c r="AE80" s="93" t="s">
        <v>25</v>
      </c>
      <c r="AF80" s="5"/>
    </row>
    <row r="81" spans="1:34" s="11" customFormat="1" ht="21" customHeight="1">
      <c r="A81" s="45"/>
      <c r="B81" s="46" t="s">
        <v>133</v>
      </c>
      <c r="C81" s="36" t="s">
        <v>10</v>
      </c>
      <c r="D81" s="153">
        <v>700</v>
      </c>
      <c r="E81" s="107">
        <f>AD81/1000</f>
        <v>1000</v>
      </c>
      <c r="F81" s="108">
        <f>SUMIF($AB$82:$AB$82,"보조",$AD$82:$AD$82)/1000</f>
        <v>0</v>
      </c>
      <c r="G81" s="108">
        <f>SUMIF($AB$82:$AB$82,"7종",$AD$82:$AD$82)/1000</f>
        <v>0</v>
      </c>
      <c r="H81" s="108">
        <f>SUMIF($AB$82:$AB$82,"4종",$AD$82:$AD$82)/1000</f>
        <v>0</v>
      </c>
      <c r="I81" s="108">
        <f>SUMIF($AB$82:$AB$82,"후원",$AD$82:$AD$82)/1000</f>
        <v>0</v>
      </c>
      <c r="J81" s="108">
        <f>SUMIF($AB$82:$AB$82,"입소",$AD$82:$AD$82)/1000</f>
        <v>0</v>
      </c>
      <c r="K81" s="108">
        <f>SUMIF($AB$82:$AB$82,"법인",$AD$82:$AD$82)/1000</f>
        <v>1000</v>
      </c>
      <c r="L81" s="108">
        <f>SUMIF($AB$82:$AB$82,"잡수",$AD$82:$AD$82)/1000</f>
        <v>0</v>
      </c>
      <c r="M81" s="107">
        <f>E81-D81</f>
        <v>300</v>
      </c>
      <c r="N81" s="115">
        <f>IF(D81=0,0,M81/D81)</f>
        <v>0.42857142857142855</v>
      </c>
      <c r="O81" s="95" t="s">
        <v>37</v>
      </c>
      <c r="P81" s="142"/>
      <c r="Q81" s="157"/>
      <c r="R81" s="157"/>
      <c r="S81" s="157"/>
      <c r="T81" s="86"/>
      <c r="U81" s="86"/>
      <c r="V81" s="86"/>
      <c r="W81" s="86"/>
      <c r="X81" s="86"/>
      <c r="Y81" s="169" t="s">
        <v>136</v>
      </c>
      <c r="Z81" s="169"/>
      <c r="AA81" s="169"/>
      <c r="AB81" s="169"/>
      <c r="AC81" s="171"/>
      <c r="AD81" s="171">
        <f>AD82</f>
        <v>1000000</v>
      </c>
      <c r="AE81" s="170" t="s">
        <v>25</v>
      </c>
    </row>
    <row r="82" spans="1:34" s="11" customFormat="1" ht="21" customHeight="1">
      <c r="A82" s="45"/>
      <c r="B82" s="46"/>
      <c r="C82" s="46"/>
      <c r="D82" s="151"/>
      <c r="E82" s="103"/>
      <c r="F82" s="103"/>
      <c r="G82" s="103"/>
      <c r="H82" s="103"/>
      <c r="I82" s="103"/>
      <c r="J82" s="103"/>
      <c r="K82" s="103"/>
      <c r="L82" s="103"/>
      <c r="M82" s="103"/>
      <c r="N82" s="68"/>
      <c r="O82" s="668" t="s">
        <v>784</v>
      </c>
      <c r="P82" s="668"/>
      <c r="Q82" s="668"/>
      <c r="R82" s="668"/>
      <c r="S82" s="667"/>
      <c r="T82" s="295"/>
      <c r="U82" s="295"/>
      <c r="V82" s="667"/>
      <c r="W82" s="668"/>
      <c r="X82" s="667"/>
      <c r="Y82" s="667"/>
      <c r="Z82" s="667"/>
      <c r="AA82" s="667"/>
      <c r="AB82" s="667" t="s">
        <v>771</v>
      </c>
      <c r="AC82" s="667"/>
      <c r="AD82" s="667">
        <v>1000000</v>
      </c>
      <c r="AE82" s="131" t="s">
        <v>766</v>
      </c>
      <c r="AF82" s="2"/>
    </row>
    <row r="83" spans="1:34" s="11" customFormat="1" ht="21" customHeight="1">
      <c r="A83" s="45"/>
      <c r="B83" s="46"/>
      <c r="C83" s="46" t="s">
        <v>11</v>
      </c>
      <c r="D83" s="151">
        <v>0</v>
      </c>
      <c r="E83" s="103">
        <f>AD83/1000</f>
        <v>0</v>
      </c>
      <c r="F83" s="108">
        <f>SUMIF($AB$84:$AB$84,"보조",$AD$84:$AD$84)/1000</f>
        <v>0</v>
      </c>
      <c r="G83" s="108">
        <f>SUMIF($AB$84:$AB$84,"7종",$AD$84:$AD$84)/1000</f>
        <v>0</v>
      </c>
      <c r="H83" s="108">
        <f>SUMIF($AB$84:$AB$84,"4종",$AD$84:$AD$84)/1000</f>
        <v>0</v>
      </c>
      <c r="I83" s="108">
        <f>SUMIF($AB$84:$AB$84,"후원",$AD$84:$AD$84)/1000</f>
        <v>0</v>
      </c>
      <c r="J83" s="108">
        <f>SUMIF($AB$84:$AB$84,"입소",$AD$84:$AD$84)/1000</f>
        <v>0</v>
      </c>
      <c r="K83" s="108">
        <f>SUMIF($AB$84:$AB$84,"법인",$AD$84:$AD$84)/1000</f>
        <v>0</v>
      </c>
      <c r="L83" s="108">
        <f>SUMIF($AB$84:$AB$84,"잡수",$AD$84:$AD$84)/1000</f>
        <v>0</v>
      </c>
      <c r="M83" s="103">
        <f>E83-D83</f>
        <v>0</v>
      </c>
      <c r="N83" s="68">
        <f>IF(D83=0,0,M83/D83)</f>
        <v>0</v>
      </c>
      <c r="O83" s="95" t="s">
        <v>135</v>
      </c>
      <c r="P83" s="168"/>
      <c r="Q83" s="32"/>
      <c r="R83" s="32"/>
      <c r="S83" s="32"/>
      <c r="T83" s="33"/>
      <c r="U83" s="33"/>
      <c r="V83" s="33"/>
      <c r="W83" s="33"/>
      <c r="X83" s="33"/>
      <c r="Y83" s="169" t="s">
        <v>136</v>
      </c>
      <c r="Z83" s="169"/>
      <c r="AA83" s="169"/>
      <c r="AB83" s="169"/>
      <c r="AC83" s="171"/>
      <c r="AD83" s="171">
        <v>0</v>
      </c>
      <c r="AE83" s="170" t="s">
        <v>25</v>
      </c>
      <c r="AF83" s="1"/>
    </row>
    <row r="84" spans="1:34" s="11" customFormat="1" ht="21" customHeight="1">
      <c r="A84" s="45"/>
      <c r="B84" s="46"/>
      <c r="C84" s="59"/>
      <c r="D84" s="152"/>
      <c r="E84" s="105"/>
      <c r="F84" s="105"/>
      <c r="G84" s="105"/>
      <c r="H84" s="105"/>
      <c r="I84" s="105"/>
      <c r="J84" s="105"/>
      <c r="K84" s="105"/>
      <c r="L84" s="105"/>
      <c r="M84" s="105"/>
      <c r="N84" s="82"/>
      <c r="O84" s="146"/>
      <c r="P84" s="79"/>
      <c r="Q84" s="79"/>
      <c r="R84" s="79"/>
      <c r="S84" s="78"/>
      <c r="T84" s="83"/>
      <c r="U84" s="83"/>
      <c r="V84" s="78"/>
      <c r="W84" s="79"/>
      <c r="X84" s="78"/>
      <c r="Y84" s="78"/>
      <c r="Z84" s="78"/>
      <c r="AA84" s="78"/>
      <c r="AB84" s="78"/>
      <c r="AC84" s="78"/>
      <c r="AD84" s="78"/>
      <c r="AE84" s="71"/>
      <c r="AF84" s="1"/>
    </row>
    <row r="85" spans="1:34" s="11" customFormat="1" ht="21" customHeight="1">
      <c r="A85" s="45"/>
      <c r="B85" s="46"/>
      <c r="C85" s="46" t="s">
        <v>73</v>
      </c>
      <c r="D85" s="151">
        <v>1068</v>
      </c>
      <c r="E85" s="103">
        <f>AD85/1000</f>
        <v>1080</v>
      </c>
      <c r="F85" s="108">
        <f>SUMIF($AB$86:$AB$88,"보조",$AD$86:$AD$88)/1000</f>
        <v>0</v>
      </c>
      <c r="G85" s="108">
        <f>SUMIF($AB$86:$AB$88,"7종",$AD$86:$AD$88)/1000</f>
        <v>0</v>
      </c>
      <c r="H85" s="108">
        <f>SUMIF($AB$86:$AB$88,"4종",$AD$86:$AD$88)/1000</f>
        <v>0</v>
      </c>
      <c r="I85" s="108">
        <f>SUMIF($AB$86:$AB$88,"후원",$AD$86:$AD$88)/1000</f>
        <v>0</v>
      </c>
      <c r="J85" s="108">
        <f>SUMIF($AB$86:$AB$88,"입소",$AD$86:$AD$88)/1000</f>
        <v>0</v>
      </c>
      <c r="K85" s="108">
        <f>SUMIF($AB$86:$AB$88,"법인",$AD$86:$AD$88)/1000</f>
        <v>1080</v>
      </c>
      <c r="L85" s="108">
        <f>SUMIF($AB$86:$AB$88,"잡수",$AD$86:$AD$88)/1000</f>
        <v>0</v>
      </c>
      <c r="M85" s="103">
        <f>E85-D85</f>
        <v>12</v>
      </c>
      <c r="N85" s="68">
        <f>IF(D85=0,0,M85/D85)</f>
        <v>1.1235955056179775E-2</v>
      </c>
      <c r="O85" s="110" t="s">
        <v>38</v>
      </c>
      <c r="P85" s="32"/>
      <c r="Q85" s="32"/>
      <c r="R85" s="32"/>
      <c r="S85" s="32"/>
      <c r="T85" s="33"/>
      <c r="U85" s="33"/>
      <c r="V85" s="33"/>
      <c r="W85" s="33"/>
      <c r="X85" s="33"/>
      <c r="Y85" s="169" t="s">
        <v>136</v>
      </c>
      <c r="Z85" s="169"/>
      <c r="AA85" s="169"/>
      <c r="AB85" s="169"/>
      <c r="AC85" s="171"/>
      <c r="AD85" s="171">
        <f>SUM(AD86:AD88)</f>
        <v>1080000</v>
      </c>
      <c r="AE85" s="170" t="s">
        <v>25</v>
      </c>
      <c r="AF85" s="1"/>
    </row>
    <row r="86" spans="1:34" s="14" customFormat="1" ht="21" customHeight="1">
      <c r="A86" s="45"/>
      <c r="B86" s="46"/>
      <c r="C86" s="46"/>
      <c r="D86" s="151"/>
      <c r="E86" s="103"/>
      <c r="F86" s="103"/>
      <c r="G86" s="103"/>
      <c r="H86" s="103"/>
      <c r="I86" s="103"/>
      <c r="J86" s="103"/>
      <c r="K86" s="103"/>
      <c r="L86" s="103"/>
      <c r="M86" s="103"/>
      <c r="N86" s="68"/>
      <c r="O86" s="638" t="s">
        <v>713</v>
      </c>
      <c r="P86" s="638"/>
      <c r="Q86" s="638"/>
      <c r="R86" s="638"/>
      <c r="S86" s="637"/>
      <c r="T86" s="295"/>
      <c r="U86" s="295"/>
      <c r="V86" s="637"/>
      <c r="W86" s="638"/>
      <c r="X86" s="637"/>
      <c r="Y86" s="637"/>
      <c r="Z86" s="637"/>
      <c r="AA86" s="637"/>
      <c r="AB86" s="637" t="s">
        <v>712</v>
      </c>
      <c r="AC86" s="637"/>
      <c r="AD86" s="637">
        <v>280000</v>
      </c>
      <c r="AE86" s="131" t="s">
        <v>699</v>
      </c>
      <c r="AF86" s="4"/>
    </row>
    <row r="87" spans="1:34" s="14" customFormat="1" ht="21" customHeight="1">
      <c r="A87" s="45"/>
      <c r="B87" s="46"/>
      <c r="C87" s="46"/>
      <c r="D87" s="151"/>
      <c r="E87" s="103"/>
      <c r="F87" s="103"/>
      <c r="G87" s="103"/>
      <c r="H87" s="103"/>
      <c r="I87" s="103"/>
      <c r="J87" s="103"/>
      <c r="K87" s="103"/>
      <c r="L87" s="103"/>
      <c r="M87" s="103"/>
      <c r="N87" s="68"/>
      <c r="O87" s="375" t="s">
        <v>255</v>
      </c>
      <c r="P87" s="375"/>
      <c r="Q87" s="375"/>
      <c r="R87" s="375"/>
      <c r="S87" s="374">
        <v>50000</v>
      </c>
      <c r="T87" s="374" t="s">
        <v>254</v>
      </c>
      <c r="U87" s="375" t="s">
        <v>256</v>
      </c>
      <c r="V87" s="374">
        <v>4</v>
      </c>
      <c r="W87" s="374" t="s">
        <v>257</v>
      </c>
      <c r="X87" s="375" t="s">
        <v>256</v>
      </c>
      <c r="Y87" s="296">
        <v>4</v>
      </c>
      <c r="Z87" s="527" t="s">
        <v>528</v>
      </c>
      <c r="AA87" s="289" t="s">
        <v>259</v>
      </c>
      <c r="AB87" s="549" t="s">
        <v>625</v>
      </c>
      <c r="AC87" s="571"/>
      <c r="AD87" s="570">
        <f>S87*V87*Y87</f>
        <v>800000</v>
      </c>
      <c r="AE87" s="131" t="s">
        <v>609</v>
      </c>
      <c r="AF87" s="4"/>
    </row>
    <row r="88" spans="1:34" s="14" customFormat="1" ht="21" customHeight="1">
      <c r="A88" s="45"/>
      <c r="B88" s="46"/>
      <c r="C88" s="46"/>
      <c r="D88" s="151"/>
      <c r="E88" s="103"/>
      <c r="F88" s="103"/>
      <c r="G88" s="103"/>
      <c r="H88" s="103"/>
      <c r="I88" s="103"/>
      <c r="J88" s="103"/>
      <c r="K88" s="103"/>
      <c r="L88" s="103"/>
      <c r="M88" s="103"/>
      <c r="N88" s="68"/>
      <c r="O88" s="375"/>
      <c r="P88" s="375"/>
      <c r="Q88" s="375"/>
      <c r="R88" s="375"/>
      <c r="S88" s="374"/>
      <c r="T88" s="295"/>
      <c r="U88" s="295"/>
      <c r="V88" s="374"/>
      <c r="W88" s="375"/>
      <c r="X88" s="374"/>
      <c r="Y88" s="374"/>
      <c r="Z88" s="374"/>
      <c r="AA88" s="374"/>
      <c r="AB88" s="570"/>
      <c r="AC88" s="570"/>
      <c r="AD88" s="570"/>
      <c r="AE88" s="131"/>
      <c r="AF88" s="4"/>
    </row>
    <row r="89" spans="1:34" s="11" customFormat="1" ht="21" customHeight="1">
      <c r="A89" s="45"/>
      <c r="B89" s="36" t="s">
        <v>12</v>
      </c>
      <c r="C89" s="165" t="s">
        <v>5</v>
      </c>
      <c r="D89" s="166">
        <f t="shared" ref="D89:L89" si="4">SUM(D90,D93,D116,D124,D136,D142)</f>
        <v>113341</v>
      </c>
      <c r="E89" s="166">
        <f t="shared" si="4"/>
        <v>101214</v>
      </c>
      <c r="F89" s="166">
        <f t="shared" si="4"/>
        <v>61492</v>
      </c>
      <c r="G89" s="166">
        <f t="shared" si="4"/>
        <v>3600</v>
      </c>
      <c r="H89" s="166">
        <f t="shared" si="4"/>
        <v>0</v>
      </c>
      <c r="I89" s="166">
        <f t="shared" si="4"/>
        <v>14784</v>
      </c>
      <c r="J89" s="166">
        <f t="shared" si="4"/>
        <v>0</v>
      </c>
      <c r="K89" s="166">
        <f t="shared" si="4"/>
        <v>20128</v>
      </c>
      <c r="L89" s="166">
        <f t="shared" si="4"/>
        <v>1210</v>
      </c>
      <c r="M89" s="690">
        <f>E89-D89</f>
        <v>-12127</v>
      </c>
      <c r="N89" s="167">
        <f>IF(D89=0,0,M89/D89)</f>
        <v>-0.1069957032318402</v>
      </c>
      <c r="O89" s="168" t="s">
        <v>137</v>
      </c>
      <c r="P89" s="168"/>
      <c r="Q89" s="168"/>
      <c r="R89" s="168"/>
      <c r="S89" s="169"/>
      <c r="T89" s="179"/>
      <c r="U89" s="169"/>
      <c r="V89" s="754"/>
      <c r="W89" s="755"/>
      <c r="X89" s="169"/>
      <c r="Y89" s="169"/>
      <c r="Z89" s="169"/>
      <c r="AA89" s="169"/>
      <c r="AB89" s="169"/>
      <c r="AC89" s="169"/>
      <c r="AD89" s="169">
        <f>SUM(AD90,AD93,AD116,AD124,AD136,AD142)</f>
        <v>101214000</v>
      </c>
      <c r="AE89" s="170" t="s">
        <v>25</v>
      </c>
      <c r="AF89" s="1"/>
    </row>
    <row r="90" spans="1:34" s="11" customFormat="1" ht="21" customHeight="1">
      <c r="A90" s="45"/>
      <c r="B90" s="46"/>
      <c r="C90" s="46" t="s">
        <v>74</v>
      </c>
      <c r="D90" s="151">
        <v>615</v>
      </c>
      <c r="E90" s="103">
        <f>AD90/1000</f>
        <v>775</v>
      </c>
      <c r="F90" s="108">
        <f>SUMIF($AB$91:$AB$92,"보조",$AD$91:$AD$92)/1000</f>
        <v>0</v>
      </c>
      <c r="G90" s="108">
        <f>SUMIF($AB$91:$AB$92,"7종",$AD$91:$AD$92)/1000</f>
        <v>0</v>
      </c>
      <c r="H90" s="108">
        <f>SUMIF($AB$91:$AB$92,"4종",$AD$91:$AD$92)/1000</f>
        <v>0</v>
      </c>
      <c r="I90" s="108">
        <f>SUMIF($AB$91:$AB$92,"후원",$AD$91:$AD$92)/1000</f>
        <v>375</v>
      </c>
      <c r="J90" s="108">
        <f>SUMIF($AB$91:$AB$92,"입소",$AD$91:$AD$92)/1000</f>
        <v>0</v>
      </c>
      <c r="K90" s="108">
        <f>SUMIF($AB$91:$AB$92,"법인",$AD$91:$AD$92)/1000</f>
        <v>400</v>
      </c>
      <c r="L90" s="108">
        <f>SUMIF($AB$91:$AB$92,"잡수",$AD$91:$AD$92)/1000</f>
        <v>0</v>
      </c>
      <c r="M90" s="103">
        <f>E90-D90</f>
        <v>160</v>
      </c>
      <c r="N90" s="68">
        <f>IF(D90=0,0,M90/D90)</f>
        <v>0.26016260162601629</v>
      </c>
      <c r="O90" s="110" t="s">
        <v>40</v>
      </c>
      <c r="P90" s="32"/>
      <c r="Q90" s="32"/>
      <c r="R90" s="32"/>
      <c r="S90" s="32"/>
      <c r="T90" s="33"/>
      <c r="U90" s="33"/>
      <c r="V90" s="33"/>
      <c r="W90" s="33"/>
      <c r="X90" s="33"/>
      <c r="Y90" s="360" t="s">
        <v>136</v>
      </c>
      <c r="Z90" s="360"/>
      <c r="AA90" s="360"/>
      <c r="AB90" s="360"/>
      <c r="AC90" s="171"/>
      <c r="AD90" s="171">
        <f>SUM(AD91:AD92)</f>
        <v>775000</v>
      </c>
      <c r="AE90" s="170" t="s">
        <v>25</v>
      </c>
      <c r="AF90" s="20"/>
      <c r="AG90" s="19"/>
      <c r="AH90" s="19"/>
    </row>
    <row r="91" spans="1:34" s="11" customFormat="1" ht="21" customHeight="1">
      <c r="A91" s="45"/>
      <c r="B91" s="46"/>
      <c r="C91" s="46"/>
      <c r="D91" s="151"/>
      <c r="E91" s="103"/>
      <c r="F91" s="103"/>
      <c r="G91" s="103"/>
      <c r="H91" s="103"/>
      <c r="I91" s="103"/>
      <c r="J91" s="103"/>
      <c r="K91" s="103"/>
      <c r="L91" s="103"/>
      <c r="M91" s="103"/>
      <c r="N91" s="68"/>
      <c r="O91" s="668" t="s">
        <v>785</v>
      </c>
      <c r="P91" s="668"/>
      <c r="Q91" s="668"/>
      <c r="R91" s="668"/>
      <c r="S91" s="667">
        <v>15000</v>
      </c>
      <c r="T91" s="295" t="s">
        <v>25</v>
      </c>
      <c r="U91" s="295" t="s">
        <v>26</v>
      </c>
      <c r="V91" s="667">
        <v>25</v>
      </c>
      <c r="W91" s="295" t="s">
        <v>138</v>
      </c>
      <c r="X91" s="667" t="s">
        <v>26</v>
      </c>
      <c r="Y91" s="667">
        <v>1</v>
      </c>
      <c r="Z91" s="667" t="s">
        <v>769</v>
      </c>
      <c r="AA91" s="667" t="s">
        <v>27</v>
      </c>
      <c r="AB91" s="667" t="s">
        <v>772</v>
      </c>
      <c r="AC91" s="667"/>
      <c r="AD91" s="667">
        <f>S91*V91*Y91</f>
        <v>375000</v>
      </c>
      <c r="AE91" s="131" t="s">
        <v>766</v>
      </c>
      <c r="AF91" s="2"/>
    </row>
    <row r="92" spans="1:34" s="11" customFormat="1" ht="21" customHeight="1">
      <c r="A92" s="45"/>
      <c r="B92" s="46"/>
      <c r="C92" s="46"/>
      <c r="D92" s="151"/>
      <c r="E92" s="103"/>
      <c r="F92" s="103"/>
      <c r="G92" s="103"/>
      <c r="H92" s="103"/>
      <c r="I92" s="103"/>
      <c r="J92" s="103"/>
      <c r="K92" s="103"/>
      <c r="L92" s="103"/>
      <c r="M92" s="103"/>
      <c r="N92" s="68"/>
      <c r="O92" s="668" t="s">
        <v>786</v>
      </c>
      <c r="P92" s="668"/>
      <c r="Q92" s="668"/>
      <c r="R92" s="668"/>
      <c r="S92" s="667">
        <v>120000</v>
      </c>
      <c r="T92" s="295" t="s">
        <v>25</v>
      </c>
      <c r="U92" s="295" t="s">
        <v>26</v>
      </c>
      <c r="V92" s="667">
        <v>1</v>
      </c>
      <c r="W92" s="295" t="s">
        <v>138</v>
      </c>
      <c r="X92" s="667" t="s">
        <v>26</v>
      </c>
      <c r="Y92" s="667">
        <v>2</v>
      </c>
      <c r="Z92" s="667" t="s">
        <v>769</v>
      </c>
      <c r="AA92" s="667" t="s">
        <v>27</v>
      </c>
      <c r="AB92" s="667" t="s">
        <v>771</v>
      </c>
      <c r="AC92" s="667"/>
      <c r="AD92" s="667">
        <v>400000</v>
      </c>
      <c r="AE92" s="131" t="s">
        <v>766</v>
      </c>
      <c r="AF92" s="2"/>
    </row>
    <row r="93" spans="1:34" s="11" customFormat="1" ht="21" customHeight="1">
      <c r="A93" s="45"/>
      <c r="B93" s="46"/>
      <c r="C93" s="36" t="s">
        <v>41</v>
      </c>
      <c r="D93" s="153">
        <v>36687</v>
      </c>
      <c r="E93" s="107">
        <f>ROUND(AD93/1000,0)</f>
        <v>27182</v>
      </c>
      <c r="F93" s="108">
        <f>SUMIF($AB$94:$AB$112,"보조",$AD$94:$AD$112)/1000</f>
        <v>20647</v>
      </c>
      <c r="G93" s="108">
        <f>SUMIF($AB$94:$AB$112,"7종",$AD$94:$AD$112)/1000</f>
        <v>0</v>
      </c>
      <c r="H93" s="108">
        <f>SUMIF($AB$94:$AB$112,"4종",$AD$94:$AD$112)/1000</f>
        <v>0</v>
      </c>
      <c r="I93" s="108">
        <f>SUMIF($AB$94:$AB$112,"후원",$AD$94:$AD$112)/1000</f>
        <v>6035</v>
      </c>
      <c r="J93" s="108">
        <f>SUMIF($AB$94:$AB$112,"입소",$AD$94:$AD$112)/1000</f>
        <v>0</v>
      </c>
      <c r="K93" s="108">
        <f>SUMIF($AB$94:$AB$112,"법인",$AD$94:$AD$112)/1000</f>
        <v>500</v>
      </c>
      <c r="L93" s="108">
        <f>SUMIF($AB$94:$AB$112,"잡수",$AD$94:$AD$112)/1000</f>
        <v>0</v>
      </c>
      <c r="M93" s="117">
        <f>E93-D93</f>
        <v>-9505</v>
      </c>
      <c r="N93" s="115">
        <f>IF(D93=0,0,M93/D93)</f>
        <v>-0.2590835990950473</v>
      </c>
      <c r="O93" s="302" t="s">
        <v>42</v>
      </c>
      <c r="P93" s="303"/>
      <c r="Q93" s="303"/>
      <c r="R93" s="303"/>
      <c r="S93" s="303"/>
      <c r="T93" s="304"/>
      <c r="U93" s="304"/>
      <c r="V93" s="304"/>
      <c r="W93" s="304"/>
      <c r="X93" s="304"/>
      <c r="Y93" s="305" t="s">
        <v>28</v>
      </c>
      <c r="Z93" s="305"/>
      <c r="AA93" s="305"/>
      <c r="AB93" s="305"/>
      <c r="AC93" s="306"/>
      <c r="AD93" s="306">
        <f>SUM(AD94:AD112)</f>
        <v>27182000</v>
      </c>
      <c r="AE93" s="170" t="s">
        <v>25</v>
      </c>
      <c r="AF93" s="1"/>
    </row>
    <row r="94" spans="1:34" s="11" customFormat="1" ht="21" customHeight="1">
      <c r="A94" s="45"/>
      <c r="B94" s="46"/>
      <c r="C94" s="46" t="s">
        <v>142</v>
      </c>
      <c r="D94" s="151"/>
      <c r="E94" s="103"/>
      <c r="F94" s="103"/>
      <c r="G94" s="103"/>
      <c r="H94" s="103"/>
      <c r="I94" s="103"/>
      <c r="J94" s="103"/>
      <c r="K94" s="103"/>
      <c r="L94" s="103"/>
      <c r="M94" s="103"/>
      <c r="N94" s="68"/>
      <c r="O94" s="307" t="s">
        <v>261</v>
      </c>
      <c r="P94" s="375"/>
      <c r="Q94" s="375"/>
      <c r="R94" s="375"/>
      <c r="S94" s="374"/>
      <c r="T94" s="295"/>
      <c r="U94" s="374"/>
      <c r="V94" s="308">
        <v>205000</v>
      </c>
      <c r="W94" s="309" t="s">
        <v>56</v>
      </c>
      <c r="X94" s="309" t="s">
        <v>26</v>
      </c>
      <c r="Y94" s="308">
        <v>8</v>
      </c>
      <c r="Z94" s="310" t="s">
        <v>29</v>
      </c>
      <c r="AA94" s="308" t="s">
        <v>27</v>
      </c>
      <c r="AB94" s="291" t="s">
        <v>262</v>
      </c>
      <c r="AC94" s="291"/>
      <c r="AD94" s="425">
        <f t="shared" ref="AD94:AD101" si="5">V94*Y94</f>
        <v>1640000</v>
      </c>
      <c r="AE94" s="395" t="s">
        <v>25</v>
      </c>
      <c r="AF94" s="1"/>
    </row>
    <row r="95" spans="1:34" s="11" customFormat="1" ht="21" customHeight="1">
      <c r="A95" s="45"/>
      <c r="B95" s="46"/>
      <c r="C95" s="46"/>
      <c r="D95" s="151"/>
      <c r="E95" s="103"/>
      <c r="F95" s="103"/>
      <c r="G95" s="103"/>
      <c r="H95" s="103"/>
      <c r="I95" s="103"/>
      <c r="J95" s="103"/>
      <c r="K95" s="103"/>
      <c r="L95" s="103"/>
      <c r="M95" s="103"/>
      <c r="N95" s="68"/>
      <c r="O95" s="375" t="s">
        <v>263</v>
      </c>
      <c r="P95" s="375"/>
      <c r="Q95" s="375"/>
      <c r="R95" s="375"/>
      <c r="S95" s="374"/>
      <c r="T95" s="295"/>
      <c r="U95" s="295"/>
      <c r="V95" s="308">
        <v>218000</v>
      </c>
      <c r="W95" s="309" t="s">
        <v>56</v>
      </c>
      <c r="X95" s="309" t="s">
        <v>26</v>
      </c>
      <c r="Y95" s="308">
        <v>8</v>
      </c>
      <c r="Z95" s="310" t="s">
        <v>29</v>
      </c>
      <c r="AA95" s="308" t="s">
        <v>27</v>
      </c>
      <c r="AB95" s="425" t="s">
        <v>290</v>
      </c>
      <c r="AC95" s="425"/>
      <c r="AD95" s="593">
        <f t="shared" si="5"/>
        <v>1744000</v>
      </c>
      <c r="AE95" s="131" t="s">
        <v>663</v>
      </c>
      <c r="AF95" s="20"/>
    </row>
    <row r="96" spans="1:34" s="11" customFormat="1" ht="21" customHeight="1">
      <c r="A96" s="45"/>
      <c r="B96" s="46"/>
      <c r="C96" s="46"/>
      <c r="D96" s="151"/>
      <c r="E96" s="103"/>
      <c r="F96" s="103"/>
      <c r="G96" s="103"/>
      <c r="H96" s="103"/>
      <c r="I96" s="103"/>
      <c r="J96" s="103"/>
      <c r="K96" s="103"/>
      <c r="L96" s="103"/>
      <c r="M96" s="103"/>
      <c r="N96" s="68"/>
      <c r="O96" s="435" t="s">
        <v>325</v>
      </c>
      <c r="P96" s="435"/>
      <c r="Q96" s="435"/>
      <c r="R96" s="435"/>
      <c r="S96" s="434"/>
      <c r="T96" s="295"/>
      <c r="U96" s="295"/>
      <c r="V96" s="308">
        <v>170000</v>
      </c>
      <c r="W96" s="309" t="s">
        <v>56</v>
      </c>
      <c r="X96" s="309" t="s">
        <v>26</v>
      </c>
      <c r="Y96" s="308">
        <v>12</v>
      </c>
      <c r="Z96" s="310" t="s">
        <v>29</v>
      </c>
      <c r="AA96" s="308" t="s">
        <v>27</v>
      </c>
      <c r="AB96" s="434" t="s">
        <v>75</v>
      </c>
      <c r="AC96" s="434"/>
      <c r="AD96" s="593">
        <f>V96*Y96</f>
        <v>2040000</v>
      </c>
      <c r="AE96" s="131" t="s">
        <v>663</v>
      </c>
      <c r="AF96" s="20"/>
    </row>
    <row r="97" spans="1:32" s="11" customFormat="1" ht="21" customHeight="1">
      <c r="A97" s="45"/>
      <c r="B97" s="46"/>
      <c r="C97" s="46"/>
      <c r="D97" s="151"/>
      <c r="E97" s="103"/>
      <c r="F97" s="103"/>
      <c r="G97" s="103"/>
      <c r="H97" s="103"/>
      <c r="I97" s="103"/>
      <c r="J97" s="103"/>
      <c r="K97" s="103"/>
      <c r="L97" s="103"/>
      <c r="M97" s="103"/>
      <c r="N97" s="68"/>
      <c r="O97" s="540" t="s">
        <v>558</v>
      </c>
      <c r="P97" s="540"/>
      <c r="Q97" s="540"/>
      <c r="R97" s="540"/>
      <c r="S97" s="539"/>
      <c r="T97" s="295"/>
      <c r="U97" s="295"/>
      <c r="V97" s="308">
        <v>500000</v>
      </c>
      <c r="W97" s="309" t="s">
        <v>549</v>
      </c>
      <c r="X97" s="309" t="s">
        <v>26</v>
      </c>
      <c r="Y97" s="308">
        <v>4</v>
      </c>
      <c r="Z97" s="310" t="s">
        <v>859</v>
      </c>
      <c r="AA97" s="308" t="s">
        <v>27</v>
      </c>
      <c r="AB97" s="539" t="s">
        <v>554</v>
      </c>
      <c r="AC97" s="539"/>
      <c r="AD97" s="686">
        <f>V97*Y97</f>
        <v>2000000</v>
      </c>
      <c r="AE97" s="131" t="s">
        <v>663</v>
      </c>
      <c r="AF97" s="20"/>
    </row>
    <row r="98" spans="1:32" s="11" customFormat="1" ht="21" customHeight="1">
      <c r="A98" s="45"/>
      <c r="B98" s="46"/>
      <c r="C98" s="46"/>
      <c r="D98" s="151"/>
      <c r="E98" s="103"/>
      <c r="F98" s="103"/>
      <c r="G98" s="103"/>
      <c r="H98" s="103"/>
      <c r="I98" s="103"/>
      <c r="J98" s="103"/>
      <c r="K98" s="103"/>
      <c r="L98" s="103"/>
      <c r="M98" s="103"/>
      <c r="N98" s="68"/>
      <c r="O98" s="435" t="s">
        <v>326</v>
      </c>
      <c r="P98" s="375"/>
      <c r="Q98" s="375"/>
      <c r="R98" s="375"/>
      <c r="S98" s="374"/>
      <c r="T98" s="295"/>
      <c r="U98" s="295"/>
      <c r="V98" s="308">
        <v>200000</v>
      </c>
      <c r="W98" s="309" t="s">
        <v>56</v>
      </c>
      <c r="X98" s="309" t="s">
        <v>26</v>
      </c>
      <c r="Y98" s="308">
        <v>6</v>
      </c>
      <c r="Z98" s="310" t="s">
        <v>29</v>
      </c>
      <c r="AA98" s="308" t="s">
        <v>27</v>
      </c>
      <c r="AB98" s="374" t="s">
        <v>262</v>
      </c>
      <c r="AC98" s="374"/>
      <c r="AD98" s="686">
        <f t="shared" si="5"/>
        <v>1200000</v>
      </c>
      <c r="AE98" s="131" t="s">
        <v>663</v>
      </c>
      <c r="AF98" s="20"/>
    </row>
    <row r="99" spans="1:32" s="11" customFormat="1" ht="21" customHeight="1">
      <c r="A99" s="45"/>
      <c r="B99" s="46"/>
      <c r="C99" s="46"/>
      <c r="D99" s="151"/>
      <c r="E99" s="103"/>
      <c r="F99" s="103"/>
      <c r="G99" s="103"/>
      <c r="H99" s="103"/>
      <c r="I99" s="103"/>
      <c r="J99" s="103"/>
      <c r="K99" s="103"/>
      <c r="L99" s="103"/>
      <c r="M99" s="103"/>
      <c r="N99" s="68"/>
      <c r="O99" s="621"/>
      <c r="P99" s="621"/>
      <c r="Q99" s="621"/>
      <c r="R99" s="621"/>
      <c r="S99" s="620"/>
      <c r="T99" s="295"/>
      <c r="U99" s="295"/>
      <c r="V99" s="308"/>
      <c r="W99" s="309"/>
      <c r="X99" s="309"/>
      <c r="Y99" s="308"/>
      <c r="Z99" s="310"/>
      <c r="AA99" s="308"/>
      <c r="AB99" s="667" t="s">
        <v>170</v>
      </c>
      <c r="AC99" s="667"/>
      <c r="AD99" s="686">
        <v>500000</v>
      </c>
      <c r="AE99" s="131" t="s">
        <v>766</v>
      </c>
      <c r="AF99" s="20"/>
    </row>
    <row r="100" spans="1:32" s="11" customFormat="1" ht="21" customHeight="1">
      <c r="A100" s="45"/>
      <c r="B100" s="46"/>
      <c r="C100" s="46"/>
      <c r="D100" s="151"/>
      <c r="E100" s="103"/>
      <c r="F100" s="103"/>
      <c r="G100" s="103"/>
      <c r="H100" s="103"/>
      <c r="I100" s="103"/>
      <c r="J100" s="103"/>
      <c r="K100" s="103"/>
      <c r="L100" s="103"/>
      <c r="M100" s="103"/>
      <c r="N100" s="68"/>
      <c r="O100" s="610"/>
      <c r="P100" s="610"/>
      <c r="Q100" s="610"/>
      <c r="R100" s="610"/>
      <c r="S100" s="609"/>
      <c r="T100" s="295"/>
      <c r="U100" s="295"/>
      <c r="V100" s="308"/>
      <c r="W100" s="309"/>
      <c r="X100" s="309"/>
      <c r="Y100" s="308"/>
      <c r="Z100" s="310"/>
      <c r="AA100" s="308"/>
      <c r="AB100" s="667" t="s">
        <v>787</v>
      </c>
      <c r="AC100" s="667"/>
      <c r="AD100" s="686">
        <v>780000</v>
      </c>
      <c r="AE100" s="131" t="s">
        <v>766</v>
      </c>
      <c r="AF100" s="20"/>
    </row>
    <row r="101" spans="1:32" s="11" customFormat="1" ht="21" customHeight="1">
      <c r="A101" s="45"/>
      <c r="B101" s="46"/>
      <c r="C101" s="46"/>
      <c r="D101" s="151"/>
      <c r="E101" s="103"/>
      <c r="F101" s="103"/>
      <c r="G101" s="103"/>
      <c r="H101" s="103"/>
      <c r="I101" s="103"/>
      <c r="J101" s="103"/>
      <c r="K101" s="103"/>
      <c r="L101" s="103"/>
      <c r="M101" s="103"/>
      <c r="N101" s="68"/>
      <c r="O101" s="435" t="s">
        <v>327</v>
      </c>
      <c r="P101" s="375"/>
      <c r="Q101" s="375"/>
      <c r="R101" s="375"/>
      <c r="S101" s="374"/>
      <c r="T101" s="295"/>
      <c r="U101" s="295"/>
      <c r="V101" s="308">
        <v>200000</v>
      </c>
      <c r="W101" s="309" t="s">
        <v>56</v>
      </c>
      <c r="X101" s="309" t="s">
        <v>26</v>
      </c>
      <c r="Y101" s="308">
        <v>12</v>
      </c>
      <c r="Z101" s="310" t="s">
        <v>29</v>
      </c>
      <c r="AA101" s="308" t="s">
        <v>27</v>
      </c>
      <c r="AB101" s="667" t="s">
        <v>787</v>
      </c>
      <c r="AC101" s="667"/>
      <c r="AD101" s="686">
        <f t="shared" si="5"/>
        <v>2400000</v>
      </c>
      <c r="AE101" s="131" t="s">
        <v>766</v>
      </c>
      <c r="AF101" s="20"/>
    </row>
    <row r="102" spans="1:32" s="11" customFormat="1" ht="21" customHeight="1">
      <c r="A102" s="45"/>
      <c r="B102" s="46"/>
      <c r="C102" s="46"/>
      <c r="D102" s="151"/>
      <c r="E102" s="103"/>
      <c r="F102" s="103"/>
      <c r="G102" s="103"/>
      <c r="H102" s="103"/>
      <c r="I102" s="103"/>
      <c r="J102" s="103"/>
      <c r="K102" s="103"/>
      <c r="L102" s="103"/>
      <c r="M102" s="103"/>
      <c r="N102" s="68"/>
      <c r="O102" s="682"/>
      <c r="P102" s="682"/>
      <c r="Q102" s="682"/>
      <c r="R102" s="682"/>
      <c r="S102" s="681"/>
      <c r="T102" s="295"/>
      <c r="U102" s="295"/>
      <c r="V102" s="308"/>
      <c r="W102" s="309"/>
      <c r="X102" s="309"/>
      <c r="Y102" s="308"/>
      <c r="Z102" s="310"/>
      <c r="AA102" s="308"/>
      <c r="AB102" s="681" t="s">
        <v>870</v>
      </c>
      <c r="AC102" s="681"/>
      <c r="AD102" s="686">
        <v>1207000</v>
      </c>
      <c r="AE102" s="131" t="s">
        <v>56</v>
      </c>
      <c r="AF102" s="20"/>
    </row>
    <row r="103" spans="1:32" s="11" customFormat="1" ht="21" customHeight="1">
      <c r="A103" s="45"/>
      <c r="B103" s="46"/>
      <c r="C103" s="46"/>
      <c r="D103" s="151"/>
      <c r="E103" s="103"/>
      <c r="F103" s="103"/>
      <c r="G103" s="103"/>
      <c r="H103" s="103"/>
      <c r="I103" s="103"/>
      <c r="J103" s="103"/>
      <c r="K103" s="103"/>
      <c r="L103" s="103"/>
      <c r="M103" s="103"/>
      <c r="N103" s="68"/>
      <c r="O103" s="435" t="s">
        <v>328</v>
      </c>
      <c r="P103" s="375"/>
      <c r="Q103" s="375"/>
      <c r="R103" s="375"/>
      <c r="S103" s="374"/>
      <c r="T103" s="295"/>
      <c r="U103" s="295"/>
      <c r="V103" s="756">
        <v>250000</v>
      </c>
      <c r="W103" s="768" t="s">
        <v>56</v>
      </c>
      <c r="X103" s="768" t="s">
        <v>26</v>
      </c>
      <c r="Y103" s="756">
        <v>12</v>
      </c>
      <c r="Z103" s="768" t="s">
        <v>29</v>
      </c>
      <c r="AA103" s="756" t="s">
        <v>27</v>
      </c>
      <c r="AB103" s="667" t="s">
        <v>787</v>
      </c>
      <c r="AC103" s="667"/>
      <c r="AD103" s="686">
        <v>1100000</v>
      </c>
      <c r="AE103" s="131" t="s">
        <v>766</v>
      </c>
      <c r="AF103" s="20"/>
    </row>
    <row r="104" spans="1:32" s="11" customFormat="1" ht="21" customHeight="1">
      <c r="A104" s="45"/>
      <c r="B104" s="46"/>
      <c r="C104" s="46"/>
      <c r="D104" s="151"/>
      <c r="E104" s="103"/>
      <c r="F104" s="103"/>
      <c r="G104" s="103"/>
      <c r="H104" s="103"/>
      <c r="I104" s="103"/>
      <c r="J104" s="103"/>
      <c r="K104" s="103"/>
      <c r="L104" s="103"/>
      <c r="M104" s="103"/>
      <c r="N104" s="68"/>
      <c r="O104" s="682"/>
      <c r="P104" s="682"/>
      <c r="Q104" s="682"/>
      <c r="R104" s="682"/>
      <c r="S104" s="681"/>
      <c r="T104" s="295"/>
      <c r="U104" s="295"/>
      <c r="V104" s="756"/>
      <c r="W104" s="768"/>
      <c r="X104" s="768"/>
      <c r="Y104" s="756"/>
      <c r="Z104" s="768"/>
      <c r="AA104" s="756"/>
      <c r="AB104" s="681" t="s">
        <v>151</v>
      </c>
      <c r="AC104" s="681"/>
      <c r="AD104" s="686">
        <v>1900000</v>
      </c>
      <c r="AE104" s="131" t="s">
        <v>858</v>
      </c>
      <c r="AF104" s="20"/>
    </row>
    <row r="105" spans="1:32" s="11" customFormat="1" ht="21" customHeight="1">
      <c r="A105" s="45"/>
      <c r="B105" s="46"/>
      <c r="C105" s="46"/>
      <c r="D105" s="151"/>
      <c r="E105" s="103"/>
      <c r="F105" s="103"/>
      <c r="G105" s="103"/>
      <c r="H105" s="103"/>
      <c r="I105" s="103"/>
      <c r="J105" s="103"/>
      <c r="K105" s="103"/>
      <c r="L105" s="103"/>
      <c r="M105" s="103"/>
      <c r="N105" s="68"/>
      <c r="O105" s="435" t="s">
        <v>329</v>
      </c>
      <c r="P105" s="426"/>
      <c r="Q105" s="426"/>
      <c r="R105" s="426"/>
      <c r="S105" s="425"/>
      <c r="T105" s="295"/>
      <c r="U105" s="295"/>
      <c r="V105" s="308"/>
      <c r="W105" s="309" t="s">
        <v>56</v>
      </c>
      <c r="X105" s="309" t="s">
        <v>26</v>
      </c>
      <c r="Y105" s="308"/>
      <c r="Z105" s="310" t="s">
        <v>29</v>
      </c>
      <c r="AA105" s="308" t="s">
        <v>27</v>
      </c>
      <c r="AB105" s="667" t="s">
        <v>787</v>
      </c>
      <c r="AC105" s="667"/>
      <c r="AD105" s="686">
        <v>1980000</v>
      </c>
      <c r="AE105" s="131" t="s">
        <v>766</v>
      </c>
      <c r="AF105" s="20"/>
    </row>
    <row r="106" spans="1:32" s="11" customFormat="1" ht="21" customHeight="1">
      <c r="A106" s="45"/>
      <c r="B106" s="46"/>
      <c r="C106" s="46"/>
      <c r="D106" s="151"/>
      <c r="E106" s="103"/>
      <c r="F106" s="103"/>
      <c r="G106" s="103"/>
      <c r="H106" s="103"/>
      <c r="I106" s="103"/>
      <c r="J106" s="103"/>
      <c r="K106" s="103"/>
      <c r="L106" s="103"/>
      <c r="M106" s="103"/>
      <c r="N106" s="68"/>
      <c r="O106" s="522" t="s">
        <v>522</v>
      </c>
      <c r="P106" s="522"/>
      <c r="Q106" s="522"/>
      <c r="R106" s="522"/>
      <c r="S106" s="521"/>
      <c r="T106" s="295"/>
      <c r="U106" s="521"/>
      <c r="V106" s="750"/>
      <c r="W106" s="751"/>
      <c r="X106" s="521"/>
      <c r="Y106" s="521"/>
      <c r="Z106" s="521"/>
      <c r="AA106" s="521"/>
      <c r="AB106" s="667" t="s">
        <v>787</v>
      </c>
      <c r="AC106" s="667"/>
      <c r="AD106" s="686">
        <v>1948000</v>
      </c>
      <c r="AE106" s="131" t="s">
        <v>25</v>
      </c>
      <c r="AF106" s="20"/>
    </row>
    <row r="107" spans="1:32" s="11" customFormat="1" ht="21" customHeight="1">
      <c r="A107" s="45"/>
      <c r="B107" s="46"/>
      <c r="C107" s="46"/>
      <c r="D107" s="151"/>
      <c r="E107" s="103"/>
      <c r="F107" s="103"/>
      <c r="G107" s="103"/>
      <c r="H107" s="103"/>
      <c r="I107" s="103"/>
      <c r="J107" s="103"/>
      <c r="K107" s="103"/>
      <c r="L107" s="103"/>
      <c r="M107" s="103"/>
      <c r="N107" s="68"/>
      <c r="O107" s="522" t="s">
        <v>523</v>
      </c>
      <c r="P107" s="522"/>
      <c r="Q107" s="522"/>
      <c r="R107" s="522"/>
      <c r="S107" s="521"/>
      <c r="T107" s="295"/>
      <c r="U107" s="295"/>
      <c r="V107" s="521"/>
      <c r="W107" s="522"/>
      <c r="X107" s="521"/>
      <c r="Y107" s="521"/>
      <c r="Z107" s="521"/>
      <c r="AA107" s="521"/>
      <c r="AB107" s="667" t="s">
        <v>787</v>
      </c>
      <c r="AC107" s="667"/>
      <c r="AD107" s="686">
        <v>430000</v>
      </c>
      <c r="AE107" s="131" t="s">
        <v>25</v>
      </c>
      <c r="AF107" s="20"/>
    </row>
    <row r="108" spans="1:32" s="11" customFormat="1" ht="21" customHeight="1">
      <c r="A108" s="45"/>
      <c r="B108" s="46"/>
      <c r="C108" s="46"/>
      <c r="D108" s="151"/>
      <c r="E108" s="103"/>
      <c r="F108" s="103"/>
      <c r="G108" s="103"/>
      <c r="H108" s="103"/>
      <c r="I108" s="103"/>
      <c r="J108" s="103"/>
      <c r="K108" s="103"/>
      <c r="L108" s="103"/>
      <c r="M108" s="103"/>
      <c r="N108" s="68"/>
      <c r="O108" s="540" t="s">
        <v>559</v>
      </c>
      <c r="P108" s="540"/>
      <c r="Q108" s="540"/>
      <c r="R108" s="540"/>
      <c r="S108" s="539"/>
      <c r="T108" s="295"/>
      <c r="U108" s="295"/>
      <c r="V108" s="308">
        <v>282000</v>
      </c>
      <c r="W108" s="309" t="s">
        <v>549</v>
      </c>
      <c r="X108" s="309" t="s">
        <v>26</v>
      </c>
      <c r="Y108" s="308">
        <v>12</v>
      </c>
      <c r="Z108" s="310" t="s">
        <v>29</v>
      </c>
      <c r="AA108" s="308" t="s">
        <v>27</v>
      </c>
      <c r="AB108" s="667" t="s">
        <v>787</v>
      </c>
      <c r="AC108" s="667"/>
      <c r="AD108" s="686">
        <v>3385000</v>
      </c>
      <c r="AE108" s="131" t="s">
        <v>766</v>
      </c>
      <c r="AF108" s="20"/>
    </row>
    <row r="109" spans="1:32" s="11" customFormat="1" ht="21" customHeight="1">
      <c r="A109" s="45"/>
      <c r="B109" s="46"/>
      <c r="C109" s="46"/>
      <c r="D109" s="151"/>
      <c r="E109" s="103"/>
      <c r="F109" s="103"/>
      <c r="G109" s="103"/>
      <c r="H109" s="103"/>
      <c r="I109" s="103"/>
      <c r="J109" s="103"/>
      <c r="K109" s="103"/>
      <c r="L109" s="103"/>
      <c r="M109" s="103"/>
      <c r="N109" s="68"/>
      <c r="O109" s="682" t="s">
        <v>871</v>
      </c>
      <c r="P109" s="540"/>
      <c r="Q109" s="540"/>
      <c r="R109" s="540"/>
      <c r="S109" s="539"/>
      <c r="T109" s="295"/>
      <c r="U109" s="295"/>
      <c r="V109" s="539"/>
      <c r="W109" s="539"/>
      <c r="X109" s="539"/>
      <c r="Y109" s="539"/>
      <c r="Z109" s="539"/>
      <c r="AA109" s="539"/>
      <c r="AB109" s="667" t="s">
        <v>772</v>
      </c>
      <c r="AC109" s="667"/>
      <c r="AD109" s="686">
        <v>990000</v>
      </c>
      <c r="AE109" s="131" t="s">
        <v>766</v>
      </c>
      <c r="AF109" s="20"/>
    </row>
    <row r="110" spans="1:32" s="11" customFormat="1" ht="21" customHeight="1">
      <c r="A110" s="45"/>
      <c r="B110" s="46"/>
      <c r="C110" s="46"/>
      <c r="D110" s="151"/>
      <c r="E110" s="103"/>
      <c r="F110" s="103"/>
      <c r="G110" s="103"/>
      <c r="H110" s="103"/>
      <c r="I110" s="103"/>
      <c r="J110" s="103"/>
      <c r="K110" s="103"/>
      <c r="L110" s="103"/>
      <c r="M110" s="103"/>
      <c r="N110" s="68"/>
      <c r="O110" s="660" t="s">
        <v>733</v>
      </c>
      <c r="P110" s="551"/>
      <c r="Q110" s="551"/>
      <c r="R110" s="551"/>
      <c r="S110" s="550">
        <v>150000</v>
      </c>
      <c r="T110" s="295" t="s">
        <v>572</v>
      </c>
      <c r="U110" s="295" t="s">
        <v>26</v>
      </c>
      <c r="V110" s="550">
        <v>6</v>
      </c>
      <c r="W110" s="550" t="s">
        <v>573</v>
      </c>
      <c r="X110" s="549" t="s">
        <v>27</v>
      </c>
      <c r="Y110" s="550"/>
      <c r="Z110" s="550"/>
      <c r="AA110" s="549"/>
      <c r="AB110" s="667" t="s">
        <v>772</v>
      </c>
      <c r="AC110" s="667"/>
      <c r="AD110" s="686">
        <f>S110*V110</f>
        <v>900000</v>
      </c>
      <c r="AE110" s="402" t="s">
        <v>766</v>
      </c>
      <c r="AF110" s="20"/>
    </row>
    <row r="111" spans="1:32" s="11" customFormat="1" ht="21" customHeight="1">
      <c r="A111" s="45"/>
      <c r="B111" s="46"/>
      <c r="C111" s="46"/>
      <c r="D111" s="151"/>
      <c r="E111" s="103"/>
      <c r="F111" s="103"/>
      <c r="G111" s="103"/>
      <c r="H111" s="103"/>
      <c r="I111" s="103"/>
      <c r="J111" s="103"/>
      <c r="K111" s="103"/>
      <c r="L111" s="103"/>
      <c r="M111" s="103"/>
      <c r="N111" s="68"/>
      <c r="O111" s="660" t="s">
        <v>734</v>
      </c>
      <c r="P111" s="638"/>
      <c r="Q111" s="638"/>
      <c r="R111" s="638"/>
      <c r="S111" s="637"/>
      <c r="T111" s="295"/>
      <c r="U111" s="295"/>
      <c r="V111" s="637"/>
      <c r="W111" s="638"/>
      <c r="X111" s="637"/>
      <c r="Y111" s="637"/>
      <c r="Z111" s="637"/>
      <c r="AA111" s="637"/>
      <c r="AB111" s="667" t="s">
        <v>772</v>
      </c>
      <c r="AC111" s="667"/>
      <c r="AD111" s="667">
        <v>0</v>
      </c>
      <c r="AE111" s="131" t="s">
        <v>766</v>
      </c>
      <c r="AF111" s="20"/>
    </row>
    <row r="112" spans="1:32" s="11" customFormat="1" ht="21" customHeight="1">
      <c r="A112" s="45"/>
      <c r="B112" s="46"/>
      <c r="C112" s="46"/>
      <c r="D112" s="151"/>
      <c r="E112" s="103"/>
      <c r="F112" s="103"/>
      <c r="G112" s="103"/>
      <c r="H112" s="103"/>
      <c r="I112" s="103"/>
      <c r="J112" s="103"/>
      <c r="K112" s="103"/>
      <c r="L112" s="103"/>
      <c r="M112" s="103"/>
      <c r="N112" s="68"/>
      <c r="O112" s="660" t="s">
        <v>735</v>
      </c>
      <c r="P112" s="375"/>
      <c r="Q112" s="375"/>
      <c r="R112" s="375"/>
      <c r="S112" s="374"/>
      <c r="T112" s="295"/>
      <c r="U112" s="374"/>
      <c r="V112" s="374"/>
      <c r="W112" s="375"/>
      <c r="X112" s="374"/>
      <c r="Y112" s="374"/>
      <c r="Z112" s="374"/>
      <c r="AA112" s="374"/>
      <c r="AB112" s="374" t="s">
        <v>151</v>
      </c>
      <c r="AC112" s="374"/>
      <c r="AD112" s="374">
        <f>SUM(AD113:AD115)</f>
        <v>1038000</v>
      </c>
      <c r="AE112" s="131" t="s">
        <v>244</v>
      </c>
      <c r="AF112" s="1"/>
    </row>
    <row r="113" spans="1:32" s="11" customFormat="1" ht="21" customHeight="1">
      <c r="A113" s="45"/>
      <c r="B113" s="46"/>
      <c r="C113" s="46"/>
      <c r="D113" s="151"/>
      <c r="E113" s="103"/>
      <c r="F113" s="103"/>
      <c r="G113" s="103"/>
      <c r="H113" s="103"/>
      <c r="I113" s="103"/>
      <c r="J113" s="103"/>
      <c r="K113" s="103"/>
      <c r="L113" s="103"/>
      <c r="M113" s="103"/>
      <c r="N113" s="68"/>
      <c r="O113" s="310" t="s">
        <v>576</v>
      </c>
      <c r="P113" s="310"/>
      <c r="Q113" s="310"/>
      <c r="R113" s="310"/>
      <c r="S113" s="308">
        <v>44000</v>
      </c>
      <c r="T113" s="309" t="s">
        <v>575</v>
      </c>
      <c r="U113" s="309" t="s">
        <v>26</v>
      </c>
      <c r="V113" s="308">
        <v>12</v>
      </c>
      <c r="W113" s="310" t="s">
        <v>29</v>
      </c>
      <c r="X113" s="308" t="s">
        <v>27</v>
      </c>
      <c r="Y113" s="308"/>
      <c r="Z113" s="308"/>
      <c r="AA113" s="308"/>
      <c r="AB113" s="308"/>
      <c r="AC113" s="308"/>
      <c r="AD113" s="550">
        <f>S113*V113</f>
        <v>528000</v>
      </c>
      <c r="AE113" s="402" t="s">
        <v>575</v>
      </c>
      <c r="AF113" s="1"/>
    </row>
    <row r="114" spans="1:32" s="11" customFormat="1" ht="21" customHeight="1">
      <c r="A114" s="45"/>
      <c r="B114" s="46"/>
      <c r="C114" s="46"/>
      <c r="D114" s="151"/>
      <c r="E114" s="103"/>
      <c r="F114" s="103"/>
      <c r="G114" s="103"/>
      <c r="H114" s="103"/>
      <c r="I114" s="103"/>
      <c r="J114" s="103"/>
      <c r="K114" s="103"/>
      <c r="L114" s="103"/>
      <c r="M114" s="103"/>
      <c r="N114" s="68"/>
      <c r="O114" s="310" t="s">
        <v>577</v>
      </c>
      <c r="P114" s="310"/>
      <c r="Q114" s="310"/>
      <c r="R114" s="310"/>
      <c r="S114" s="308">
        <v>40000</v>
      </c>
      <c r="T114" s="309" t="s">
        <v>575</v>
      </c>
      <c r="U114" s="309" t="s">
        <v>26</v>
      </c>
      <c r="V114" s="308">
        <v>12</v>
      </c>
      <c r="W114" s="310" t="s">
        <v>29</v>
      </c>
      <c r="X114" s="308" t="s">
        <v>27</v>
      </c>
      <c r="Y114" s="308"/>
      <c r="Z114" s="308"/>
      <c r="AA114" s="308"/>
      <c r="AB114" s="308"/>
      <c r="AC114" s="308"/>
      <c r="AD114" s="550">
        <f>S114*V114</f>
        <v>480000</v>
      </c>
      <c r="AE114" s="402" t="s">
        <v>575</v>
      </c>
      <c r="AF114" s="1"/>
    </row>
    <row r="115" spans="1:32" s="11" customFormat="1" ht="21" customHeight="1">
      <c r="A115" s="45"/>
      <c r="B115" s="46"/>
      <c r="C115" s="59"/>
      <c r="D115" s="152"/>
      <c r="E115" s="105"/>
      <c r="F115" s="105"/>
      <c r="G115" s="105"/>
      <c r="H115" s="105"/>
      <c r="I115" s="105"/>
      <c r="J115" s="105"/>
      <c r="K115" s="105"/>
      <c r="L115" s="105"/>
      <c r="M115" s="105"/>
      <c r="N115" s="82"/>
      <c r="O115" s="555" t="s">
        <v>578</v>
      </c>
      <c r="P115" s="555"/>
      <c r="Q115" s="555"/>
      <c r="R115" s="555"/>
      <c r="S115" s="555"/>
      <c r="T115" s="555"/>
      <c r="U115" s="555"/>
      <c r="V115" s="555"/>
      <c r="W115" s="555"/>
      <c r="X115" s="555"/>
      <c r="Y115" s="555"/>
      <c r="Z115" s="555"/>
      <c r="AA115" s="555"/>
      <c r="AB115" s="555"/>
      <c r="AC115" s="555"/>
      <c r="AD115" s="556">
        <v>30000</v>
      </c>
      <c r="AE115" s="557" t="s">
        <v>575</v>
      </c>
      <c r="AF115" s="1"/>
    </row>
    <row r="116" spans="1:32" s="11" customFormat="1" ht="21" customHeight="1">
      <c r="A116" s="45"/>
      <c r="B116" s="46"/>
      <c r="C116" s="46" t="s">
        <v>39</v>
      </c>
      <c r="D116" s="151">
        <v>35493</v>
      </c>
      <c r="E116" s="103">
        <f>ROUND(AD116/1000,0)</f>
        <v>33771</v>
      </c>
      <c r="F116" s="108">
        <f>SUMIF($AB$117:$AB$123,"보조",$AD$117:$AD$123)/1000</f>
        <v>28415</v>
      </c>
      <c r="G116" s="108">
        <f>SUMIF($AB$117:$AB$123,"7종",$AD$117:$AD$123)/1000</f>
        <v>0</v>
      </c>
      <c r="H116" s="108">
        <f>SUMIF($AB$117:$AB$123,"4종",$AD$117:$AD$123)/1000</f>
        <v>0</v>
      </c>
      <c r="I116" s="108">
        <f>SUMIF($AB$117:$AB$123,"후원",$AD$117:$AD$123)/1000</f>
        <v>5356</v>
      </c>
      <c r="J116" s="108">
        <f>SUMIF($AB$117:$AB$123,"입소",$AD$117:$AD$123)/1000</f>
        <v>0</v>
      </c>
      <c r="K116" s="108">
        <f>SUMIF($AB$117:$AB$123,"법인",$AD$117:$AD$123)/1000</f>
        <v>0</v>
      </c>
      <c r="L116" s="108">
        <f>SUMIF($AB$117:$AB$123,"잡수",$AD$117:$AD$123)/1000</f>
        <v>0</v>
      </c>
      <c r="M116" s="691">
        <f>E116-D116</f>
        <v>-1722</v>
      </c>
      <c r="N116" s="68">
        <f>IF(D116=0,0,M116/D116)</f>
        <v>-4.8516608908798921E-2</v>
      </c>
      <c r="O116" s="338" t="s">
        <v>43</v>
      </c>
      <c r="P116" s="339"/>
      <c r="Q116" s="339"/>
      <c r="R116" s="339"/>
      <c r="S116" s="339"/>
      <c r="T116" s="340"/>
      <c r="U116" s="340"/>
      <c r="V116" s="340"/>
      <c r="W116" s="340"/>
      <c r="X116" s="340"/>
      <c r="Y116" s="341" t="s">
        <v>205</v>
      </c>
      <c r="Z116" s="341"/>
      <c r="AA116" s="341"/>
      <c r="AB116" s="341"/>
      <c r="AC116" s="342"/>
      <c r="AD116" s="342">
        <f>ROUND(SUM(AD117:AD122),-3)</f>
        <v>33771000</v>
      </c>
      <c r="AE116" s="343" t="s">
        <v>25</v>
      </c>
      <c r="AF116" s="1"/>
    </row>
    <row r="117" spans="1:32" s="11" customFormat="1" ht="21" customHeight="1">
      <c r="A117" s="45"/>
      <c r="B117" s="46"/>
      <c r="C117" s="46"/>
      <c r="D117" s="151"/>
      <c r="E117" s="103"/>
      <c r="F117" s="103"/>
      <c r="G117" s="103"/>
      <c r="H117" s="103"/>
      <c r="I117" s="103"/>
      <c r="J117" s="103"/>
      <c r="K117" s="103"/>
      <c r="L117" s="103"/>
      <c r="M117" s="103"/>
      <c r="N117" s="68"/>
      <c r="O117" s="344" t="s">
        <v>292</v>
      </c>
      <c r="P117" s="277"/>
      <c r="Q117" s="277"/>
      <c r="R117" s="277"/>
      <c r="S117" s="275">
        <v>100000</v>
      </c>
      <c r="T117" s="346" t="s">
        <v>25</v>
      </c>
      <c r="U117" s="346" t="s">
        <v>26</v>
      </c>
      <c r="V117" s="345">
        <v>12</v>
      </c>
      <c r="W117" s="347" t="s">
        <v>29</v>
      </c>
      <c r="X117" s="345" t="s">
        <v>27</v>
      </c>
      <c r="Y117" s="275"/>
      <c r="Z117" s="275"/>
      <c r="AA117" s="275"/>
      <c r="AB117" s="275" t="s">
        <v>212</v>
      </c>
      <c r="AC117" s="275"/>
      <c r="AD117" s="275">
        <f>S117*V117</f>
        <v>1200000</v>
      </c>
      <c r="AE117" s="301" t="s">
        <v>25</v>
      </c>
      <c r="AF117" s="1"/>
    </row>
    <row r="118" spans="1:32" s="11" customFormat="1" ht="21" customHeight="1">
      <c r="A118" s="45"/>
      <c r="B118" s="46"/>
      <c r="C118" s="46"/>
      <c r="D118" s="151"/>
      <c r="E118" s="103"/>
      <c r="F118" s="103"/>
      <c r="G118" s="103"/>
      <c r="H118" s="103"/>
      <c r="I118" s="103"/>
      <c r="J118" s="103"/>
      <c r="K118" s="103"/>
      <c r="L118" s="103"/>
      <c r="M118" s="103"/>
      <c r="N118" s="68"/>
      <c r="O118" s="277" t="s">
        <v>291</v>
      </c>
      <c r="P118" s="277"/>
      <c r="Q118" s="277"/>
      <c r="R118" s="277"/>
      <c r="S118" s="275">
        <v>1250000</v>
      </c>
      <c r="T118" s="337" t="s">
        <v>199</v>
      </c>
      <c r="U118" s="337" t="s">
        <v>26</v>
      </c>
      <c r="V118" s="275">
        <v>12</v>
      </c>
      <c r="W118" s="277" t="s">
        <v>203</v>
      </c>
      <c r="X118" s="275" t="s">
        <v>27</v>
      </c>
      <c r="Y118" s="275"/>
      <c r="Z118" s="275"/>
      <c r="AA118" s="275"/>
      <c r="AB118" s="275" t="s">
        <v>212</v>
      </c>
      <c r="AC118" s="275"/>
      <c r="AD118" s="275">
        <f>S118*V118</f>
        <v>15000000</v>
      </c>
      <c r="AE118" s="301" t="s">
        <v>25</v>
      </c>
      <c r="AF118" s="1"/>
    </row>
    <row r="119" spans="1:32" s="14" customFormat="1" ht="21" customHeight="1">
      <c r="A119" s="45"/>
      <c r="B119" s="46"/>
      <c r="C119" s="46"/>
      <c r="D119" s="151"/>
      <c r="E119" s="103"/>
      <c r="F119" s="103"/>
      <c r="G119" s="103"/>
      <c r="H119" s="103"/>
      <c r="I119" s="103"/>
      <c r="J119" s="103"/>
      <c r="K119" s="103"/>
      <c r="L119" s="103"/>
      <c r="M119" s="103"/>
      <c r="N119" s="68"/>
      <c r="O119" s="277" t="s">
        <v>288</v>
      </c>
      <c r="P119" s="277"/>
      <c r="Q119" s="277"/>
      <c r="R119" s="277"/>
      <c r="S119" s="275">
        <v>750000</v>
      </c>
      <c r="T119" s="337" t="s">
        <v>199</v>
      </c>
      <c r="U119" s="337" t="s">
        <v>26</v>
      </c>
      <c r="V119" s="275">
        <v>11</v>
      </c>
      <c r="W119" s="277" t="s">
        <v>203</v>
      </c>
      <c r="X119" s="275" t="s">
        <v>27</v>
      </c>
      <c r="Y119" s="275"/>
      <c r="Z119" s="275"/>
      <c r="AA119" s="275"/>
      <c r="AB119" s="275" t="s">
        <v>212</v>
      </c>
      <c r="AC119" s="275"/>
      <c r="AD119" s="275">
        <f>S119*V119</f>
        <v>8250000</v>
      </c>
      <c r="AE119" s="301" t="s">
        <v>25</v>
      </c>
      <c r="AF119" s="4"/>
    </row>
    <row r="120" spans="1:32" s="14" customFormat="1" ht="21" customHeight="1">
      <c r="A120" s="45"/>
      <c r="B120" s="46"/>
      <c r="C120" s="46"/>
      <c r="D120" s="151"/>
      <c r="E120" s="103"/>
      <c r="F120" s="103"/>
      <c r="G120" s="103"/>
      <c r="H120" s="103"/>
      <c r="I120" s="103"/>
      <c r="J120" s="103"/>
      <c r="K120" s="103"/>
      <c r="L120" s="103"/>
      <c r="M120" s="103"/>
      <c r="N120" s="68"/>
      <c r="O120" s="277" t="s">
        <v>293</v>
      </c>
      <c r="P120" s="375"/>
      <c r="Q120" s="375"/>
      <c r="R120" s="375"/>
      <c r="S120" s="275">
        <v>60500</v>
      </c>
      <c r="T120" s="337" t="s">
        <v>56</v>
      </c>
      <c r="U120" s="337" t="s">
        <v>26</v>
      </c>
      <c r="V120" s="275">
        <v>12</v>
      </c>
      <c r="W120" s="277" t="s">
        <v>156</v>
      </c>
      <c r="X120" s="275" t="s">
        <v>27</v>
      </c>
      <c r="Y120" s="275"/>
      <c r="Z120" s="275"/>
      <c r="AA120" s="275"/>
      <c r="AB120" s="275" t="s">
        <v>75</v>
      </c>
      <c r="AC120" s="275"/>
      <c r="AD120" s="275">
        <f>S120*V120-1000</f>
        <v>725000</v>
      </c>
      <c r="AE120" s="301" t="s">
        <v>25</v>
      </c>
      <c r="AF120" s="4"/>
    </row>
    <row r="121" spans="1:32" s="14" customFormat="1" ht="21" customHeight="1">
      <c r="A121" s="45"/>
      <c r="B121" s="46"/>
      <c r="C121" s="46"/>
      <c r="D121" s="151"/>
      <c r="E121" s="103"/>
      <c r="F121" s="103"/>
      <c r="G121" s="103"/>
      <c r="H121" s="103"/>
      <c r="I121" s="103"/>
      <c r="J121" s="103"/>
      <c r="K121" s="103"/>
      <c r="L121" s="103"/>
      <c r="M121" s="103"/>
      <c r="N121" s="68"/>
      <c r="O121" s="540" t="s">
        <v>555</v>
      </c>
      <c r="P121" s="540"/>
      <c r="Q121" s="540"/>
      <c r="R121" s="540"/>
      <c r="S121" s="308">
        <v>270000</v>
      </c>
      <c r="T121" s="309" t="s">
        <v>556</v>
      </c>
      <c r="U121" s="309" t="s">
        <v>26</v>
      </c>
      <c r="V121" s="308">
        <v>12</v>
      </c>
      <c r="W121" s="310" t="s">
        <v>29</v>
      </c>
      <c r="X121" s="308" t="s">
        <v>27</v>
      </c>
      <c r="Y121" s="308"/>
      <c r="Z121" s="310"/>
      <c r="AA121" s="308"/>
      <c r="AB121" s="539" t="s">
        <v>557</v>
      </c>
      <c r="AC121" s="539"/>
      <c r="AD121" s="539">
        <f>S121*V121</f>
        <v>3240000</v>
      </c>
      <c r="AE121" s="131" t="s">
        <v>556</v>
      </c>
      <c r="AF121" s="4"/>
    </row>
    <row r="122" spans="1:32" s="14" customFormat="1" ht="21" customHeight="1">
      <c r="A122" s="45"/>
      <c r="B122" s="46"/>
      <c r="C122" s="46"/>
      <c r="D122" s="151"/>
      <c r="E122" s="103"/>
      <c r="F122" s="103"/>
      <c r="G122" s="103"/>
      <c r="H122" s="103"/>
      <c r="I122" s="103"/>
      <c r="J122" s="103"/>
      <c r="K122" s="103"/>
      <c r="L122" s="103"/>
      <c r="M122" s="103"/>
      <c r="N122" s="68"/>
      <c r="O122" s="687" t="s">
        <v>883</v>
      </c>
      <c r="P122" s="638"/>
      <c r="Q122" s="638"/>
      <c r="R122" s="638"/>
      <c r="S122" s="637"/>
      <c r="T122" s="295"/>
      <c r="U122" s="295"/>
      <c r="V122" s="637"/>
      <c r="W122" s="638"/>
      <c r="X122" s="637"/>
      <c r="Y122" s="637"/>
      <c r="Z122" s="637"/>
      <c r="AA122" s="637"/>
      <c r="AB122" s="667" t="s">
        <v>772</v>
      </c>
      <c r="AC122" s="667"/>
      <c r="AD122" s="667">
        <v>5356000</v>
      </c>
      <c r="AE122" s="131" t="s">
        <v>766</v>
      </c>
      <c r="AF122" s="4"/>
    </row>
    <row r="123" spans="1:32" s="14" customFormat="1" ht="21" customHeight="1">
      <c r="A123" s="45"/>
      <c r="B123" s="46"/>
      <c r="C123" s="46"/>
      <c r="D123" s="151"/>
      <c r="E123" s="103"/>
      <c r="F123" s="103"/>
      <c r="G123" s="103"/>
      <c r="H123" s="103"/>
      <c r="I123" s="103"/>
      <c r="J123" s="103"/>
      <c r="K123" s="103"/>
      <c r="L123" s="103"/>
      <c r="M123" s="103"/>
      <c r="N123" s="68"/>
      <c r="O123" s="114"/>
      <c r="P123" s="50"/>
      <c r="Q123" s="50"/>
      <c r="R123" s="50"/>
      <c r="S123" s="51"/>
      <c r="T123" s="55"/>
      <c r="U123" s="55"/>
      <c r="V123" s="51"/>
      <c r="W123" s="50"/>
      <c r="X123" s="51"/>
      <c r="Y123" s="51"/>
      <c r="Z123" s="51"/>
      <c r="AA123" s="51"/>
      <c r="AB123" s="136"/>
      <c r="AC123" s="51"/>
      <c r="AD123" s="51"/>
      <c r="AE123" s="57"/>
      <c r="AF123" s="4"/>
    </row>
    <row r="124" spans="1:32" ht="21" customHeight="1">
      <c r="A124" s="45"/>
      <c r="B124" s="46"/>
      <c r="C124" s="36" t="s">
        <v>15</v>
      </c>
      <c r="D124" s="153">
        <v>10574</v>
      </c>
      <c r="E124" s="107">
        <f>ROUND(AD124/1000,0)</f>
        <v>10130</v>
      </c>
      <c r="F124" s="108">
        <f>SUMIF($AB$125:$AB$135,"보조",$AD$125:$AD$135)/1000</f>
        <v>9830</v>
      </c>
      <c r="G124" s="108">
        <f>SUMIF($AB$125:$AB$135,"7종",$AD$125:$AD$135)/1000</f>
        <v>0</v>
      </c>
      <c r="H124" s="108">
        <f>SUMIF($AB$125:$AB$135,"4종",$AD$125:$AD$135)/1000</f>
        <v>0</v>
      </c>
      <c r="I124" s="108">
        <f>SUMIF($AB$125:$AB$135,"후원",$AD$125:$AD$135)/1000</f>
        <v>300</v>
      </c>
      <c r="J124" s="108">
        <f>SUMIF($AB$125:$AB$135,"입소",$AD$125:$AD$135)/1000</f>
        <v>0</v>
      </c>
      <c r="K124" s="108">
        <f>SUMIF($AB$125:$AB$135,"법인",$AD$125:$AD$135)/1000</f>
        <v>0</v>
      </c>
      <c r="L124" s="108">
        <f>SUMIF($AB$125:$AB$135,"잡수",$AD$125:$AD$135)/1000</f>
        <v>0</v>
      </c>
      <c r="M124" s="659">
        <f>E124-D124</f>
        <v>-444</v>
      </c>
      <c r="N124" s="115">
        <f>IF(D124=0,0,M124/D124)</f>
        <v>-4.1989786268205029E-2</v>
      </c>
      <c r="O124" s="348" t="s">
        <v>44</v>
      </c>
      <c r="P124" s="349"/>
      <c r="Q124" s="349"/>
      <c r="R124" s="349"/>
      <c r="S124" s="349"/>
      <c r="T124" s="350"/>
      <c r="U124" s="350"/>
      <c r="V124" s="350"/>
      <c r="W124" s="350"/>
      <c r="X124" s="350"/>
      <c r="Y124" s="341" t="s">
        <v>205</v>
      </c>
      <c r="Z124" s="341"/>
      <c r="AA124" s="341"/>
      <c r="AB124" s="341"/>
      <c r="AC124" s="342"/>
      <c r="AD124" s="342">
        <f>SUM(AD126:AD134)</f>
        <v>10130000</v>
      </c>
      <c r="AE124" s="343" t="s">
        <v>25</v>
      </c>
    </row>
    <row r="125" spans="1:32" s="11" customFormat="1" ht="21" customHeight="1">
      <c r="A125" s="45"/>
      <c r="B125" s="46"/>
      <c r="C125" s="46"/>
      <c r="D125" s="151"/>
      <c r="E125" s="103"/>
      <c r="F125" s="103"/>
      <c r="G125" s="103"/>
      <c r="H125" s="103"/>
      <c r="I125" s="103"/>
      <c r="J125" s="103"/>
      <c r="K125" s="103"/>
      <c r="L125" s="103"/>
      <c r="M125" s="103"/>
      <c r="N125" s="68"/>
      <c r="O125" s="277" t="s">
        <v>206</v>
      </c>
      <c r="P125" s="277"/>
      <c r="Q125" s="277"/>
      <c r="R125" s="277"/>
      <c r="S125" s="277"/>
      <c r="T125" s="275"/>
      <c r="U125" s="275"/>
      <c r="V125" s="275"/>
      <c r="W125" s="275"/>
      <c r="X125" s="275"/>
      <c r="Y125" s="275"/>
      <c r="Z125" s="275"/>
      <c r="AA125" s="275"/>
      <c r="AB125" s="275"/>
      <c r="AC125" s="278"/>
      <c r="AD125" s="278"/>
      <c r="AE125" s="301"/>
      <c r="AF125" s="1"/>
    </row>
    <row r="126" spans="1:32" s="11" customFormat="1" ht="21" customHeight="1">
      <c r="A126" s="45"/>
      <c r="B126" s="46"/>
      <c r="C126" s="46"/>
      <c r="D126" s="151"/>
      <c r="E126" s="103"/>
      <c r="F126" s="103"/>
      <c r="G126" s="103"/>
      <c r="H126" s="103"/>
      <c r="I126" s="103"/>
      <c r="J126" s="103"/>
      <c r="K126" s="103"/>
      <c r="L126" s="103"/>
      <c r="M126" s="103"/>
      <c r="N126" s="68"/>
      <c r="O126" s="277" t="s">
        <v>207</v>
      </c>
      <c r="P126" s="351"/>
      <c r="Q126" s="351"/>
      <c r="R126" s="351"/>
      <c r="S126" s="275">
        <v>120000</v>
      </c>
      <c r="T126" s="337" t="s">
        <v>199</v>
      </c>
      <c r="U126" s="337" t="s">
        <v>26</v>
      </c>
      <c r="V126" s="275">
        <v>12</v>
      </c>
      <c r="W126" s="277" t="s">
        <v>203</v>
      </c>
      <c r="X126" s="275" t="s">
        <v>27</v>
      </c>
      <c r="Y126" s="275"/>
      <c r="Z126" s="275"/>
      <c r="AA126" s="275"/>
      <c r="AB126" s="275" t="s">
        <v>290</v>
      </c>
      <c r="AC126" s="275"/>
      <c r="AD126" s="275">
        <f>S126*V126</f>
        <v>1440000</v>
      </c>
      <c r="AE126" s="131" t="s">
        <v>25</v>
      </c>
      <c r="AF126" s="1"/>
    </row>
    <row r="127" spans="1:32" s="11" customFormat="1" ht="21" customHeight="1">
      <c r="A127" s="45"/>
      <c r="B127" s="46"/>
      <c r="C127" s="46"/>
      <c r="D127" s="151"/>
      <c r="E127" s="103"/>
      <c r="F127" s="103"/>
      <c r="G127" s="103"/>
      <c r="H127" s="103"/>
      <c r="I127" s="103"/>
      <c r="J127" s="103"/>
      <c r="K127" s="103"/>
      <c r="L127" s="103"/>
      <c r="M127" s="103"/>
      <c r="N127" s="68"/>
      <c r="O127" s="277" t="s">
        <v>208</v>
      </c>
      <c r="P127" s="351"/>
      <c r="Q127" s="351"/>
      <c r="R127" s="351"/>
      <c r="S127" s="275">
        <v>120000</v>
      </c>
      <c r="T127" s="337" t="s">
        <v>56</v>
      </c>
      <c r="U127" s="337" t="s">
        <v>26</v>
      </c>
      <c r="V127" s="275">
        <v>12</v>
      </c>
      <c r="W127" s="277" t="s">
        <v>156</v>
      </c>
      <c r="X127" s="275" t="s">
        <v>27</v>
      </c>
      <c r="Y127" s="275"/>
      <c r="Z127" s="275"/>
      <c r="AA127" s="275"/>
      <c r="AB127" s="275" t="s">
        <v>290</v>
      </c>
      <c r="AC127" s="275"/>
      <c r="AD127" s="275">
        <f>S127*V127</f>
        <v>1440000</v>
      </c>
      <c r="AE127" s="131" t="s">
        <v>25</v>
      </c>
      <c r="AF127" s="1"/>
    </row>
    <row r="128" spans="1:32" s="11" customFormat="1" ht="21" customHeight="1">
      <c r="A128" s="45"/>
      <c r="B128" s="46"/>
      <c r="C128" s="46"/>
      <c r="D128" s="151"/>
      <c r="E128" s="103"/>
      <c r="F128" s="103"/>
      <c r="G128" s="103"/>
      <c r="H128" s="103"/>
      <c r="I128" s="103"/>
      <c r="J128" s="103"/>
      <c r="K128" s="103"/>
      <c r="L128" s="103"/>
      <c r="M128" s="103"/>
      <c r="N128" s="68"/>
      <c r="O128" s="277" t="s">
        <v>294</v>
      </c>
      <c r="P128" s="351"/>
      <c r="Q128" s="351"/>
      <c r="R128" s="351"/>
      <c r="S128" s="275">
        <v>100000</v>
      </c>
      <c r="T128" s="337" t="s">
        <v>199</v>
      </c>
      <c r="U128" s="337" t="s">
        <v>26</v>
      </c>
      <c r="V128" s="275">
        <v>1</v>
      </c>
      <c r="W128" s="277" t="s">
        <v>203</v>
      </c>
      <c r="X128" s="275" t="s">
        <v>27</v>
      </c>
      <c r="Y128" s="275"/>
      <c r="Z128" s="275"/>
      <c r="AA128" s="275"/>
      <c r="AB128" s="275" t="s">
        <v>75</v>
      </c>
      <c r="AC128" s="275"/>
      <c r="AD128" s="425">
        <f>S128*V128</f>
        <v>100000</v>
      </c>
      <c r="AE128" s="131" t="s">
        <v>25</v>
      </c>
      <c r="AF128" s="1"/>
    </row>
    <row r="129" spans="1:32" s="11" customFormat="1" ht="21" customHeight="1">
      <c r="A129" s="45"/>
      <c r="B129" s="46"/>
      <c r="C129" s="46"/>
      <c r="D129" s="151"/>
      <c r="E129" s="103"/>
      <c r="F129" s="103"/>
      <c r="G129" s="103"/>
      <c r="H129" s="103"/>
      <c r="I129" s="103"/>
      <c r="J129" s="103"/>
      <c r="K129" s="103"/>
      <c r="L129" s="103"/>
      <c r="M129" s="103"/>
      <c r="N129" s="68"/>
      <c r="O129" s="277"/>
      <c r="P129" s="351"/>
      <c r="Q129" s="351"/>
      <c r="R129" s="351"/>
      <c r="S129" s="351"/>
      <c r="T129" s="278"/>
      <c r="U129" s="352"/>
      <c r="V129" s="277"/>
      <c r="W129" s="337"/>
      <c r="X129" s="275"/>
      <c r="Y129" s="275"/>
      <c r="Z129" s="275"/>
      <c r="AA129" s="277"/>
      <c r="AB129" s="277"/>
      <c r="AC129" s="275"/>
      <c r="AD129" s="275"/>
      <c r="AE129" s="131"/>
      <c r="AF129" s="1"/>
    </row>
    <row r="130" spans="1:32" s="11" customFormat="1" ht="21" customHeight="1">
      <c r="A130" s="45"/>
      <c r="B130" s="46"/>
      <c r="C130" s="46"/>
      <c r="D130" s="151"/>
      <c r="E130" s="103"/>
      <c r="F130" s="103"/>
      <c r="G130" s="103"/>
      <c r="H130" s="103"/>
      <c r="I130" s="103"/>
      <c r="J130" s="103"/>
      <c r="K130" s="103"/>
      <c r="L130" s="103"/>
      <c r="M130" s="103"/>
      <c r="N130" s="68"/>
      <c r="O130" s="757" t="s">
        <v>209</v>
      </c>
      <c r="P130" s="757"/>
      <c r="Q130" s="757"/>
      <c r="R130" s="757"/>
      <c r="S130" s="757"/>
      <c r="T130" s="277"/>
      <c r="U130" s="275"/>
      <c r="V130" s="277"/>
      <c r="W130" s="337"/>
      <c r="X130" s="275"/>
      <c r="Y130" s="275"/>
      <c r="Z130" s="275"/>
      <c r="AA130" s="277"/>
      <c r="AB130" s="277"/>
      <c r="AC130" s="275"/>
      <c r="AD130" s="275"/>
      <c r="AE130" s="131"/>
      <c r="AF130" s="1"/>
    </row>
    <row r="131" spans="1:32" s="11" customFormat="1" ht="21" customHeight="1">
      <c r="A131" s="45"/>
      <c r="B131" s="46"/>
      <c r="C131" s="46"/>
      <c r="D131" s="151"/>
      <c r="E131" s="103"/>
      <c r="F131" s="103"/>
      <c r="G131" s="103"/>
      <c r="H131" s="103"/>
      <c r="I131" s="103"/>
      <c r="J131" s="103"/>
      <c r="K131" s="103"/>
      <c r="L131" s="103"/>
      <c r="M131" s="103"/>
      <c r="N131" s="68"/>
      <c r="O131" s="682" t="s">
        <v>869</v>
      </c>
      <c r="P131" s="396"/>
      <c r="Q131" s="396"/>
      <c r="R131" s="396"/>
      <c r="S131" s="551"/>
      <c r="T131" s="130"/>
      <c r="U131" s="397"/>
      <c r="V131" s="551"/>
      <c r="W131" s="295"/>
      <c r="X131" s="550"/>
      <c r="Y131" s="550"/>
      <c r="Z131" s="550"/>
      <c r="AA131" s="551"/>
      <c r="AB131" s="551" t="s">
        <v>579</v>
      </c>
      <c r="AC131" s="550"/>
      <c r="AD131" s="686">
        <v>6150000</v>
      </c>
      <c r="AE131" s="131" t="s">
        <v>25</v>
      </c>
      <c r="AF131" s="1"/>
    </row>
    <row r="132" spans="1:32" s="11" customFormat="1" ht="21" customHeight="1">
      <c r="A132" s="45"/>
      <c r="B132" s="46"/>
      <c r="C132" s="46"/>
      <c r="D132" s="151"/>
      <c r="E132" s="103"/>
      <c r="F132" s="103"/>
      <c r="G132" s="103"/>
      <c r="H132" s="103"/>
      <c r="I132" s="103"/>
      <c r="J132" s="103"/>
      <c r="K132" s="103"/>
      <c r="L132" s="103"/>
      <c r="M132" s="103"/>
      <c r="N132" s="68"/>
      <c r="O132" s="551" t="s">
        <v>580</v>
      </c>
      <c r="P132" s="558"/>
      <c r="Q132" s="558"/>
      <c r="R132" s="558"/>
      <c r="S132" s="558"/>
      <c r="T132" s="558"/>
      <c r="U132" s="558"/>
      <c r="V132" s="558"/>
      <c r="W132" s="558"/>
      <c r="X132" s="558"/>
      <c r="Y132" s="550"/>
      <c r="Z132" s="550"/>
      <c r="AA132" s="551"/>
      <c r="AB132" s="551" t="s">
        <v>579</v>
      </c>
      <c r="AC132" s="550"/>
      <c r="AD132" s="550">
        <v>700000</v>
      </c>
      <c r="AE132" s="131" t="s">
        <v>25</v>
      </c>
      <c r="AF132" s="1"/>
    </row>
    <row r="133" spans="1:32" s="11" customFormat="1" ht="21" customHeight="1">
      <c r="A133" s="45"/>
      <c r="B133" s="46"/>
      <c r="C133" s="46"/>
      <c r="D133" s="151"/>
      <c r="E133" s="103"/>
      <c r="F133" s="103"/>
      <c r="G133" s="103"/>
      <c r="H133" s="103"/>
      <c r="I133" s="103"/>
      <c r="J133" s="103"/>
      <c r="K133" s="103"/>
      <c r="L133" s="103"/>
      <c r="M133" s="103"/>
      <c r="N133" s="68"/>
      <c r="O133" s="571" t="s">
        <v>630</v>
      </c>
      <c r="P133" s="396"/>
      <c r="Q133" s="396"/>
      <c r="R133" s="396"/>
      <c r="S133" s="571"/>
      <c r="T133" s="130"/>
      <c r="U133" s="397"/>
      <c r="V133" s="571"/>
      <c r="W133" s="295"/>
      <c r="X133" s="570"/>
      <c r="Y133" s="570"/>
      <c r="Z133" s="570"/>
      <c r="AA133" s="571"/>
      <c r="AB133" s="571" t="s">
        <v>629</v>
      </c>
      <c r="AC133" s="570"/>
      <c r="AD133" s="570">
        <v>0</v>
      </c>
      <c r="AE133" s="131" t="s">
        <v>653</v>
      </c>
      <c r="AF133" s="1"/>
    </row>
    <row r="134" spans="1:32" s="11" customFormat="1" ht="21" customHeight="1">
      <c r="A134" s="45"/>
      <c r="B134" s="46"/>
      <c r="C134" s="46"/>
      <c r="D134" s="151"/>
      <c r="E134" s="103"/>
      <c r="F134" s="103"/>
      <c r="G134" s="103"/>
      <c r="H134" s="103"/>
      <c r="I134" s="103"/>
      <c r="J134" s="103"/>
      <c r="K134" s="103"/>
      <c r="L134" s="103"/>
      <c r="M134" s="103"/>
      <c r="N134" s="68"/>
      <c r="O134" s="623" t="s">
        <v>692</v>
      </c>
      <c r="P134" s="396"/>
      <c r="Q134" s="396"/>
      <c r="R134" s="396"/>
      <c r="S134" s="623"/>
      <c r="T134" s="625"/>
      <c r="U134" s="397"/>
      <c r="V134" s="623"/>
      <c r="W134" s="295"/>
      <c r="X134" s="622"/>
      <c r="Y134" s="622"/>
      <c r="Z134" s="622"/>
      <c r="AA134" s="623"/>
      <c r="AB134" s="623" t="s">
        <v>691</v>
      </c>
      <c r="AC134" s="622"/>
      <c r="AD134" s="622">
        <v>300000</v>
      </c>
      <c r="AE134" s="131" t="s">
        <v>25</v>
      </c>
      <c r="AF134" s="1"/>
    </row>
    <row r="135" spans="1:32" s="11" customFormat="1" ht="21" customHeight="1">
      <c r="A135" s="45"/>
      <c r="B135" s="46"/>
      <c r="C135" s="46"/>
      <c r="D135" s="151"/>
      <c r="E135" s="103"/>
      <c r="F135" s="103"/>
      <c r="G135" s="103"/>
      <c r="H135" s="103"/>
      <c r="I135" s="103"/>
      <c r="J135" s="103"/>
      <c r="K135" s="103"/>
      <c r="L135" s="103"/>
      <c r="M135" s="103"/>
      <c r="N135" s="68"/>
      <c r="O135" s="120"/>
      <c r="P135" s="121"/>
      <c r="Q135" s="121"/>
      <c r="R135" s="121"/>
      <c r="S135" s="121"/>
      <c r="T135" s="121"/>
      <c r="U135" s="121"/>
      <c r="V135" s="121"/>
      <c r="W135" s="121"/>
      <c r="X135" s="121"/>
      <c r="Y135" s="73"/>
      <c r="Z135" s="73"/>
      <c r="AA135" s="73"/>
      <c r="AB135" s="73"/>
      <c r="AC135" s="73"/>
      <c r="AD135" s="51"/>
      <c r="AE135" s="57"/>
      <c r="AF135" s="1"/>
    </row>
    <row r="136" spans="1:32" s="11" customFormat="1" ht="21" customHeight="1">
      <c r="A136" s="45"/>
      <c r="B136" s="46"/>
      <c r="C136" s="36" t="s">
        <v>45</v>
      </c>
      <c r="D136" s="153">
        <v>7984</v>
      </c>
      <c r="E136" s="107">
        <f>ROUND(AD136/1000,0)</f>
        <v>8118</v>
      </c>
      <c r="F136" s="108">
        <f>SUMIF($AB$137:$AB$141,"보조",$AD$137:$AD$141)/1000</f>
        <v>1800</v>
      </c>
      <c r="G136" s="108">
        <f>SUMIF($AB$137:$AB$141,"7종",$AD$137:$AD$141)/1000</f>
        <v>3600</v>
      </c>
      <c r="H136" s="108">
        <f>SUMIF($AB$137:$AB$141,"4종",$AD$137:$AD$141)/1000</f>
        <v>0</v>
      </c>
      <c r="I136" s="108">
        <f>SUMIF($AB$137:$AB$141,"후원",$AD$137:$AD$141)/1000</f>
        <v>2718</v>
      </c>
      <c r="J136" s="108">
        <f>SUMIF($AB$137:$AB$141,"입소",$AD$137:$AD$141)/1000</f>
        <v>0</v>
      </c>
      <c r="K136" s="108">
        <f>SUMIF($AB$137:$AB$141,"법인",$AD$137:$AD$141)/1000</f>
        <v>0</v>
      </c>
      <c r="L136" s="108">
        <f>SUMIF($AB$137:$AB$141,"잡수",$AD$137:$AD$141)/1000</f>
        <v>0</v>
      </c>
      <c r="M136" s="180">
        <f>E136-D136</f>
        <v>134</v>
      </c>
      <c r="N136" s="115">
        <f>IF(D136=0,0,M136/D136)</f>
        <v>1.6783567134268536E-2</v>
      </c>
      <c r="O136" s="95" t="s">
        <v>46</v>
      </c>
      <c r="P136" s="91"/>
      <c r="Q136" s="91"/>
      <c r="R136" s="91"/>
      <c r="S136" s="91"/>
      <c r="T136" s="87"/>
      <c r="U136" s="87"/>
      <c r="V136" s="87"/>
      <c r="W136" s="87"/>
      <c r="X136" s="87"/>
      <c r="Y136" s="169" t="s">
        <v>136</v>
      </c>
      <c r="Z136" s="169"/>
      <c r="AA136" s="169"/>
      <c r="AB136" s="169"/>
      <c r="AC136" s="171"/>
      <c r="AD136" s="171">
        <f>SUM(AD137:AD140)</f>
        <v>8118000</v>
      </c>
      <c r="AE136" s="170" t="s">
        <v>25</v>
      </c>
      <c r="AF136" s="1"/>
    </row>
    <row r="137" spans="1:32" s="11" customFormat="1" ht="21" customHeight="1">
      <c r="A137" s="45"/>
      <c r="B137" s="46"/>
      <c r="C137" s="46"/>
      <c r="D137" s="104"/>
      <c r="E137" s="103"/>
      <c r="F137" s="103"/>
      <c r="G137" s="103"/>
      <c r="H137" s="103"/>
      <c r="I137" s="103"/>
      <c r="J137" s="103"/>
      <c r="K137" s="103"/>
      <c r="L137" s="103"/>
      <c r="M137" s="103"/>
      <c r="N137" s="68"/>
      <c r="O137" s="571" t="s">
        <v>631</v>
      </c>
      <c r="P137" s="375"/>
      <c r="Q137" s="375"/>
      <c r="R137" s="375"/>
      <c r="S137" s="374">
        <v>150000</v>
      </c>
      <c r="T137" s="295" t="s">
        <v>254</v>
      </c>
      <c r="U137" s="295" t="s">
        <v>26</v>
      </c>
      <c r="V137" s="374">
        <v>12</v>
      </c>
      <c r="W137" s="375" t="s">
        <v>258</v>
      </c>
      <c r="X137" s="374" t="s">
        <v>27</v>
      </c>
      <c r="Y137" s="374"/>
      <c r="Z137" s="374"/>
      <c r="AA137" s="374"/>
      <c r="AB137" s="374" t="s">
        <v>262</v>
      </c>
      <c r="AC137" s="374"/>
      <c r="AD137" s="686">
        <f>S137*V137</f>
        <v>1800000</v>
      </c>
      <c r="AE137" s="131" t="s">
        <v>25</v>
      </c>
      <c r="AF137" s="1"/>
    </row>
    <row r="138" spans="1:32" s="11" customFormat="1" ht="21" customHeight="1">
      <c r="A138" s="45"/>
      <c r="B138" s="46"/>
      <c r="C138" s="46"/>
      <c r="D138" s="104"/>
      <c r="E138" s="103"/>
      <c r="F138" s="103"/>
      <c r="G138" s="103"/>
      <c r="H138" s="103"/>
      <c r="I138" s="103"/>
      <c r="J138" s="103"/>
      <c r="K138" s="103"/>
      <c r="L138" s="103"/>
      <c r="M138" s="103"/>
      <c r="N138" s="68"/>
      <c r="O138" s="546" t="s">
        <v>570</v>
      </c>
      <c r="P138" s="546"/>
      <c r="Q138" s="546"/>
      <c r="R138" s="546"/>
      <c r="S138" s="545">
        <v>300000</v>
      </c>
      <c r="T138" s="295" t="s">
        <v>567</v>
      </c>
      <c r="U138" s="295" t="s">
        <v>26</v>
      </c>
      <c r="V138" s="545">
        <v>12</v>
      </c>
      <c r="W138" s="546" t="s">
        <v>571</v>
      </c>
      <c r="X138" s="545" t="s">
        <v>27</v>
      </c>
      <c r="Y138" s="545"/>
      <c r="Z138" s="545"/>
      <c r="AA138" s="545"/>
      <c r="AB138" s="545" t="s">
        <v>568</v>
      </c>
      <c r="AC138" s="545"/>
      <c r="AD138" s="686">
        <f>S138*V138</f>
        <v>3600000</v>
      </c>
      <c r="AE138" s="131" t="s">
        <v>25</v>
      </c>
      <c r="AF138" s="1"/>
    </row>
    <row r="139" spans="1:32" s="11" customFormat="1" ht="21" customHeight="1">
      <c r="A139" s="45"/>
      <c r="B139" s="46"/>
      <c r="C139" s="46"/>
      <c r="D139" s="104"/>
      <c r="E139" s="103"/>
      <c r="F139" s="103"/>
      <c r="G139" s="103"/>
      <c r="H139" s="103"/>
      <c r="I139" s="103"/>
      <c r="J139" s="103"/>
      <c r="K139" s="103"/>
      <c r="L139" s="103"/>
      <c r="M139" s="103"/>
      <c r="N139" s="68"/>
      <c r="O139" s="375" t="s">
        <v>264</v>
      </c>
      <c r="P139" s="375"/>
      <c r="Q139" s="375"/>
      <c r="R139" s="375"/>
      <c r="S139" s="374">
        <v>100000</v>
      </c>
      <c r="T139" s="295" t="s">
        <v>244</v>
      </c>
      <c r="U139" s="295" t="s">
        <v>26</v>
      </c>
      <c r="V139" s="374">
        <v>10</v>
      </c>
      <c r="W139" s="375" t="s">
        <v>265</v>
      </c>
      <c r="X139" s="374" t="s">
        <v>27</v>
      </c>
      <c r="Y139" s="374"/>
      <c r="Z139" s="374"/>
      <c r="AA139" s="374"/>
      <c r="AB139" s="534" t="s">
        <v>530</v>
      </c>
      <c r="AC139" s="374"/>
      <c r="AD139" s="686">
        <v>318000</v>
      </c>
      <c r="AE139" s="131" t="s">
        <v>25</v>
      </c>
      <c r="AF139" s="1"/>
    </row>
    <row r="140" spans="1:32" ht="21" customHeight="1">
      <c r="A140" s="45"/>
      <c r="B140" s="46"/>
      <c r="C140" s="46"/>
      <c r="D140" s="151"/>
      <c r="E140" s="103"/>
      <c r="F140" s="103"/>
      <c r="G140" s="103"/>
      <c r="H140" s="103"/>
      <c r="I140" s="103"/>
      <c r="J140" s="103"/>
      <c r="K140" s="103"/>
      <c r="L140" s="103"/>
      <c r="M140" s="103"/>
      <c r="N140" s="68"/>
      <c r="O140" s="535" t="s">
        <v>529</v>
      </c>
      <c r="P140" s="375"/>
      <c r="Q140" s="375"/>
      <c r="R140" s="375"/>
      <c r="S140" s="374"/>
      <c r="T140" s="295"/>
      <c r="U140" s="295"/>
      <c r="V140" s="374"/>
      <c r="W140" s="375"/>
      <c r="X140" s="374"/>
      <c r="Y140" s="374"/>
      <c r="Z140" s="374"/>
      <c r="AA140" s="374"/>
      <c r="AB140" s="427" t="s">
        <v>296</v>
      </c>
      <c r="AC140" s="374"/>
      <c r="AD140" s="686">
        <v>2400000</v>
      </c>
      <c r="AE140" s="131" t="s">
        <v>25</v>
      </c>
    </row>
    <row r="141" spans="1:32" s="11" customFormat="1" ht="21" customHeight="1">
      <c r="A141" s="45"/>
      <c r="B141" s="46"/>
      <c r="C141" s="59"/>
      <c r="D141" s="122"/>
      <c r="E141" s="105"/>
      <c r="F141" s="105"/>
      <c r="G141" s="105"/>
      <c r="H141" s="105"/>
      <c r="I141" s="105"/>
      <c r="J141" s="105"/>
      <c r="K141" s="105"/>
      <c r="L141" s="105"/>
      <c r="M141" s="105"/>
      <c r="N141" s="82"/>
      <c r="O141" s="287"/>
      <c r="P141" s="287"/>
      <c r="Q141" s="287"/>
      <c r="R141" s="287"/>
      <c r="S141" s="394"/>
      <c r="T141" s="398"/>
      <c r="U141" s="394"/>
      <c r="V141" s="752"/>
      <c r="W141" s="753"/>
      <c r="X141" s="394"/>
      <c r="Y141" s="394"/>
      <c r="Z141" s="394"/>
      <c r="AA141" s="394"/>
      <c r="AB141" s="394"/>
      <c r="AC141" s="394"/>
      <c r="AD141" s="394"/>
      <c r="AE141" s="399"/>
      <c r="AF141" s="1"/>
    </row>
    <row r="142" spans="1:32" s="11" customFormat="1" ht="21" customHeight="1">
      <c r="A142" s="45"/>
      <c r="B142" s="46"/>
      <c r="C142" s="36" t="s">
        <v>76</v>
      </c>
      <c r="D142" s="123">
        <v>21988</v>
      </c>
      <c r="E142" s="107">
        <f>ROUND(AD142/1000,0)</f>
        <v>21238</v>
      </c>
      <c r="F142" s="108">
        <f>SUMIF($AB$144:$AB$163,"보조",$AD$144:$AD$163)/1000</f>
        <v>800</v>
      </c>
      <c r="G142" s="108">
        <f>SUMIF($AB$144:$AB$163,"7종",$AD$144:$AD$163)/1000</f>
        <v>0</v>
      </c>
      <c r="H142" s="108">
        <f>SUMIF($AB$144:$AB$163,"4종",$AD$144:$AD$163)/1000</f>
        <v>0</v>
      </c>
      <c r="I142" s="108">
        <f>SUMIF($AB$144:$AB$163,"후원",$AD$144:$AD$163)/1000</f>
        <v>0</v>
      </c>
      <c r="J142" s="108">
        <f>SUMIF($AB$144:$AB$163,"입소",$AD$144:$AD$163)/1000</f>
        <v>0</v>
      </c>
      <c r="K142" s="108">
        <f>SUMIF($AB$144:$AB$163,"법인",$AD$144:$AD$163)/1000</f>
        <v>19228</v>
      </c>
      <c r="L142" s="108">
        <f>SUMIF($AB$144:$AB$163,"잡수",$AD$144:$AD$163)/1000</f>
        <v>1210</v>
      </c>
      <c r="M142" s="117">
        <f>E142-D142</f>
        <v>-750</v>
      </c>
      <c r="N142" s="115">
        <f>IF(D142=0,0,M142/D142)</f>
        <v>-3.4109514280516645E-2</v>
      </c>
      <c r="O142" s="110" t="s">
        <v>664</v>
      </c>
      <c r="P142" s="91"/>
      <c r="Q142" s="91"/>
      <c r="R142" s="91"/>
      <c r="S142" s="91"/>
      <c r="T142" s="87"/>
      <c r="U142" s="87"/>
      <c r="V142" s="87"/>
      <c r="W142" s="87"/>
      <c r="X142" s="87"/>
      <c r="Y142" s="592" t="s">
        <v>665</v>
      </c>
      <c r="Z142" s="169"/>
      <c r="AA142" s="169"/>
      <c r="AB142" s="169"/>
      <c r="AC142" s="171"/>
      <c r="AD142" s="171">
        <f>SUM(AD143,AD159)</f>
        <v>21238000</v>
      </c>
      <c r="AE142" s="170" t="s">
        <v>25</v>
      </c>
      <c r="AF142" s="1"/>
    </row>
    <row r="143" spans="1:32" s="11" customFormat="1" ht="21" customHeight="1">
      <c r="A143" s="45"/>
      <c r="B143" s="46"/>
      <c r="C143" s="46"/>
      <c r="D143" s="124"/>
      <c r="E143" s="103"/>
      <c r="F143" s="601"/>
      <c r="G143" s="601"/>
      <c r="H143" s="601"/>
      <c r="I143" s="601"/>
      <c r="J143" s="601"/>
      <c r="K143" s="601"/>
      <c r="L143" s="601"/>
      <c r="M143" s="103"/>
      <c r="N143" s="68"/>
      <c r="O143" s="110" t="s">
        <v>77</v>
      </c>
      <c r="P143" s="176"/>
      <c r="Q143" s="176"/>
      <c r="R143" s="176"/>
      <c r="S143" s="176"/>
      <c r="T143" s="149"/>
      <c r="U143" s="149"/>
      <c r="V143" s="149"/>
      <c r="W143" s="149"/>
      <c r="X143" s="149"/>
      <c r="Y143" s="592" t="s">
        <v>136</v>
      </c>
      <c r="Z143" s="592"/>
      <c r="AA143" s="592"/>
      <c r="AB143" s="592"/>
      <c r="AC143" s="171"/>
      <c r="AD143" s="171">
        <f>SUM(AD145:AD158)</f>
        <v>20028000</v>
      </c>
      <c r="AE143" s="170" t="s">
        <v>25</v>
      </c>
      <c r="AF143" s="1"/>
    </row>
    <row r="144" spans="1:32" s="11" customFormat="1" ht="20.25" customHeight="1">
      <c r="A144" s="45"/>
      <c r="B144" s="46"/>
      <c r="C144" s="46"/>
      <c r="D144" s="124"/>
      <c r="E144" s="103"/>
      <c r="F144" s="103"/>
      <c r="G144" s="103"/>
      <c r="H144" s="103"/>
      <c r="I144" s="103"/>
      <c r="J144" s="103"/>
      <c r="K144" s="103"/>
      <c r="L144" s="103"/>
      <c r="M144" s="103"/>
      <c r="N144" s="68"/>
      <c r="O144" s="148" t="s">
        <v>91</v>
      </c>
      <c r="P144" s="120"/>
      <c r="Q144" s="120"/>
      <c r="R144" s="120"/>
      <c r="S144" s="111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66"/>
      <c r="AD144" s="66"/>
      <c r="AE144" s="57"/>
      <c r="AF144" s="2"/>
    </row>
    <row r="145" spans="1:32" s="11" customFormat="1" ht="20.25" customHeight="1">
      <c r="A145" s="45"/>
      <c r="B145" s="46"/>
      <c r="C145" s="46"/>
      <c r="D145" s="124"/>
      <c r="E145" s="103"/>
      <c r="F145" s="103"/>
      <c r="G145" s="103"/>
      <c r="H145" s="103"/>
      <c r="I145" s="103"/>
      <c r="J145" s="103"/>
      <c r="K145" s="103"/>
      <c r="L145" s="103"/>
      <c r="M145" s="103"/>
      <c r="N145" s="68"/>
      <c r="O145" s="277" t="s">
        <v>632</v>
      </c>
      <c r="P145" s="277"/>
      <c r="Q145" s="277"/>
      <c r="R145" s="277"/>
      <c r="S145" s="738">
        <v>100000</v>
      </c>
      <c r="T145" s="736" t="s">
        <v>609</v>
      </c>
      <c r="U145" s="746" t="s">
        <v>57</v>
      </c>
      <c r="V145" s="738">
        <v>39</v>
      </c>
      <c r="W145" s="736" t="s">
        <v>611</v>
      </c>
      <c r="X145" s="387"/>
      <c r="Y145" s="570"/>
      <c r="Z145" s="570"/>
      <c r="AA145" s="570" t="s">
        <v>613</v>
      </c>
      <c r="AB145" s="570" t="s">
        <v>628</v>
      </c>
      <c r="AC145" s="130"/>
      <c r="AD145" s="130">
        <v>800000</v>
      </c>
      <c r="AE145" s="131" t="s">
        <v>653</v>
      </c>
      <c r="AF145" s="2"/>
    </row>
    <row r="146" spans="1:32" s="11" customFormat="1" ht="20.25" customHeight="1">
      <c r="A146" s="45"/>
      <c r="B146" s="46"/>
      <c r="C146" s="46"/>
      <c r="D146" s="124"/>
      <c r="E146" s="103"/>
      <c r="F146" s="103"/>
      <c r="G146" s="103"/>
      <c r="H146" s="103"/>
      <c r="I146" s="103"/>
      <c r="J146" s="103"/>
      <c r="K146" s="103"/>
      <c r="L146" s="103"/>
      <c r="M146" s="103"/>
      <c r="N146" s="68"/>
      <c r="O146" s="277"/>
      <c r="P146" s="277"/>
      <c r="Q146" s="277"/>
      <c r="R146" s="277"/>
      <c r="S146" s="738"/>
      <c r="T146" s="736"/>
      <c r="U146" s="746"/>
      <c r="V146" s="738"/>
      <c r="W146" s="736"/>
      <c r="X146" s="331"/>
      <c r="Y146" s="275"/>
      <c r="Z146" s="275"/>
      <c r="AA146" s="275"/>
      <c r="AB146" s="275" t="s">
        <v>783</v>
      </c>
      <c r="AC146" s="278"/>
      <c r="AD146" s="130">
        <v>850000</v>
      </c>
      <c r="AE146" s="131" t="s">
        <v>653</v>
      </c>
      <c r="AF146" s="2"/>
    </row>
    <row r="147" spans="1:32" s="11" customFormat="1" ht="20.25" customHeight="1">
      <c r="A147" s="45"/>
      <c r="B147" s="46"/>
      <c r="C147" s="46"/>
      <c r="D147" s="124"/>
      <c r="E147" s="103"/>
      <c r="F147" s="103"/>
      <c r="G147" s="103"/>
      <c r="H147" s="103"/>
      <c r="I147" s="103"/>
      <c r="J147" s="103"/>
      <c r="K147" s="103"/>
      <c r="L147" s="103"/>
      <c r="M147" s="103"/>
      <c r="N147" s="68"/>
      <c r="O147" s="277" t="s">
        <v>633</v>
      </c>
      <c r="P147" s="277"/>
      <c r="Q147" s="277"/>
      <c r="R147" s="277"/>
      <c r="S147" s="275">
        <v>100000</v>
      </c>
      <c r="T147" s="275" t="s">
        <v>56</v>
      </c>
      <c r="U147" s="331" t="s">
        <v>57</v>
      </c>
      <c r="V147" s="275">
        <v>10</v>
      </c>
      <c r="W147" s="275" t="s">
        <v>55</v>
      </c>
      <c r="X147" s="331"/>
      <c r="Y147" s="275"/>
      <c r="Z147" s="275"/>
      <c r="AA147" s="275" t="s">
        <v>53</v>
      </c>
      <c r="AB147" s="275" t="s">
        <v>783</v>
      </c>
      <c r="AC147" s="278"/>
      <c r="AD147" s="130">
        <f>S147*V147</f>
        <v>1000000</v>
      </c>
      <c r="AE147" s="131" t="s">
        <v>653</v>
      </c>
      <c r="AF147" s="2"/>
    </row>
    <row r="148" spans="1:32" s="11" customFormat="1" ht="20.25" customHeight="1">
      <c r="A148" s="45"/>
      <c r="B148" s="46"/>
      <c r="C148" s="46"/>
      <c r="D148" s="124"/>
      <c r="E148" s="103"/>
      <c r="F148" s="103"/>
      <c r="G148" s="103"/>
      <c r="H148" s="103"/>
      <c r="I148" s="103"/>
      <c r="J148" s="103"/>
      <c r="K148" s="103"/>
      <c r="L148" s="103"/>
      <c r="M148" s="103"/>
      <c r="N148" s="68"/>
      <c r="O148" s="277" t="s">
        <v>634</v>
      </c>
      <c r="P148" s="277"/>
      <c r="Q148" s="277"/>
      <c r="R148" s="277"/>
      <c r="S148" s="275">
        <v>100000</v>
      </c>
      <c r="T148" s="275" t="s">
        <v>56</v>
      </c>
      <c r="U148" s="331" t="s">
        <v>57</v>
      </c>
      <c r="V148" s="275">
        <v>15</v>
      </c>
      <c r="W148" s="275" t="s">
        <v>55</v>
      </c>
      <c r="X148" s="331"/>
      <c r="Y148" s="275"/>
      <c r="Z148" s="275"/>
      <c r="AA148" s="275" t="s">
        <v>53</v>
      </c>
      <c r="AB148" s="275" t="s">
        <v>170</v>
      </c>
      <c r="AC148" s="278"/>
      <c r="AD148" s="596">
        <f>S148*V148</f>
        <v>1500000</v>
      </c>
      <c r="AE148" s="131" t="s">
        <v>653</v>
      </c>
      <c r="AF148" s="2"/>
    </row>
    <row r="149" spans="1:32" s="11" customFormat="1" ht="20.25" customHeight="1">
      <c r="A149" s="45"/>
      <c r="B149" s="46"/>
      <c r="C149" s="46"/>
      <c r="D149" s="124"/>
      <c r="E149" s="103"/>
      <c r="F149" s="103"/>
      <c r="G149" s="103"/>
      <c r="H149" s="103"/>
      <c r="I149" s="103"/>
      <c r="J149" s="103"/>
      <c r="K149" s="103"/>
      <c r="L149" s="103"/>
      <c r="M149" s="103"/>
      <c r="N149" s="68"/>
      <c r="O149" s="277" t="s">
        <v>635</v>
      </c>
      <c r="P149" s="277"/>
      <c r="Q149" s="277"/>
      <c r="R149" s="277"/>
      <c r="S149" s="353"/>
      <c r="T149" s="275"/>
      <c r="U149" s="275"/>
      <c r="V149" s="275"/>
      <c r="W149" s="275"/>
      <c r="X149" s="275"/>
      <c r="Y149" s="275"/>
      <c r="Z149" s="275"/>
      <c r="AA149" s="275"/>
      <c r="AB149" s="275"/>
      <c r="AC149" s="278"/>
      <c r="AD149" s="278"/>
      <c r="AE149" s="301"/>
      <c r="AF149" s="2"/>
    </row>
    <row r="150" spans="1:32" s="11" customFormat="1" ht="20.25" customHeight="1">
      <c r="A150" s="45"/>
      <c r="B150" s="46"/>
      <c r="C150" s="46"/>
      <c r="D150" s="124"/>
      <c r="E150" s="103"/>
      <c r="F150" s="103"/>
      <c r="G150" s="103"/>
      <c r="H150" s="103"/>
      <c r="I150" s="103"/>
      <c r="J150" s="103"/>
      <c r="K150" s="103"/>
      <c r="L150" s="103"/>
      <c r="M150" s="103"/>
      <c r="N150" s="68"/>
      <c r="O150" s="638" t="s">
        <v>715</v>
      </c>
      <c r="P150" s="638"/>
      <c r="Q150" s="638"/>
      <c r="R150" s="638"/>
      <c r="S150" s="637">
        <v>680000</v>
      </c>
      <c r="T150" s="637" t="s">
        <v>699</v>
      </c>
      <c r="U150" s="387" t="s">
        <v>701</v>
      </c>
      <c r="V150" s="637">
        <v>1</v>
      </c>
      <c r="W150" s="637" t="s">
        <v>706</v>
      </c>
      <c r="X150" s="387"/>
      <c r="Y150" s="637"/>
      <c r="Z150" s="637"/>
      <c r="AA150" s="637" t="s">
        <v>703</v>
      </c>
      <c r="AB150" s="667" t="s">
        <v>170</v>
      </c>
      <c r="AC150" s="640"/>
      <c r="AD150" s="666">
        <f>S150*V150</f>
        <v>680000</v>
      </c>
      <c r="AE150" s="131" t="s">
        <v>699</v>
      </c>
      <c r="AF150" s="2"/>
    </row>
    <row r="151" spans="1:32" s="11" customFormat="1" ht="20.25" customHeight="1">
      <c r="A151" s="45"/>
      <c r="B151" s="46"/>
      <c r="C151" s="46"/>
      <c r="D151" s="124"/>
      <c r="E151" s="103"/>
      <c r="F151" s="103"/>
      <c r="G151" s="103"/>
      <c r="H151" s="103"/>
      <c r="I151" s="103"/>
      <c r="J151" s="103"/>
      <c r="K151" s="103"/>
      <c r="L151" s="103"/>
      <c r="M151" s="103"/>
      <c r="N151" s="68"/>
      <c r="O151" s="638" t="s">
        <v>716</v>
      </c>
      <c r="P151" s="638"/>
      <c r="Q151" s="638"/>
      <c r="R151" s="638"/>
      <c r="S151" s="637">
        <v>1400000</v>
      </c>
      <c r="T151" s="637" t="s">
        <v>699</v>
      </c>
      <c r="U151" s="387" t="s">
        <v>701</v>
      </c>
      <c r="V151" s="637">
        <v>1</v>
      </c>
      <c r="W151" s="637" t="s">
        <v>706</v>
      </c>
      <c r="X151" s="387"/>
      <c r="Y151" s="637"/>
      <c r="Z151" s="637"/>
      <c r="AA151" s="637" t="s">
        <v>703</v>
      </c>
      <c r="AB151" s="667" t="s">
        <v>170</v>
      </c>
      <c r="AC151" s="640"/>
      <c r="AD151" s="666">
        <f>S151*V151</f>
        <v>1400000</v>
      </c>
      <c r="AE151" s="131" t="s">
        <v>699</v>
      </c>
      <c r="AF151" s="2"/>
    </row>
    <row r="152" spans="1:32" s="11" customFormat="1" ht="20.25" customHeight="1">
      <c r="A152" s="45"/>
      <c r="B152" s="46"/>
      <c r="C152" s="46"/>
      <c r="D152" s="124"/>
      <c r="E152" s="103"/>
      <c r="F152" s="103"/>
      <c r="G152" s="103"/>
      <c r="H152" s="103"/>
      <c r="I152" s="103"/>
      <c r="J152" s="103"/>
      <c r="K152" s="103"/>
      <c r="L152" s="103"/>
      <c r="M152" s="103"/>
      <c r="N152" s="68"/>
      <c r="O152" s="277" t="s">
        <v>636</v>
      </c>
      <c r="P152" s="277"/>
      <c r="Q152" s="277"/>
      <c r="R152" s="277"/>
      <c r="S152" s="275">
        <v>278000</v>
      </c>
      <c r="T152" s="275" t="s">
        <v>199</v>
      </c>
      <c r="U152" s="331" t="s">
        <v>211</v>
      </c>
      <c r="V152" s="275">
        <v>1</v>
      </c>
      <c r="W152" s="275" t="s">
        <v>200</v>
      </c>
      <c r="X152" s="331"/>
      <c r="Y152" s="275"/>
      <c r="Z152" s="275"/>
      <c r="AA152" s="275" t="s">
        <v>204</v>
      </c>
      <c r="AB152" s="275" t="s">
        <v>170</v>
      </c>
      <c r="AC152" s="278"/>
      <c r="AD152" s="666">
        <f>S152*V152</f>
        <v>278000</v>
      </c>
      <c r="AE152" s="131" t="s">
        <v>653</v>
      </c>
      <c r="AF152" s="2"/>
    </row>
    <row r="153" spans="1:32" s="11" customFormat="1" ht="20.25" customHeight="1">
      <c r="A153" s="45"/>
      <c r="B153" s="46"/>
      <c r="C153" s="46"/>
      <c r="D153" s="124"/>
      <c r="E153" s="103"/>
      <c r="F153" s="103"/>
      <c r="G153" s="103"/>
      <c r="H153" s="103"/>
      <c r="I153" s="103"/>
      <c r="J153" s="103"/>
      <c r="K153" s="103"/>
      <c r="L153" s="103"/>
      <c r="M153" s="103"/>
      <c r="N153" s="68"/>
      <c r="O153" s="668" t="s">
        <v>813</v>
      </c>
      <c r="P153" s="571"/>
      <c r="Q153" s="571"/>
      <c r="R153" s="571"/>
      <c r="S153" s="570">
        <v>100000</v>
      </c>
      <c r="T153" s="295" t="s">
        <v>609</v>
      </c>
      <c r="U153" s="295" t="s">
        <v>26</v>
      </c>
      <c r="V153" s="570">
        <v>14</v>
      </c>
      <c r="W153" s="571" t="s">
        <v>55</v>
      </c>
      <c r="X153" s="570" t="s">
        <v>27</v>
      </c>
      <c r="Y153" s="570"/>
      <c r="Z153" s="570"/>
      <c r="AA153" s="570"/>
      <c r="AB153" s="570" t="s">
        <v>625</v>
      </c>
      <c r="AC153" s="130"/>
      <c r="AD153" s="570">
        <f>S153*V153</f>
        <v>1400000</v>
      </c>
      <c r="AE153" s="131" t="s">
        <v>653</v>
      </c>
      <c r="AF153" s="2"/>
    </row>
    <row r="154" spans="1:32" s="11" customFormat="1" ht="20.25" customHeight="1">
      <c r="A154" s="45"/>
      <c r="B154" s="46"/>
      <c r="C154" s="46"/>
      <c r="D154" s="124"/>
      <c r="E154" s="103"/>
      <c r="F154" s="103"/>
      <c r="G154" s="103"/>
      <c r="H154" s="103"/>
      <c r="I154" s="103"/>
      <c r="J154" s="103"/>
      <c r="K154" s="103"/>
      <c r="L154" s="103"/>
      <c r="M154" s="103"/>
      <c r="N154" s="68"/>
      <c r="O154" s="571" t="s">
        <v>627</v>
      </c>
      <c r="P154" s="571"/>
      <c r="Q154" s="571"/>
      <c r="R154" s="571"/>
      <c r="S154" s="570">
        <v>20000</v>
      </c>
      <c r="T154" s="295" t="s">
        <v>609</v>
      </c>
      <c r="U154" s="295" t="s">
        <v>26</v>
      </c>
      <c r="V154" s="570">
        <v>14</v>
      </c>
      <c r="W154" s="571" t="s">
        <v>55</v>
      </c>
      <c r="X154" s="387" t="s">
        <v>610</v>
      </c>
      <c r="Y154" s="570">
        <v>2</v>
      </c>
      <c r="Z154" s="570" t="s">
        <v>612</v>
      </c>
      <c r="AA154" s="570" t="s">
        <v>613</v>
      </c>
      <c r="AB154" s="388" t="s">
        <v>625</v>
      </c>
      <c r="AC154" s="388"/>
      <c r="AD154" s="570">
        <f>S154*V154*Y154</f>
        <v>560000</v>
      </c>
      <c r="AE154" s="389" t="s">
        <v>25</v>
      </c>
      <c r="AF154" s="2"/>
    </row>
    <row r="155" spans="1:32" s="11" customFormat="1" ht="20.25" customHeight="1">
      <c r="A155" s="45"/>
      <c r="B155" s="46"/>
      <c r="C155" s="46"/>
      <c r="D155" s="124"/>
      <c r="E155" s="103"/>
      <c r="F155" s="103"/>
      <c r="G155" s="103"/>
      <c r="H155" s="103"/>
      <c r="I155" s="103"/>
      <c r="J155" s="103"/>
      <c r="K155" s="103"/>
      <c r="L155" s="103"/>
      <c r="M155" s="103"/>
      <c r="N155" s="68"/>
      <c r="O155" s="638" t="s">
        <v>717</v>
      </c>
      <c r="P155" s="638"/>
      <c r="Q155" s="638"/>
      <c r="R155" s="638"/>
      <c r="S155" s="637"/>
      <c r="T155" s="388" t="s">
        <v>699</v>
      </c>
      <c r="U155" s="387" t="s">
        <v>701</v>
      </c>
      <c r="V155" s="388">
        <v>4</v>
      </c>
      <c r="W155" s="637" t="s">
        <v>702</v>
      </c>
      <c r="X155" s="388"/>
      <c r="Y155" s="388">
        <v>1</v>
      </c>
      <c r="Z155" s="388" t="s">
        <v>706</v>
      </c>
      <c r="AA155" s="393" t="s">
        <v>703</v>
      </c>
      <c r="AB155" s="388" t="s">
        <v>712</v>
      </c>
      <c r="AC155" s="388"/>
      <c r="AD155" s="637">
        <v>7000000</v>
      </c>
      <c r="AE155" s="389" t="s">
        <v>699</v>
      </c>
      <c r="AF155" s="2"/>
    </row>
    <row r="156" spans="1:32" s="11" customFormat="1" ht="20.25" customHeight="1">
      <c r="A156" s="45"/>
      <c r="B156" s="46"/>
      <c r="C156" s="46"/>
      <c r="D156" s="124"/>
      <c r="E156" s="103"/>
      <c r="F156" s="103"/>
      <c r="G156" s="103"/>
      <c r="H156" s="103"/>
      <c r="I156" s="103"/>
      <c r="J156" s="103"/>
      <c r="K156" s="103"/>
      <c r="L156" s="103"/>
      <c r="M156" s="103"/>
      <c r="N156" s="68"/>
      <c r="O156" s="638" t="s">
        <v>718</v>
      </c>
      <c r="P156" s="638"/>
      <c r="Q156" s="638"/>
      <c r="R156" s="638"/>
      <c r="S156" s="637">
        <v>100000</v>
      </c>
      <c r="T156" s="295" t="s">
        <v>699</v>
      </c>
      <c r="U156" s="295" t="s">
        <v>26</v>
      </c>
      <c r="V156" s="637">
        <v>4</v>
      </c>
      <c r="W156" s="638" t="s">
        <v>706</v>
      </c>
      <c r="X156" s="637" t="s">
        <v>27</v>
      </c>
      <c r="Y156" s="652"/>
      <c r="Z156" s="637"/>
      <c r="AA156" s="388"/>
      <c r="AB156" s="653" t="s">
        <v>712</v>
      </c>
      <c r="AC156" s="388"/>
      <c r="AD156" s="637">
        <f>S156*V156</f>
        <v>400000</v>
      </c>
      <c r="AE156" s="389" t="s">
        <v>699</v>
      </c>
      <c r="AF156" s="2"/>
    </row>
    <row r="157" spans="1:32" s="11" customFormat="1" ht="20.25" customHeight="1">
      <c r="A157" s="45"/>
      <c r="B157" s="46"/>
      <c r="C157" s="46"/>
      <c r="D157" s="124"/>
      <c r="E157" s="103"/>
      <c r="F157" s="103"/>
      <c r="G157" s="103"/>
      <c r="H157" s="103"/>
      <c r="I157" s="103"/>
      <c r="J157" s="103"/>
      <c r="K157" s="103"/>
      <c r="L157" s="103"/>
      <c r="M157" s="103"/>
      <c r="N157" s="68"/>
      <c r="O157" s="571" t="s">
        <v>626</v>
      </c>
      <c r="P157" s="571"/>
      <c r="Q157" s="571"/>
      <c r="R157" s="571"/>
      <c r="S157" s="570">
        <v>100000</v>
      </c>
      <c r="T157" s="570" t="s">
        <v>609</v>
      </c>
      <c r="U157" s="387" t="s">
        <v>610</v>
      </c>
      <c r="V157" s="570">
        <v>39</v>
      </c>
      <c r="W157" s="570" t="s">
        <v>611</v>
      </c>
      <c r="X157" s="387" t="s">
        <v>610</v>
      </c>
      <c r="Y157" s="570">
        <v>1</v>
      </c>
      <c r="Z157" s="570" t="s">
        <v>612</v>
      </c>
      <c r="AA157" s="570" t="s">
        <v>613</v>
      </c>
      <c r="AB157" s="667" t="s">
        <v>771</v>
      </c>
      <c r="AC157" s="666"/>
      <c r="AD157" s="666">
        <f>S157*V157*Y157</f>
        <v>3900000</v>
      </c>
      <c r="AE157" s="131" t="s">
        <v>766</v>
      </c>
      <c r="AF157" s="2"/>
    </row>
    <row r="158" spans="1:32" s="11" customFormat="1" ht="20.25" customHeight="1">
      <c r="A158" s="45"/>
      <c r="B158" s="46"/>
      <c r="C158" s="47"/>
      <c r="D158" s="124"/>
      <c r="E158" s="103"/>
      <c r="F158" s="103"/>
      <c r="G158" s="103"/>
      <c r="H158" s="103"/>
      <c r="I158" s="103"/>
      <c r="J158" s="103"/>
      <c r="K158" s="103"/>
      <c r="L158" s="103"/>
      <c r="M158" s="103"/>
      <c r="N158" s="68"/>
      <c r="O158" s="277" t="s">
        <v>863</v>
      </c>
      <c r="P158" s="277"/>
      <c r="Q158" s="277"/>
      <c r="R158" s="277"/>
      <c r="S158" s="275"/>
      <c r="T158" s="337"/>
      <c r="U158" s="337"/>
      <c r="V158" s="275"/>
      <c r="W158" s="277"/>
      <c r="X158" s="275"/>
      <c r="Y158" s="354"/>
      <c r="Z158" s="275"/>
      <c r="AA158" s="332"/>
      <c r="AB158" s="332" t="s">
        <v>170</v>
      </c>
      <c r="AC158" s="332"/>
      <c r="AD158" s="275">
        <v>260000</v>
      </c>
      <c r="AE158" s="333" t="s">
        <v>858</v>
      </c>
      <c r="AF158" s="2"/>
    </row>
    <row r="159" spans="1:32" s="11" customFormat="1" ht="20.25" customHeight="1">
      <c r="A159" s="45"/>
      <c r="B159" s="46"/>
      <c r="C159" s="47"/>
      <c r="D159" s="124"/>
      <c r="E159" s="103"/>
      <c r="F159" s="103"/>
      <c r="G159" s="103"/>
      <c r="H159" s="103"/>
      <c r="I159" s="103"/>
      <c r="J159" s="103"/>
      <c r="K159" s="103"/>
      <c r="L159" s="103"/>
      <c r="M159" s="103"/>
      <c r="N159" s="68"/>
      <c r="O159" s="110" t="s">
        <v>662</v>
      </c>
      <c r="P159" s="277"/>
      <c r="Q159" s="277"/>
      <c r="R159" s="277"/>
      <c r="S159" s="275"/>
      <c r="T159" s="337"/>
      <c r="U159" s="337"/>
      <c r="V159" s="275"/>
      <c r="W159" s="277"/>
      <c r="X159" s="275"/>
      <c r="Y159" s="588" t="s">
        <v>136</v>
      </c>
      <c r="Z159" s="588"/>
      <c r="AA159" s="588"/>
      <c r="AB159" s="588"/>
      <c r="AC159" s="171"/>
      <c r="AD159" s="306">
        <f>SUM(AD160:AD162)</f>
        <v>1210000</v>
      </c>
      <c r="AE159" s="170" t="s">
        <v>25</v>
      </c>
      <c r="AF159" s="2"/>
    </row>
    <row r="160" spans="1:32" s="11" customFormat="1" ht="21" customHeight="1">
      <c r="A160" s="45"/>
      <c r="B160" s="46"/>
      <c r="C160" s="46"/>
      <c r="D160" s="151"/>
      <c r="E160" s="103"/>
      <c r="F160" s="103"/>
      <c r="G160" s="103"/>
      <c r="H160" s="103"/>
      <c r="I160" s="103"/>
      <c r="J160" s="103"/>
      <c r="K160" s="103"/>
      <c r="L160" s="103"/>
      <c r="M160" s="103"/>
      <c r="N160" s="68"/>
      <c r="O160" s="590" t="s">
        <v>252</v>
      </c>
      <c r="P160" s="590"/>
      <c r="Q160" s="589"/>
      <c r="R160" s="589"/>
      <c r="S160" s="589">
        <v>20000</v>
      </c>
      <c r="T160" s="388" t="s">
        <v>56</v>
      </c>
      <c r="U160" s="387" t="s">
        <v>57</v>
      </c>
      <c r="V160" s="392">
        <v>8</v>
      </c>
      <c r="W160" s="589" t="s">
        <v>55</v>
      </c>
      <c r="X160" s="387" t="s">
        <v>57</v>
      </c>
      <c r="Y160" s="388">
        <v>5</v>
      </c>
      <c r="Z160" s="388" t="s">
        <v>65</v>
      </c>
      <c r="AA160" s="393" t="s">
        <v>53</v>
      </c>
      <c r="AB160" s="388" t="s">
        <v>90</v>
      </c>
      <c r="AC160" s="388"/>
      <c r="AD160" s="686">
        <f>S160*V160*Y160</f>
        <v>800000</v>
      </c>
      <c r="AE160" s="389" t="s">
        <v>56</v>
      </c>
      <c r="AF160" s="578"/>
    </row>
    <row r="161" spans="1:32" s="11" customFormat="1" ht="21" customHeight="1">
      <c r="A161" s="45"/>
      <c r="B161" s="46"/>
      <c r="C161" s="46"/>
      <c r="D161" s="151"/>
      <c r="E161" s="103"/>
      <c r="F161" s="103"/>
      <c r="G161" s="103"/>
      <c r="H161" s="103"/>
      <c r="I161" s="103"/>
      <c r="J161" s="103"/>
      <c r="K161" s="103"/>
      <c r="L161" s="103"/>
      <c r="M161" s="103"/>
      <c r="N161" s="68"/>
      <c r="O161" s="600" t="s">
        <v>680</v>
      </c>
      <c r="P161" s="590"/>
      <c r="Q161" s="589"/>
      <c r="R161" s="589"/>
      <c r="S161" s="589">
        <v>50000</v>
      </c>
      <c r="T161" s="388" t="s">
        <v>56</v>
      </c>
      <c r="U161" s="387" t="s">
        <v>57</v>
      </c>
      <c r="V161" s="392">
        <v>5</v>
      </c>
      <c r="W161" s="589" t="s">
        <v>55</v>
      </c>
      <c r="X161" s="387" t="s">
        <v>57</v>
      </c>
      <c r="Y161" s="388"/>
      <c r="Z161" s="388" t="s">
        <v>65</v>
      </c>
      <c r="AA161" s="393" t="s">
        <v>53</v>
      </c>
      <c r="AB161" s="388" t="s">
        <v>90</v>
      </c>
      <c r="AC161" s="388"/>
      <c r="AD161" s="686">
        <f>S161*V161</f>
        <v>250000</v>
      </c>
      <c r="AE161" s="389" t="s">
        <v>56</v>
      </c>
      <c r="AF161" s="578"/>
    </row>
    <row r="162" spans="1:32" s="11" customFormat="1" ht="21" customHeight="1">
      <c r="A162" s="45"/>
      <c r="B162" s="46"/>
      <c r="C162" s="46"/>
      <c r="D162" s="151"/>
      <c r="E162" s="103"/>
      <c r="F162" s="103"/>
      <c r="G162" s="103"/>
      <c r="H162" s="103"/>
      <c r="I162" s="103"/>
      <c r="J162" s="103"/>
      <c r="K162" s="103"/>
      <c r="L162" s="103"/>
      <c r="M162" s="103"/>
      <c r="N162" s="68"/>
      <c r="O162" s="590" t="s">
        <v>651</v>
      </c>
      <c r="P162" s="590"/>
      <c r="Q162" s="590"/>
      <c r="R162" s="590"/>
      <c r="S162" s="589"/>
      <c r="T162" s="388"/>
      <c r="U162" s="388"/>
      <c r="V162" s="388"/>
      <c r="W162" s="589"/>
      <c r="X162" s="388"/>
      <c r="Y162" s="388"/>
      <c r="Z162" s="388"/>
      <c r="AA162" s="589"/>
      <c r="AB162" s="388" t="s">
        <v>90</v>
      </c>
      <c r="AC162" s="388"/>
      <c r="AD162" s="686">
        <v>160000</v>
      </c>
      <c r="AE162" s="131" t="s">
        <v>56</v>
      </c>
      <c r="AF162" s="578"/>
    </row>
    <row r="163" spans="1:32" s="11" customFormat="1" ht="21" customHeight="1">
      <c r="A163" s="45"/>
      <c r="B163" s="59"/>
      <c r="C163" s="505"/>
      <c r="D163" s="152"/>
      <c r="E163" s="105"/>
      <c r="F163" s="105"/>
      <c r="G163" s="105"/>
      <c r="H163" s="105"/>
      <c r="I163" s="105"/>
      <c r="J163" s="105"/>
      <c r="K163" s="105"/>
      <c r="L163" s="105"/>
      <c r="M163" s="105"/>
      <c r="N163" s="82"/>
      <c r="O163" s="359"/>
      <c r="P163" s="359"/>
      <c r="Q163" s="359"/>
      <c r="R163" s="359"/>
      <c r="S163" s="222"/>
      <c r="T163" s="359"/>
      <c r="U163" s="222"/>
      <c r="V163" s="125"/>
      <c r="W163" s="125"/>
      <c r="X163" s="222"/>
      <c r="Y163" s="222"/>
      <c r="Z163" s="222"/>
      <c r="AA163" s="222"/>
      <c r="AB163" s="222"/>
      <c r="AC163" s="222"/>
      <c r="AD163" s="222"/>
      <c r="AE163" s="71"/>
      <c r="AF163" s="2"/>
    </row>
    <row r="164" spans="1:32" s="11" customFormat="1" ht="21" customHeight="1">
      <c r="A164" s="106" t="s">
        <v>47</v>
      </c>
      <c r="B164" s="739" t="s">
        <v>20</v>
      </c>
      <c r="C164" s="739"/>
      <c r="D164" s="183">
        <f>D165</f>
        <v>98308</v>
      </c>
      <c r="E164" s="183">
        <f>E165</f>
        <v>82112</v>
      </c>
      <c r="F164" s="183">
        <f t="shared" ref="F164:L164" si="6">F165</f>
        <v>3312</v>
      </c>
      <c r="G164" s="183">
        <f t="shared" si="6"/>
        <v>0</v>
      </c>
      <c r="H164" s="183">
        <f t="shared" si="6"/>
        <v>0</v>
      </c>
      <c r="I164" s="183">
        <f t="shared" si="6"/>
        <v>78800</v>
      </c>
      <c r="J164" s="183">
        <f t="shared" si="6"/>
        <v>0</v>
      </c>
      <c r="K164" s="183">
        <f t="shared" si="6"/>
        <v>0</v>
      </c>
      <c r="L164" s="183">
        <f t="shared" si="6"/>
        <v>0</v>
      </c>
      <c r="M164" s="692">
        <f>E164-D164</f>
        <v>-16196</v>
      </c>
      <c r="N164" s="163">
        <f>IF(D164=0,0,M164/D164)</f>
        <v>-0.16474752817675062</v>
      </c>
      <c r="O164" s="176" t="s">
        <v>139</v>
      </c>
      <c r="P164" s="32"/>
      <c r="Q164" s="32"/>
      <c r="R164" s="32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>
        <f>AD165</f>
        <v>82112000</v>
      </c>
      <c r="AE164" s="34" t="s">
        <v>25</v>
      </c>
      <c r="AF164" s="2"/>
    </row>
    <row r="165" spans="1:32" s="11" customFormat="1" ht="21" customHeight="1">
      <c r="A165" s="182" t="s">
        <v>146</v>
      </c>
      <c r="B165" s="46" t="s">
        <v>17</v>
      </c>
      <c r="C165" s="46" t="s">
        <v>140</v>
      </c>
      <c r="D165" s="103">
        <f t="shared" ref="D165:L165" si="7">SUM(D166,D169,D173)</f>
        <v>98308</v>
      </c>
      <c r="E165" s="103">
        <f t="shared" si="7"/>
        <v>82112</v>
      </c>
      <c r="F165" s="103">
        <f t="shared" si="7"/>
        <v>3312</v>
      </c>
      <c r="G165" s="103">
        <f t="shared" si="7"/>
        <v>0</v>
      </c>
      <c r="H165" s="103">
        <f t="shared" si="7"/>
        <v>0</v>
      </c>
      <c r="I165" s="103">
        <f t="shared" si="7"/>
        <v>78800</v>
      </c>
      <c r="J165" s="103">
        <f t="shared" si="7"/>
        <v>0</v>
      </c>
      <c r="K165" s="103">
        <f t="shared" si="7"/>
        <v>0</v>
      </c>
      <c r="L165" s="103">
        <f t="shared" si="7"/>
        <v>0</v>
      </c>
      <c r="M165" s="103">
        <f>E165-D165</f>
        <v>-16196</v>
      </c>
      <c r="N165" s="68">
        <f>IF(D165=0,0,M165/D165)</f>
        <v>-0.16474752817675062</v>
      </c>
      <c r="O165" s="178" t="s">
        <v>141</v>
      </c>
      <c r="P165" s="91"/>
      <c r="Q165" s="91"/>
      <c r="R165" s="91"/>
      <c r="S165" s="91"/>
      <c r="T165" s="87"/>
      <c r="U165" s="87"/>
      <c r="V165" s="87"/>
      <c r="W165" s="87"/>
      <c r="X165" s="87"/>
      <c r="Y165" s="87"/>
      <c r="Z165" s="87"/>
      <c r="AA165" s="87"/>
      <c r="AB165" s="87"/>
      <c r="AC165" s="92"/>
      <c r="AD165" s="92">
        <f>SUM(AD166,AD169,AD173)</f>
        <v>82112000</v>
      </c>
      <c r="AE165" s="93" t="s">
        <v>25</v>
      </c>
      <c r="AF165" s="1"/>
    </row>
    <row r="166" spans="1:32" s="11" customFormat="1" ht="21" customHeight="1">
      <c r="A166" s="45"/>
      <c r="B166" s="46"/>
      <c r="C166" s="36" t="s">
        <v>141</v>
      </c>
      <c r="D166" s="180">
        <v>0</v>
      </c>
      <c r="E166" s="180">
        <f>ROUND(AD166/1000,0)</f>
        <v>0</v>
      </c>
      <c r="F166" s="108">
        <f>SUMIF($AB$167:$AB$168,"보조",$AD$167:$AD$168)/1000</f>
        <v>0</v>
      </c>
      <c r="G166" s="108">
        <f>SUMIF($AB$167:$AB$168,"7종",$AD$167:$AD$168)/1000</f>
        <v>0</v>
      </c>
      <c r="H166" s="108">
        <f>SUMIF($AB$167:$AB$168,"4종",$AD$167:$AD$168)/1000</f>
        <v>0</v>
      </c>
      <c r="I166" s="108">
        <f>SUMIF($AB$167:$AB$168,"후원",$AD$167:$AD$168)/1000</f>
        <v>0</v>
      </c>
      <c r="J166" s="108">
        <f>SUMIF($AB$167:$AB$168,"입소",$AD$167:$AD$168)/1000</f>
        <v>0</v>
      </c>
      <c r="K166" s="108">
        <f>SUMIF($AB$167:$AB$168,"법인",$AD$167:$AD$168)/1000</f>
        <v>0</v>
      </c>
      <c r="L166" s="108">
        <f>SUMIF($AB$167:$AB$168,"잡수",$AD$167:$AD$168)/1000</f>
        <v>0</v>
      </c>
      <c r="M166" s="180">
        <f>E166-D166</f>
        <v>0</v>
      </c>
      <c r="N166" s="181">
        <f>IF(D166=0,0,M166/D166)</f>
        <v>0</v>
      </c>
      <c r="O166" s="95" t="s">
        <v>48</v>
      </c>
      <c r="P166" s="178"/>
      <c r="Q166" s="178"/>
      <c r="R166" s="178"/>
      <c r="S166" s="178"/>
      <c r="T166" s="177"/>
      <c r="U166" s="177"/>
      <c r="V166" s="177"/>
      <c r="W166" s="177"/>
      <c r="X166" s="177"/>
      <c r="Y166" s="169" t="s">
        <v>136</v>
      </c>
      <c r="Z166" s="169"/>
      <c r="AA166" s="169"/>
      <c r="AB166" s="169"/>
      <c r="AC166" s="171"/>
      <c r="AD166" s="171">
        <f>SUM(AD167:AD167)</f>
        <v>0</v>
      </c>
      <c r="AE166" s="170" t="s">
        <v>25</v>
      </c>
      <c r="AF166" s="1"/>
    </row>
    <row r="167" spans="1:32" s="11" customFormat="1" ht="21" customHeight="1">
      <c r="A167" s="45"/>
      <c r="B167" s="46"/>
      <c r="C167" s="46"/>
      <c r="D167" s="104"/>
      <c r="E167" s="103"/>
      <c r="F167" s="103"/>
      <c r="G167" s="103"/>
      <c r="H167" s="103"/>
      <c r="I167" s="103"/>
      <c r="J167" s="103"/>
      <c r="K167" s="103"/>
      <c r="L167" s="103"/>
      <c r="M167" s="103"/>
      <c r="N167" s="68"/>
      <c r="O167" s="551"/>
      <c r="P167" s="551"/>
      <c r="Q167" s="551"/>
      <c r="R167" s="551"/>
      <c r="S167" s="551"/>
      <c r="T167" s="551"/>
      <c r="U167" s="551"/>
      <c r="V167" s="551"/>
      <c r="W167" s="551"/>
      <c r="X167" s="551"/>
      <c r="Y167" s="551"/>
      <c r="Z167" s="551"/>
      <c r="AA167" s="551"/>
      <c r="AB167" s="551"/>
      <c r="AC167" s="551"/>
      <c r="AD167" s="550"/>
      <c r="AE167" s="131"/>
      <c r="AF167" s="2"/>
    </row>
    <row r="168" spans="1:32" s="11" customFormat="1" ht="21" customHeight="1">
      <c r="A168" s="45"/>
      <c r="B168" s="46"/>
      <c r="C168" s="46"/>
      <c r="D168" s="151"/>
      <c r="E168" s="103"/>
      <c r="F168" s="103"/>
      <c r="G168" s="103"/>
      <c r="H168" s="103"/>
      <c r="I168" s="103"/>
      <c r="J168" s="103"/>
      <c r="K168" s="103"/>
      <c r="L168" s="103"/>
      <c r="M168" s="103"/>
      <c r="N168" s="68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26"/>
      <c r="AE168" s="118"/>
      <c r="AF168" s="2"/>
    </row>
    <row r="169" spans="1:32" s="11" customFormat="1" ht="21" customHeight="1">
      <c r="A169" s="45"/>
      <c r="B169" s="46"/>
      <c r="C169" s="36" t="s">
        <v>18</v>
      </c>
      <c r="D169" s="153">
        <v>55120</v>
      </c>
      <c r="E169" s="107">
        <f>ROUND(AD169/1000,0)</f>
        <v>12200</v>
      </c>
      <c r="F169" s="108">
        <f>SUMIF($AB$170:$AB$172,"보조",$AD$170:$AD$172)/1000</f>
        <v>0</v>
      </c>
      <c r="G169" s="108">
        <f>SUMIF($AB$170:$AB$172,"7종",$AD$170:$AD$172)/1000</f>
        <v>0</v>
      </c>
      <c r="H169" s="108">
        <f>SUMIF($AB$170:$AB$172,"4종",$AD$170:$AD$172)/1000</f>
        <v>0</v>
      </c>
      <c r="I169" s="108">
        <f>SUMIF($AB$170:$AB$172,"후원",$AD$170:$AD$172)/1000</f>
        <v>12200</v>
      </c>
      <c r="J169" s="108">
        <f>SUMIF($AB$170:$AB$172,"입소",$AD$170:$AD$172)/1000</f>
        <v>0</v>
      </c>
      <c r="K169" s="108">
        <f>SUMIF($AB$170:$AB$172,"법인",$AD$170:$AD$172)/1000</f>
        <v>0</v>
      </c>
      <c r="L169" s="108">
        <f>SUMIF($AB$170:$AB$172,"잡수",$AD$170:$AD$172)/1000</f>
        <v>0</v>
      </c>
      <c r="M169" s="659">
        <f>E169-D169</f>
        <v>-42920</v>
      </c>
      <c r="N169" s="115">
        <f>IF(D169=0,0,M169/D169)</f>
        <v>-0.77866473149492021</v>
      </c>
      <c r="O169" s="95" t="s">
        <v>49</v>
      </c>
      <c r="P169" s="91"/>
      <c r="Q169" s="91"/>
      <c r="R169" s="91"/>
      <c r="S169" s="91"/>
      <c r="T169" s="87"/>
      <c r="U169" s="87"/>
      <c r="V169" s="87"/>
      <c r="W169" s="87"/>
      <c r="X169" s="87"/>
      <c r="Y169" s="169" t="s">
        <v>136</v>
      </c>
      <c r="Z169" s="169"/>
      <c r="AA169" s="169"/>
      <c r="AB169" s="169"/>
      <c r="AC169" s="171"/>
      <c r="AD169" s="171">
        <f>SUM(AD170:AD172)</f>
        <v>12200000</v>
      </c>
      <c r="AE169" s="170" t="s">
        <v>25</v>
      </c>
      <c r="AF169" s="1"/>
    </row>
    <row r="170" spans="1:32" s="11" customFormat="1" ht="21" customHeight="1">
      <c r="A170" s="45"/>
      <c r="B170" s="46"/>
      <c r="C170" s="46"/>
      <c r="D170" s="104"/>
      <c r="E170" s="103"/>
      <c r="F170" s="103"/>
      <c r="G170" s="103"/>
      <c r="H170" s="103"/>
      <c r="I170" s="103"/>
      <c r="J170" s="103"/>
      <c r="K170" s="103"/>
      <c r="L170" s="103"/>
      <c r="M170" s="103"/>
      <c r="N170" s="68"/>
      <c r="O170" s="668" t="s">
        <v>788</v>
      </c>
      <c r="P170" s="668"/>
      <c r="Q170" s="668"/>
      <c r="R170" s="668"/>
      <c r="S170" s="667">
        <v>1500000</v>
      </c>
      <c r="T170" s="295" t="s">
        <v>766</v>
      </c>
      <c r="U170" s="295" t="s">
        <v>26</v>
      </c>
      <c r="V170" s="667">
        <v>5</v>
      </c>
      <c r="W170" s="668" t="s">
        <v>789</v>
      </c>
      <c r="X170" s="667" t="s">
        <v>27</v>
      </c>
      <c r="Y170" s="667"/>
      <c r="Z170" s="667"/>
      <c r="AA170" s="667"/>
      <c r="AB170" s="667" t="s">
        <v>772</v>
      </c>
      <c r="AC170" s="667"/>
      <c r="AD170" s="667">
        <f>S170*V170</f>
        <v>7500000</v>
      </c>
      <c r="AE170" s="131" t="s">
        <v>25</v>
      </c>
      <c r="AF170" s="2"/>
    </row>
    <row r="171" spans="1:32" s="11" customFormat="1" ht="21" customHeight="1">
      <c r="A171" s="45"/>
      <c r="B171" s="46"/>
      <c r="C171" s="46"/>
      <c r="D171" s="104"/>
      <c r="E171" s="103"/>
      <c r="F171" s="103"/>
      <c r="G171" s="103"/>
      <c r="H171" s="103"/>
      <c r="I171" s="103"/>
      <c r="J171" s="103"/>
      <c r="K171" s="103"/>
      <c r="L171" s="103"/>
      <c r="M171" s="103"/>
      <c r="N171" s="68"/>
      <c r="O171" s="682" t="s">
        <v>864</v>
      </c>
      <c r="P171" s="668"/>
      <c r="Q171" s="668"/>
      <c r="R171" s="668"/>
      <c r="S171" s="667"/>
      <c r="T171" s="295"/>
      <c r="U171" s="295"/>
      <c r="V171" s="667"/>
      <c r="W171" s="668"/>
      <c r="X171" s="667"/>
      <c r="Y171" s="405"/>
      <c r="Z171" s="667"/>
      <c r="AA171" s="667"/>
      <c r="AB171" s="667" t="s">
        <v>790</v>
      </c>
      <c r="AC171" s="667"/>
      <c r="AD171" s="667">
        <v>4700000</v>
      </c>
      <c r="AE171" s="131" t="s">
        <v>791</v>
      </c>
      <c r="AF171" s="2"/>
    </row>
    <row r="172" spans="1:32" s="11" customFormat="1" ht="21" customHeight="1">
      <c r="A172" s="45"/>
      <c r="B172" s="46"/>
      <c r="C172" s="46"/>
      <c r="D172" s="104"/>
      <c r="E172" s="103"/>
      <c r="F172" s="103"/>
      <c r="G172" s="103"/>
      <c r="H172" s="103"/>
      <c r="I172" s="103"/>
      <c r="J172" s="103"/>
      <c r="K172" s="103"/>
      <c r="L172" s="103"/>
      <c r="M172" s="103"/>
      <c r="N172" s="68"/>
      <c r="O172" s="668"/>
      <c r="P172" s="668"/>
      <c r="Q172" s="668"/>
      <c r="R172" s="668"/>
      <c r="S172" s="667"/>
      <c r="T172" s="653"/>
      <c r="U172" s="295"/>
      <c r="V172" s="666"/>
      <c r="W172" s="666"/>
      <c r="X172" s="667"/>
      <c r="Y172" s="667"/>
      <c r="Z172" s="667"/>
      <c r="AA172" s="667"/>
      <c r="AB172" s="667"/>
      <c r="AC172" s="667"/>
      <c r="AD172" s="667"/>
      <c r="AE172" s="131"/>
      <c r="AF172" s="2"/>
    </row>
    <row r="173" spans="1:32" s="11" customFormat="1" ht="21" customHeight="1">
      <c r="A173" s="45"/>
      <c r="B173" s="46"/>
      <c r="C173" s="36" t="s">
        <v>50</v>
      </c>
      <c r="D173" s="153">
        <v>43188</v>
      </c>
      <c r="E173" s="107">
        <f>ROUND(AD173/1000,0)</f>
        <v>69912</v>
      </c>
      <c r="F173" s="108">
        <f>SUMIF($AB$174:$AB$183,"보조",$AD$174:$AD$183)/1000</f>
        <v>3312</v>
      </c>
      <c r="G173" s="108">
        <f>SUMIF($AB$174:$AB$183,"7종",$AD$174:$AD$183)/1000</f>
        <v>0</v>
      </c>
      <c r="H173" s="108">
        <f>SUMIF($AB$174:$AB$183,"4종",$AD$174:$AD$183)/1000</f>
        <v>0</v>
      </c>
      <c r="I173" s="108">
        <f>SUMIF($AB$174:$AB$183,"후원",$AD$174:$AD$183)/1000</f>
        <v>66600</v>
      </c>
      <c r="J173" s="108">
        <f>SUMIF($AB$174:$AB$183,"입소",$AD$174:$AD$183)/1000</f>
        <v>0</v>
      </c>
      <c r="K173" s="108">
        <f>SUMIF($AB$174:$AB$183,"법인",$AD$174:$AD$183)/1000</f>
        <v>0</v>
      </c>
      <c r="L173" s="108">
        <f>SUMIF($AB$174:$AB$183,"잡수",$AD$174:$AD$183)/1000</f>
        <v>0</v>
      </c>
      <c r="M173" s="117">
        <f>E173-D173</f>
        <v>26724</v>
      </c>
      <c r="N173" s="115">
        <f>IF(D173=0,0,M173/D173)</f>
        <v>0.61878299527646563</v>
      </c>
      <c r="O173" s="95" t="s">
        <v>51</v>
      </c>
      <c r="P173" s="91"/>
      <c r="Q173" s="91"/>
      <c r="R173" s="91"/>
      <c r="S173" s="91"/>
      <c r="T173" s="87"/>
      <c r="U173" s="87"/>
      <c r="V173" s="87"/>
      <c r="W173" s="87"/>
      <c r="X173" s="87"/>
      <c r="Y173" s="169" t="s">
        <v>136</v>
      </c>
      <c r="Z173" s="169"/>
      <c r="AA173" s="169"/>
      <c r="AB173" s="169"/>
      <c r="AC173" s="171"/>
      <c r="AD173" s="171">
        <f>SUM(AD174:AD182)</f>
        <v>69912000</v>
      </c>
      <c r="AE173" s="170" t="s">
        <v>25</v>
      </c>
      <c r="AF173" s="1"/>
    </row>
    <row r="174" spans="1:32" s="1" customFormat="1" ht="21" customHeight="1">
      <c r="A174" s="45"/>
      <c r="B174" s="46"/>
      <c r="C174" s="46" t="s">
        <v>154</v>
      </c>
      <c r="D174" s="151"/>
      <c r="E174" s="103"/>
      <c r="F174" s="103"/>
      <c r="G174" s="103"/>
      <c r="H174" s="103"/>
      <c r="I174" s="103"/>
      <c r="J174" s="103"/>
      <c r="K174" s="103"/>
      <c r="L174" s="103"/>
      <c r="M174" s="103"/>
      <c r="N174" s="68"/>
      <c r="O174" s="375" t="s">
        <v>266</v>
      </c>
      <c r="P174" s="375"/>
      <c r="Q174" s="375"/>
      <c r="R174" s="375"/>
      <c r="S174" s="374">
        <v>176000</v>
      </c>
      <c r="T174" s="295" t="s">
        <v>254</v>
      </c>
      <c r="U174" s="295" t="s">
        <v>26</v>
      </c>
      <c r="V174" s="374">
        <v>12</v>
      </c>
      <c r="W174" s="375" t="s">
        <v>258</v>
      </c>
      <c r="X174" s="374" t="s">
        <v>27</v>
      </c>
      <c r="Y174" s="374"/>
      <c r="Z174" s="374"/>
      <c r="AA174" s="374"/>
      <c r="AB174" s="374" t="s">
        <v>262</v>
      </c>
      <c r="AC174" s="374"/>
      <c r="AD174" s="686">
        <f>S174*V174</f>
        <v>2112000</v>
      </c>
      <c r="AE174" s="131" t="s">
        <v>25</v>
      </c>
      <c r="AF174" s="2"/>
    </row>
    <row r="175" spans="1:32" s="1" customFormat="1" ht="21" customHeight="1">
      <c r="A175" s="45"/>
      <c r="B175" s="46"/>
      <c r="C175" s="46"/>
      <c r="D175" s="151"/>
      <c r="E175" s="103"/>
      <c r="F175" s="103"/>
      <c r="G175" s="103"/>
      <c r="H175" s="103"/>
      <c r="I175" s="103"/>
      <c r="J175" s="103"/>
      <c r="K175" s="103"/>
      <c r="L175" s="103"/>
      <c r="M175" s="103"/>
      <c r="N175" s="68"/>
      <c r="O175" s="375" t="s">
        <v>267</v>
      </c>
      <c r="P175" s="375"/>
      <c r="Q175" s="375"/>
      <c r="R175" s="375"/>
      <c r="S175" s="374">
        <v>100000</v>
      </c>
      <c r="T175" s="295" t="s">
        <v>254</v>
      </c>
      <c r="U175" s="295" t="s">
        <v>26</v>
      </c>
      <c r="V175" s="374">
        <v>12</v>
      </c>
      <c r="W175" s="375" t="s">
        <v>258</v>
      </c>
      <c r="X175" s="374" t="s">
        <v>27</v>
      </c>
      <c r="Y175" s="374"/>
      <c r="Z175" s="374"/>
      <c r="AA175" s="374"/>
      <c r="AB175" s="374" t="s">
        <v>262</v>
      </c>
      <c r="AC175" s="374"/>
      <c r="AD175" s="686">
        <f>S175*V175</f>
        <v>1200000</v>
      </c>
      <c r="AE175" s="131" t="s">
        <v>25</v>
      </c>
      <c r="AF175" s="2"/>
    </row>
    <row r="176" spans="1:32" s="1" customFormat="1" ht="21" customHeight="1">
      <c r="A176" s="45"/>
      <c r="B176" s="46"/>
      <c r="C176" s="46"/>
      <c r="D176" s="151"/>
      <c r="E176" s="103"/>
      <c r="F176" s="103"/>
      <c r="G176" s="103"/>
      <c r="H176" s="103"/>
      <c r="I176" s="103"/>
      <c r="J176" s="103"/>
      <c r="K176" s="103"/>
      <c r="L176" s="103"/>
      <c r="M176" s="103"/>
      <c r="N176" s="68"/>
      <c r="O176" s="638" t="s">
        <v>720</v>
      </c>
      <c r="P176" s="638"/>
      <c r="Q176" s="638"/>
      <c r="R176" s="638"/>
      <c r="S176" s="667"/>
      <c r="T176" s="295"/>
      <c r="U176" s="295"/>
      <c r="V176" s="667"/>
      <c r="W176" s="668"/>
      <c r="X176" s="667"/>
      <c r="Y176" s="667"/>
      <c r="Z176" s="667"/>
      <c r="AA176" s="667"/>
      <c r="AB176" s="667" t="s">
        <v>772</v>
      </c>
      <c r="AC176" s="667"/>
      <c r="AD176" s="686">
        <v>13000000</v>
      </c>
      <c r="AE176" s="131" t="s">
        <v>766</v>
      </c>
      <c r="AF176" s="2"/>
    </row>
    <row r="177" spans="1:32" s="1" customFormat="1" ht="21" customHeight="1">
      <c r="A177" s="45"/>
      <c r="B177" s="46"/>
      <c r="C177" s="46"/>
      <c r="D177" s="151"/>
      <c r="E177" s="103"/>
      <c r="F177" s="103"/>
      <c r="G177" s="103"/>
      <c r="H177" s="103"/>
      <c r="I177" s="103"/>
      <c r="J177" s="103"/>
      <c r="K177" s="103"/>
      <c r="L177" s="103"/>
      <c r="M177" s="103"/>
      <c r="N177" s="68"/>
      <c r="O177" s="638"/>
      <c r="P177" s="638"/>
      <c r="Q177" s="638"/>
      <c r="R177" s="638"/>
      <c r="S177" s="667"/>
      <c r="T177" s="295"/>
      <c r="U177" s="295"/>
      <c r="V177" s="667"/>
      <c r="W177" s="668"/>
      <c r="X177" s="667"/>
      <c r="Y177" s="667" t="s">
        <v>792</v>
      </c>
      <c r="Z177" s="667"/>
      <c r="AA177" s="667"/>
      <c r="AB177" s="667" t="s">
        <v>772</v>
      </c>
      <c r="AC177" s="667"/>
      <c r="AD177" s="686">
        <v>7000000</v>
      </c>
      <c r="AE177" s="131" t="s">
        <v>766</v>
      </c>
      <c r="AF177" s="2"/>
    </row>
    <row r="178" spans="1:32" s="1" customFormat="1" ht="21" customHeight="1">
      <c r="A178" s="45"/>
      <c r="B178" s="46"/>
      <c r="C178" s="46"/>
      <c r="D178" s="151"/>
      <c r="E178" s="103"/>
      <c r="F178" s="103"/>
      <c r="G178" s="103"/>
      <c r="H178" s="103"/>
      <c r="I178" s="103"/>
      <c r="J178" s="103"/>
      <c r="K178" s="103"/>
      <c r="L178" s="103"/>
      <c r="M178" s="103"/>
      <c r="N178" s="68"/>
      <c r="O178" s="682" t="s">
        <v>865</v>
      </c>
      <c r="P178" s="638"/>
      <c r="Q178" s="638"/>
      <c r="R178" s="638"/>
      <c r="S178" s="667"/>
      <c r="T178" s="295"/>
      <c r="U178" s="295"/>
      <c r="V178" s="667"/>
      <c r="W178" s="668"/>
      <c r="X178" s="667"/>
      <c r="Y178" s="667"/>
      <c r="Z178" s="667"/>
      <c r="AA178" s="667"/>
      <c r="AB178" s="667" t="s">
        <v>772</v>
      </c>
      <c r="AC178" s="667"/>
      <c r="AD178" s="686">
        <v>5000000</v>
      </c>
      <c r="AE178" s="131" t="s">
        <v>766</v>
      </c>
      <c r="AF178" s="2"/>
    </row>
    <row r="179" spans="1:32" s="1" customFormat="1" ht="21" customHeight="1">
      <c r="A179" s="45"/>
      <c r="B179" s="46"/>
      <c r="C179" s="46"/>
      <c r="D179" s="151"/>
      <c r="E179" s="103"/>
      <c r="F179" s="103"/>
      <c r="G179" s="103"/>
      <c r="H179" s="103"/>
      <c r="I179" s="103"/>
      <c r="J179" s="103"/>
      <c r="K179" s="103"/>
      <c r="L179" s="103"/>
      <c r="M179" s="103"/>
      <c r="N179" s="68"/>
      <c r="O179" s="682" t="s">
        <v>868</v>
      </c>
      <c r="P179" s="580"/>
      <c r="Q179" s="580"/>
      <c r="R179" s="580"/>
      <c r="S179" s="667"/>
      <c r="T179" s="295"/>
      <c r="U179" s="295"/>
      <c r="V179" s="667"/>
      <c r="W179" s="668"/>
      <c r="X179" s="667"/>
      <c r="Y179" s="667"/>
      <c r="Z179" s="667"/>
      <c r="AA179" s="667"/>
      <c r="AB179" s="681" t="s">
        <v>151</v>
      </c>
      <c r="AC179" s="667"/>
      <c r="AD179" s="686">
        <v>1600000</v>
      </c>
      <c r="AE179" s="131" t="s">
        <v>766</v>
      </c>
      <c r="AF179" s="2"/>
    </row>
    <row r="180" spans="1:32" s="1" customFormat="1" ht="21" customHeight="1">
      <c r="A180" s="45"/>
      <c r="B180" s="46"/>
      <c r="C180" s="46"/>
      <c r="D180" s="151"/>
      <c r="E180" s="103"/>
      <c r="F180" s="103"/>
      <c r="G180" s="103"/>
      <c r="H180" s="103"/>
      <c r="I180" s="103"/>
      <c r="J180" s="103"/>
      <c r="K180" s="103"/>
      <c r="L180" s="103"/>
      <c r="M180" s="103"/>
      <c r="N180" s="68"/>
      <c r="O180" s="682" t="s">
        <v>866</v>
      </c>
      <c r="P180" s="562"/>
      <c r="Q180" s="562"/>
      <c r="R180" s="562"/>
      <c r="S180" s="561"/>
      <c r="T180" s="295"/>
      <c r="U180" s="295"/>
      <c r="V180" s="561"/>
      <c r="W180" s="562"/>
      <c r="X180" s="561"/>
      <c r="Y180" s="681" t="s">
        <v>536</v>
      </c>
      <c r="Z180" s="561"/>
      <c r="AA180" s="561"/>
      <c r="AB180" s="599" t="s">
        <v>677</v>
      </c>
      <c r="AC180" s="561"/>
      <c r="AD180" s="686">
        <v>10000000</v>
      </c>
      <c r="AE180" s="131" t="s">
        <v>690</v>
      </c>
      <c r="AF180" s="2"/>
    </row>
    <row r="181" spans="1:32" s="1" customFormat="1" ht="21" customHeight="1">
      <c r="A181" s="45"/>
      <c r="B181" s="46"/>
      <c r="C181" s="46"/>
      <c r="D181" s="151"/>
      <c r="E181" s="103"/>
      <c r="F181" s="103"/>
      <c r="G181" s="103"/>
      <c r="H181" s="103"/>
      <c r="I181" s="103"/>
      <c r="J181" s="103"/>
      <c r="K181" s="103"/>
      <c r="L181" s="103"/>
      <c r="M181" s="103"/>
      <c r="N181" s="68"/>
      <c r="O181" s="682" t="s">
        <v>867</v>
      </c>
      <c r="P181" s="638"/>
      <c r="Q181" s="638"/>
      <c r="R181" s="638"/>
      <c r="S181" s="637"/>
      <c r="T181" s="295"/>
      <c r="U181" s="295"/>
      <c r="V181" s="637"/>
      <c r="W181" s="638"/>
      <c r="X181" s="637"/>
      <c r="Y181" s="637" t="s">
        <v>719</v>
      </c>
      <c r="Z181" s="637"/>
      <c r="AA181" s="637"/>
      <c r="AB181" s="637" t="s">
        <v>714</v>
      </c>
      <c r="AC181" s="637"/>
      <c r="AD181" s="686">
        <v>30000000</v>
      </c>
      <c r="AE181" s="131" t="s">
        <v>699</v>
      </c>
      <c r="AF181" s="2"/>
    </row>
    <row r="182" spans="1:32" s="1" customFormat="1" ht="21" customHeight="1">
      <c r="A182" s="45"/>
      <c r="B182" s="46"/>
      <c r="C182" s="46"/>
      <c r="D182" s="151"/>
      <c r="E182" s="103"/>
      <c r="F182" s="103"/>
      <c r="G182" s="103"/>
      <c r="H182" s="103"/>
      <c r="I182" s="103"/>
      <c r="J182" s="103"/>
      <c r="K182" s="103"/>
      <c r="L182" s="103"/>
      <c r="M182" s="103"/>
      <c r="N182" s="68"/>
      <c r="O182" s="634" t="s">
        <v>698</v>
      </c>
      <c r="P182" s="610"/>
      <c r="Q182" s="610"/>
      <c r="R182" s="610"/>
      <c r="S182" s="609"/>
      <c r="T182" s="295"/>
      <c r="U182" s="295"/>
      <c r="V182" s="609"/>
      <c r="W182" s="610"/>
      <c r="X182" s="609"/>
      <c r="Y182" s="609"/>
      <c r="Z182" s="609"/>
      <c r="AA182" s="609"/>
      <c r="AB182" s="609"/>
      <c r="AC182" s="609"/>
      <c r="AD182" s="622"/>
      <c r="AE182" s="131"/>
      <c r="AF182" s="2"/>
    </row>
    <row r="183" spans="1:32" s="1" customFormat="1" ht="21" customHeight="1">
      <c r="A183" s="45"/>
      <c r="B183" s="46"/>
      <c r="C183" s="46"/>
      <c r="D183" s="151"/>
      <c r="E183" s="103"/>
      <c r="F183" s="103"/>
      <c r="G183" s="103"/>
      <c r="H183" s="103"/>
      <c r="I183" s="103"/>
      <c r="J183" s="103"/>
      <c r="K183" s="103"/>
      <c r="L183" s="103"/>
      <c r="M183" s="103"/>
      <c r="N183" s="68"/>
      <c r="O183" s="148"/>
      <c r="P183" s="50"/>
      <c r="Q183" s="50"/>
      <c r="R183" s="50"/>
      <c r="S183" s="51"/>
      <c r="T183" s="55"/>
      <c r="U183" s="55"/>
      <c r="V183" s="51"/>
      <c r="W183" s="50"/>
      <c r="X183" s="51"/>
      <c r="Y183" s="51"/>
      <c r="Z183" s="51"/>
      <c r="AA183" s="51"/>
      <c r="AB183" s="119"/>
      <c r="AC183" s="51"/>
      <c r="AD183" s="51"/>
      <c r="AE183" s="57"/>
      <c r="AF183" s="2"/>
    </row>
    <row r="184" spans="1:32" s="11" customFormat="1" ht="21" customHeight="1">
      <c r="A184" s="184" t="s">
        <v>19</v>
      </c>
      <c r="B184" s="766" t="s">
        <v>20</v>
      </c>
      <c r="C184" s="767"/>
      <c r="D184" s="185">
        <f t="shared" ref="D184:M184" si="8">SUM(D185,D225)</f>
        <v>381272</v>
      </c>
      <c r="E184" s="185">
        <f t="shared" si="8"/>
        <v>412849</v>
      </c>
      <c r="F184" s="185">
        <f t="shared" si="8"/>
        <v>95879</v>
      </c>
      <c r="G184" s="185">
        <f t="shared" si="8"/>
        <v>15624</v>
      </c>
      <c r="H184" s="185">
        <f t="shared" si="8"/>
        <v>21346</v>
      </c>
      <c r="I184" s="185">
        <f t="shared" si="8"/>
        <v>82140</v>
      </c>
      <c r="J184" s="185">
        <f t="shared" si="8"/>
        <v>128492</v>
      </c>
      <c r="K184" s="185">
        <f t="shared" si="8"/>
        <v>9000</v>
      </c>
      <c r="L184" s="185">
        <f t="shared" si="8"/>
        <v>60368</v>
      </c>
      <c r="M184" s="185">
        <f t="shared" si="8"/>
        <v>31577</v>
      </c>
      <c r="N184" s="186">
        <f>IF(D184=0,0,M184/D184)</f>
        <v>8.2820138903460003E-2</v>
      </c>
      <c r="O184" s="178" t="s">
        <v>143</v>
      </c>
      <c r="P184" s="91"/>
      <c r="Q184" s="91"/>
      <c r="R184" s="91"/>
      <c r="S184" s="91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>
        <f>SUM(AD185,AD225)</f>
        <v>412849000</v>
      </c>
      <c r="AE184" s="93" t="s">
        <v>25</v>
      </c>
      <c r="AF184" s="13"/>
    </row>
    <row r="185" spans="1:32" s="11" customFormat="1" ht="21" customHeight="1">
      <c r="A185" s="46"/>
      <c r="B185" s="36" t="s">
        <v>81</v>
      </c>
      <c r="C185" s="36" t="s">
        <v>144</v>
      </c>
      <c r="D185" s="107">
        <f t="shared" ref="D185:L185" si="9">SUM(D186,D200,D204,D209,D217)</f>
        <v>278631</v>
      </c>
      <c r="E185" s="107">
        <f t="shared" si="9"/>
        <v>291842</v>
      </c>
      <c r="F185" s="107">
        <f t="shared" si="9"/>
        <v>95079</v>
      </c>
      <c r="G185" s="107">
        <f t="shared" si="9"/>
        <v>12600</v>
      </c>
      <c r="H185" s="107">
        <f t="shared" si="9"/>
        <v>21346</v>
      </c>
      <c r="I185" s="107">
        <f t="shared" si="9"/>
        <v>6397</v>
      </c>
      <c r="J185" s="107">
        <f t="shared" si="9"/>
        <v>97220</v>
      </c>
      <c r="K185" s="107">
        <f t="shared" si="9"/>
        <v>0</v>
      </c>
      <c r="L185" s="107">
        <f t="shared" si="9"/>
        <v>59200</v>
      </c>
      <c r="M185" s="107">
        <f>E185-D185</f>
        <v>13211</v>
      </c>
      <c r="N185" s="115">
        <f>IF(D185=0,0,M185/D185)</f>
        <v>4.741396327041858E-2</v>
      </c>
      <c r="O185" s="91"/>
      <c r="P185" s="91"/>
      <c r="Q185" s="91"/>
      <c r="R185" s="91"/>
      <c r="S185" s="91"/>
      <c r="T185" s="87"/>
      <c r="U185" s="87"/>
      <c r="V185" s="87"/>
      <c r="W185" s="87"/>
      <c r="X185" s="87"/>
      <c r="Y185" s="87" t="s">
        <v>28</v>
      </c>
      <c r="Z185" s="87"/>
      <c r="AA185" s="87"/>
      <c r="AB185" s="87"/>
      <c r="AC185" s="92"/>
      <c r="AD185" s="92">
        <f>SUM(AD186,AD200,AD204,AD209,AD217)</f>
        <v>291842000</v>
      </c>
      <c r="AE185" s="93" t="s">
        <v>25</v>
      </c>
      <c r="AF185" s="1"/>
    </row>
    <row r="186" spans="1:32" s="11" customFormat="1" ht="21" customHeight="1">
      <c r="A186" s="46"/>
      <c r="B186" s="46"/>
      <c r="C186" s="36" t="s">
        <v>58</v>
      </c>
      <c r="D186" s="153">
        <v>227815</v>
      </c>
      <c r="E186" s="107">
        <f>AD186/1000</f>
        <v>226234</v>
      </c>
      <c r="F186" s="108">
        <f>SUMIF($AB$187:$AB$199,"보조",$AD$187:$AD$199)/1000</f>
        <v>68833</v>
      </c>
      <c r="G186" s="108">
        <f>SUMIF($AB$187:$AB$199,"7종",$AD$187:$AD$199)/1000</f>
        <v>0</v>
      </c>
      <c r="H186" s="108">
        <f>SUMIF($AB$187:$AB$199,"4종",$AD$187:$AD$199)/1000</f>
        <v>15106</v>
      </c>
      <c r="I186" s="108">
        <f>SUMIF($AB$187:$AB$199,"후원",$AD$187:$AD$199)/1000</f>
        <v>0</v>
      </c>
      <c r="J186" s="108">
        <f>SUMIF($AB$187:$AB$199,"입소",$AD$187:$AD$199)/1000</f>
        <v>83095</v>
      </c>
      <c r="K186" s="108">
        <f>SUMIF($AB$187:$AB$199,"법인",$AD$187:$AD$199)/1000</f>
        <v>0</v>
      </c>
      <c r="L186" s="108">
        <f>SUMIF($AB$187:$AB$199,"잡수",$AD$187:$AD$199)/1000</f>
        <v>59200</v>
      </c>
      <c r="M186" s="659">
        <f>E186-D186</f>
        <v>-1581</v>
      </c>
      <c r="N186" s="115">
        <f>IF(D186=0,0,M186/D186)</f>
        <v>-6.9398415380901171E-3</v>
      </c>
      <c r="O186" s="95" t="s">
        <v>82</v>
      </c>
      <c r="P186" s="178"/>
      <c r="Q186" s="178"/>
      <c r="R186" s="178"/>
      <c r="S186" s="178"/>
      <c r="T186" s="177"/>
      <c r="U186" s="177"/>
      <c r="V186" s="177"/>
      <c r="W186" s="177"/>
      <c r="X186" s="177"/>
      <c r="Y186" s="169" t="s">
        <v>136</v>
      </c>
      <c r="Z186" s="169"/>
      <c r="AA186" s="169"/>
      <c r="AB186" s="169"/>
      <c r="AC186" s="171"/>
      <c r="AD186" s="171">
        <f>SUM(AD187:AD199)</f>
        <v>226234000</v>
      </c>
      <c r="AE186" s="170" t="s">
        <v>25</v>
      </c>
      <c r="AF186" s="1"/>
    </row>
    <row r="187" spans="1:32" s="11" customFormat="1" ht="21" customHeight="1">
      <c r="A187" s="46"/>
      <c r="B187" s="46"/>
      <c r="C187" s="46"/>
      <c r="D187" s="104"/>
      <c r="E187" s="103"/>
      <c r="F187" s="103"/>
      <c r="G187" s="103"/>
      <c r="H187" s="103"/>
      <c r="I187" s="103"/>
      <c r="J187" s="103"/>
      <c r="K187" s="103"/>
      <c r="L187" s="103"/>
      <c r="M187" s="103"/>
      <c r="N187" s="68"/>
      <c r="O187" s="375" t="s">
        <v>268</v>
      </c>
      <c r="P187" s="375"/>
      <c r="Q187" s="374"/>
      <c r="R187" s="374"/>
      <c r="S187" s="374">
        <v>230000</v>
      </c>
      <c r="T187" s="374" t="s">
        <v>254</v>
      </c>
      <c r="U187" s="295" t="s">
        <v>256</v>
      </c>
      <c r="V187" s="374">
        <v>12</v>
      </c>
      <c r="W187" s="374" t="s">
        <v>258</v>
      </c>
      <c r="X187" s="295" t="s">
        <v>256</v>
      </c>
      <c r="Y187" s="374">
        <v>24</v>
      </c>
      <c r="Z187" s="374" t="s">
        <v>257</v>
      </c>
      <c r="AA187" s="289" t="s">
        <v>259</v>
      </c>
      <c r="AB187" s="374" t="s">
        <v>262</v>
      </c>
      <c r="AC187" s="130"/>
      <c r="AD187" s="130">
        <f>ROUNDUP(S187*V187*Y187,-3)</f>
        <v>66240000</v>
      </c>
      <c r="AE187" s="131" t="s">
        <v>25</v>
      </c>
      <c r="AF187" s="2"/>
    </row>
    <row r="188" spans="1:32" s="11" customFormat="1" ht="21" customHeight="1">
      <c r="A188" s="46"/>
      <c r="B188" s="46"/>
      <c r="C188" s="46"/>
      <c r="D188" s="104"/>
      <c r="E188" s="103"/>
      <c r="F188" s="103"/>
      <c r="G188" s="103"/>
      <c r="H188" s="103"/>
      <c r="I188" s="103"/>
      <c r="J188" s="103"/>
      <c r="K188" s="103"/>
      <c r="L188" s="103"/>
      <c r="M188" s="103"/>
      <c r="N188" s="68"/>
      <c r="O188" s="562" t="s">
        <v>592</v>
      </c>
      <c r="P188" s="562"/>
      <c r="Q188" s="562"/>
      <c r="R188" s="562"/>
      <c r="S188" s="561">
        <v>230000</v>
      </c>
      <c r="T188" s="561" t="s">
        <v>582</v>
      </c>
      <c r="U188" s="295" t="s">
        <v>586</v>
      </c>
      <c r="V188" s="561">
        <v>12</v>
      </c>
      <c r="W188" s="561" t="s">
        <v>593</v>
      </c>
      <c r="X188" s="295" t="s">
        <v>586</v>
      </c>
      <c r="Y188" s="561">
        <v>28</v>
      </c>
      <c r="Z188" s="561" t="s">
        <v>587</v>
      </c>
      <c r="AA188" s="549" t="s">
        <v>589</v>
      </c>
      <c r="AB188" s="561" t="s">
        <v>591</v>
      </c>
      <c r="AC188" s="130"/>
      <c r="AD188" s="130">
        <f>ROUNDUP(S188*V188*Y188,-3)</f>
        <v>77280000</v>
      </c>
      <c r="AE188" s="131" t="s">
        <v>25</v>
      </c>
      <c r="AF188" s="2"/>
    </row>
    <row r="189" spans="1:32" s="11" customFormat="1" ht="21" customHeight="1">
      <c r="A189" s="46"/>
      <c r="B189" s="46"/>
      <c r="C189" s="46"/>
      <c r="D189" s="104"/>
      <c r="E189" s="103"/>
      <c r="F189" s="103"/>
      <c r="G189" s="103"/>
      <c r="H189" s="103"/>
      <c r="I189" s="103"/>
      <c r="J189" s="103"/>
      <c r="K189" s="103"/>
      <c r="L189" s="103"/>
      <c r="M189" s="103"/>
      <c r="N189" s="68"/>
      <c r="O189" s="375" t="s">
        <v>269</v>
      </c>
      <c r="P189" s="375"/>
      <c r="Q189" s="374"/>
      <c r="R189" s="374"/>
      <c r="S189" s="374">
        <v>500</v>
      </c>
      <c r="T189" s="374" t="s">
        <v>244</v>
      </c>
      <c r="U189" s="295" t="s">
        <v>245</v>
      </c>
      <c r="V189" s="374">
        <v>365</v>
      </c>
      <c r="W189" s="374" t="s">
        <v>270</v>
      </c>
      <c r="X189" s="295" t="s">
        <v>245</v>
      </c>
      <c r="Y189" s="374">
        <v>52</v>
      </c>
      <c r="Z189" s="374" t="s">
        <v>246</v>
      </c>
      <c r="AA189" s="289" t="s">
        <v>247</v>
      </c>
      <c r="AB189" s="536" t="s">
        <v>542</v>
      </c>
      <c r="AC189" s="130"/>
      <c r="AD189" s="130">
        <f>ROUND(S189*V189*Y189,-3)</f>
        <v>9490000</v>
      </c>
      <c r="AE189" s="131" t="s">
        <v>25</v>
      </c>
      <c r="AF189" s="2"/>
    </row>
    <row r="190" spans="1:32" s="11" customFormat="1" ht="21" customHeight="1">
      <c r="A190" s="46"/>
      <c r="B190" s="46"/>
      <c r="C190" s="46"/>
      <c r="D190" s="104"/>
      <c r="E190" s="103"/>
      <c r="F190" s="103"/>
      <c r="G190" s="103"/>
      <c r="H190" s="103"/>
      <c r="I190" s="103"/>
      <c r="J190" s="103"/>
      <c r="K190" s="103"/>
      <c r="L190" s="103"/>
      <c r="M190" s="103"/>
      <c r="N190" s="68"/>
      <c r="O190" s="375" t="s">
        <v>271</v>
      </c>
      <c r="P190" s="375"/>
      <c r="Q190" s="374"/>
      <c r="R190" s="374"/>
      <c r="S190" s="374">
        <v>5000</v>
      </c>
      <c r="T190" s="374" t="s">
        <v>244</v>
      </c>
      <c r="U190" s="295" t="s">
        <v>245</v>
      </c>
      <c r="V190" s="374">
        <v>12</v>
      </c>
      <c r="W190" s="374" t="s">
        <v>29</v>
      </c>
      <c r="X190" s="295" t="s">
        <v>245</v>
      </c>
      <c r="Y190" s="374">
        <v>52</v>
      </c>
      <c r="Z190" s="374" t="s">
        <v>246</v>
      </c>
      <c r="AA190" s="289" t="s">
        <v>247</v>
      </c>
      <c r="AB190" s="536" t="s">
        <v>201</v>
      </c>
      <c r="AC190" s="130"/>
      <c r="AD190" s="130">
        <f>S190*V190*Y190</f>
        <v>3120000</v>
      </c>
      <c r="AE190" s="131" t="s">
        <v>25</v>
      </c>
      <c r="AF190" s="2"/>
    </row>
    <row r="191" spans="1:32" s="11" customFormat="1" ht="21" customHeight="1">
      <c r="A191" s="46"/>
      <c r="B191" s="46"/>
      <c r="C191" s="46"/>
      <c r="D191" s="104"/>
      <c r="E191" s="103"/>
      <c r="F191" s="103"/>
      <c r="G191" s="103"/>
      <c r="H191" s="103"/>
      <c r="I191" s="103"/>
      <c r="J191" s="103"/>
      <c r="K191" s="103"/>
      <c r="L191" s="103"/>
      <c r="M191" s="103"/>
      <c r="N191" s="68"/>
      <c r="O191" s="375" t="s">
        <v>272</v>
      </c>
      <c r="P191" s="375"/>
      <c r="Q191" s="374"/>
      <c r="R191" s="374"/>
      <c r="S191" s="374">
        <v>12000</v>
      </c>
      <c r="T191" s="374" t="s">
        <v>244</v>
      </c>
      <c r="U191" s="295" t="s">
        <v>245</v>
      </c>
      <c r="V191" s="374">
        <v>4</v>
      </c>
      <c r="W191" s="374" t="s">
        <v>249</v>
      </c>
      <c r="X191" s="295" t="s">
        <v>245</v>
      </c>
      <c r="Y191" s="374">
        <v>52</v>
      </c>
      <c r="Z191" s="374" t="s">
        <v>246</v>
      </c>
      <c r="AA191" s="289" t="s">
        <v>247</v>
      </c>
      <c r="AB191" s="536" t="s">
        <v>201</v>
      </c>
      <c r="AC191" s="130"/>
      <c r="AD191" s="130">
        <f>S191*V191*Y191</f>
        <v>2496000</v>
      </c>
      <c r="AE191" s="131" t="s">
        <v>25</v>
      </c>
      <c r="AF191" s="2"/>
    </row>
    <row r="192" spans="1:32" s="11" customFormat="1" ht="21" customHeight="1">
      <c r="A192" s="46"/>
      <c r="B192" s="46"/>
      <c r="C192" s="46"/>
      <c r="D192" s="104"/>
      <c r="E192" s="103"/>
      <c r="F192" s="103"/>
      <c r="G192" s="103"/>
      <c r="H192" s="103"/>
      <c r="I192" s="103"/>
      <c r="J192" s="103"/>
      <c r="K192" s="103"/>
      <c r="L192" s="103"/>
      <c r="M192" s="103"/>
      <c r="N192" s="68"/>
      <c r="O192" s="375" t="s">
        <v>273</v>
      </c>
      <c r="P192" s="375"/>
      <c r="Q192" s="374"/>
      <c r="R192" s="374"/>
      <c r="S192" s="374">
        <v>36300</v>
      </c>
      <c r="T192" s="374" t="s">
        <v>244</v>
      </c>
      <c r="U192" s="295" t="s">
        <v>245</v>
      </c>
      <c r="V192" s="374">
        <v>2</v>
      </c>
      <c r="W192" s="374" t="s">
        <v>249</v>
      </c>
      <c r="X192" s="295" t="s">
        <v>245</v>
      </c>
      <c r="Y192" s="374">
        <v>24</v>
      </c>
      <c r="Z192" s="374" t="s">
        <v>246</v>
      </c>
      <c r="AA192" s="289" t="s">
        <v>247</v>
      </c>
      <c r="AB192" s="374" t="s">
        <v>251</v>
      </c>
      <c r="AC192" s="130"/>
      <c r="AD192" s="130">
        <f>ROUNDUP(S192*V192*Y192,-3)</f>
        <v>1743000</v>
      </c>
      <c r="AE192" s="131" t="s">
        <v>25</v>
      </c>
      <c r="AF192" s="2"/>
    </row>
    <row r="193" spans="1:32" s="11" customFormat="1" ht="21" customHeight="1">
      <c r="A193" s="46"/>
      <c r="B193" s="46"/>
      <c r="C193" s="46"/>
      <c r="D193" s="151"/>
      <c r="E193" s="103"/>
      <c r="F193" s="103"/>
      <c r="G193" s="103"/>
      <c r="H193" s="103"/>
      <c r="I193" s="103"/>
      <c r="J193" s="103"/>
      <c r="K193" s="103"/>
      <c r="L193" s="103"/>
      <c r="M193" s="103"/>
      <c r="N193" s="68"/>
      <c r="O193" s="375" t="s">
        <v>274</v>
      </c>
      <c r="P193" s="375"/>
      <c r="Q193" s="374"/>
      <c r="R193" s="374"/>
      <c r="S193" s="374">
        <v>35394</v>
      </c>
      <c r="T193" s="374" t="s">
        <v>244</v>
      </c>
      <c r="U193" s="295" t="s">
        <v>245</v>
      </c>
      <c r="V193" s="374">
        <v>1</v>
      </c>
      <c r="W193" s="374" t="s">
        <v>249</v>
      </c>
      <c r="X193" s="295" t="s">
        <v>245</v>
      </c>
      <c r="Y193" s="374">
        <v>24</v>
      </c>
      <c r="Z193" s="374" t="s">
        <v>246</v>
      </c>
      <c r="AA193" s="289" t="s">
        <v>247</v>
      </c>
      <c r="AB193" s="374" t="s">
        <v>251</v>
      </c>
      <c r="AC193" s="130"/>
      <c r="AD193" s="130">
        <f>ROUNDUP(S193*V193*Y193,-3)</f>
        <v>850000</v>
      </c>
      <c r="AE193" s="131" t="s">
        <v>25</v>
      </c>
      <c r="AF193" s="2"/>
    </row>
    <row r="194" spans="1:32" s="11" customFormat="1" ht="21" customHeight="1">
      <c r="A194" s="46"/>
      <c r="B194" s="46"/>
      <c r="C194" s="46"/>
      <c r="D194" s="151"/>
      <c r="E194" s="103"/>
      <c r="F194" s="103"/>
      <c r="G194" s="103"/>
      <c r="H194" s="103"/>
      <c r="I194" s="103"/>
      <c r="J194" s="103"/>
      <c r="K194" s="103"/>
      <c r="L194" s="103"/>
      <c r="M194" s="103"/>
      <c r="N194" s="68"/>
      <c r="O194" s="562" t="s">
        <v>594</v>
      </c>
      <c r="P194" s="562"/>
      <c r="Q194" s="561"/>
      <c r="R194" s="561"/>
      <c r="S194" s="561">
        <v>35394</v>
      </c>
      <c r="T194" s="561" t="s">
        <v>582</v>
      </c>
      <c r="U194" s="295" t="s">
        <v>586</v>
      </c>
      <c r="V194" s="561">
        <v>1</v>
      </c>
      <c r="W194" s="561" t="s">
        <v>583</v>
      </c>
      <c r="X194" s="295" t="s">
        <v>586</v>
      </c>
      <c r="Y194" s="561">
        <v>28</v>
      </c>
      <c r="Z194" s="561" t="s">
        <v>587</v>
      </c>
      <c r="AA194" s="549" t="s">
        <v>589</v>
      </c>
      <c r="AB194" s="561" t="s">
        <v>591</v>
      </c>
      <c r="AC194" s="130"/>
      <c r="AD194" s="130">
        <f>ROUND(S194*V194*Y194,-3)</f>
        <v>991000</v>
      </c>
      <c r="AE194" s="131" t="s">
        <v>653</v>
      </c>
      <c r="AF194" s="2"/>
    </row>
    <row r="195" spans="1:32" s="11" customFormat="1" ht="21" customHeight="1">
      <c r="A195" s="46"/>
      <c r="B195" s="46"/>
      <c r="C195" s="46"/>
      <c r="D195" s="151"/>
      <c r="E195" s="103"/>
      <c r="F195" s="103"/>
      <c r="G195" s="103"/>
      <c r="H195" s="103"/>
      <c r="I195" s="103"/>
      <c r="J195" s="103"/>
      <c r="K195" s="103"/>
      <c r="L195" s="103"/>
      <c r="M195" s="103"/>
      <c r="N195" s="68"/>
      <c r="O195" s="658"/>
      <c r="P195" s="658"/>
      <c r="Q195" s="657"/>
      <c r="R195" s="657"/>
      <c r="S195" s="657"/>
      <c r="T195" s="657"/>
      <c r="U195" s="295"/>
      <c r="V195" s="657"/>
      <c r="W195" s="657"/>
      <c r="X195" s="295"/>
      <c r="Y195" s="657"/>
      <c r="Z195" s="657"/>
      <c r="AA195" s="656"/>
      <c r="AB195" s="667" t="s">
        <v>793</v>
      </c>
      <c r="AC195" s="666"/>
      <c r="AD195" s="666">
        <v>4824000</v>
      </c>
      <c r="AE195" s="131" t="s">
        <v>766</v>
      </c>
      <c r="AF195" s="2"/>
    </row>
    <row r="196" spans="1:32" s="11" customFormat="1" ht="21" customHeight="1">
      <c r="A196" s="46"/>
      <c r="B196" s="46"/>
      <c r="C196" s="46"/>
      <c r="D196" s="151"/>
      <c r="E196" s="103"/>
      <c r="F196" s="103"/>
      <c r="G196" s="103"/>
      <c r="H196" s="103"/>
      <c r="I196" s="103"/>
      <c r="J196" s="103"/>
      <c r="K196" s="103"/>
      <c r="L196" s="103"/>
      <c r="M196" s="103"/>
      <c r="N196" s="68"/>
      <c r="O196" s="283" t="s">
        <v>678</v>
      </c>
      <c r="P196" s="561"/>
      <c r="Q196" s="561"/>
      <c r="R196" s="561"/>
      <c r="S196" s="561">
        <v>60000</v>
      </c>
      <c r="T196" s="561" t="s">
        <v>582</v>
      </c>
      <c r="U196" s="295" t="s">
        <v>586</v>
      </c>
      <c r="V196" s="561">
        <v>39</v>
      </c>
      <c r="W196" s="562" t="s">
        <v>587</v>
      </c>
      <c r="X196" s="295" t="s">
        <v>586</v>
      </c>
      <c r="Y196" s="561">
        <v>12</v>
      </c>
      <c r="Z196" s="561" t="s">
        <v>593</v>
      </c>
      <c r="AA196" s="549" t="s">
        <v>589</v>
      </c>
      <c r="AB196" s="665" t="s">
        <v>774</v>
      </c>
      <c r="AC196" s="668"/>
      <c r="AD196" s="667">
        <f>ROUND(S196*V196*Y196,-3)</f>
        <v>28080000</v>
      </c>
      <c r="AE196" s="131" t="s">
        <v>766</v>
      </c>
      <c r="AF196" s="2"/>
    </row>
    <row r="197" spans="1:32" s="11" customFormat="1" ht="21" customHeight="1">
      <c r="A197" s="46"/>
      <c r="B197" s="46"/>
      <c r="C197" s="46"/>
      <c r="D197" s="151"/>
      <c r="E197" s="103"/>
      <c r="F197" s="103"/>
      <c r="G197" s="103"/>
      <c r="H197" s="103"/>
      <c r="I197" s="103"/>
      <c r="J197" s="103"/>
      <c r="K197" s="103"/>
      <c r="L197" s="103"/>
      <c r="M197" s="103"/>
      <c r="N197" s="68"/>
      <c r="O197" s="562" t="s">
        <v>595</v>
      </c>
      <c r="P197" s="562"/>
      <c r="Q197" s="562"/>
      <c r="R197" s="562"/>
      <c r="S197" s="561">
        <v>60000</v>
      </c>
      <c r="T197" s="295" t="s">
        <v>582</v>
      </c>
      <c r="U197" s="295" t="s">
        <v>26</v>
      </c>
      <c r="V197" s="561">
        <v>31</v>
      </c>
      <c r="W197" s="561" t="s">
        <v>587</v>
      </c>
      <c r="X197" s="295" t="s">
        <v>26</v>
      </c>
      <c r="Y197" s="561">
        <v>12</v>
      </c>
      <c r="Z197" s="561" t="s">
        <v>593</v>
      </c>
      <c r="AA197" s="549" t="s">
        <v>27</v>
      </c>
      <c r="AB197" s="667" t="s">
        <v>774</v>
      </c>
      <c r="AC197" s="667"/>
      <c r="AD197" s="667">
        <f>S197*V197*Y197</f>
        <v>22320000</v>
      </c>
      <c r="AE197" s="402" t="s">
        <v>766</v>
      </c>
      <c r="AF197" s="2"/>
    </row>
    <row r="198" spans="1:32" s="11" customFormat="1" ht="21" customHeight="1">
      <c r="A198" s="46"/>
      <c r="B198" s="46"/>
      <c r="C198" s="46"/>
      <c r="D198" s="151"/>
      <c r="E198" s="103"/>
      <c r="F198" s="103"/>
      <c r="G198" s="103"/>
      <c r="H198" s="103"/>
      <c r="I198" s="103"/>
      <c r="J198" s="103"/>
      <c r="K198" s="103"/>
      <c r="L198" s="103"/>
      <c r="M198" s="103"/>
      <c r="N198" s="68"/>
      <c r="O198" s="573" t="s">
        <v>652</v>
      </c>
      <c r="P198" s="562"/>
      <c r="Q198" s="562"/>
      <c r="R198" s="562"/>
      <c r="S198" s="561"/>
      <c r="T198" s="295" t="s">
        <v>582</v>
      </c>
      <c r="U198" s="295" t="s">
        <v>26</v>
      </c>
      <c r="V198" s="561"/>
      <c r="W198" s="561" t="s">
        <v>587</v>
      </c>
      <c r="X198" s="295" t="s">
        <v>26</v>
      </c>
      <c r="Y198" s="561"/>
      <c r="Z198" s="561" t="s">
        <v>593</v>
      </c>
      <c r="AA198" s="549" t="s">
        <v>27</v>
      </c>
      <c r="AB198" s="667" t="s">
        <v>774</v>
      </c>
      <c r="AC198" s="667"/>
      <c r="AD198" s="667">
        <v>8800000</v>
      </c>
      <c r="AE198" s="402" t="s">
        <v>766</v>
      </c>
      <c r="AF198" s="2"/>
    </row>
    <row r="199" spans="1:32" s="11" customFormat="1" ht="21" customHeight="1">
      <c r="A199" s="46"/>
      <c r="B199" s="46"/>
      <c r="C199" s="59"/>
      <c r="D199" s="152"/>
      <c r="E199" s="105"/>
      <c r="F199" s="105"/>
      <c r="G199" s="105"/>
      <c r="H199" s="105"/>
      <c r="I199" s="105"/>
      <c r="J199" s="105"/>
      <c r="K199" s="105"/>
      <c r="L199" s="105"/>
      <c r="M199" s="105"/>
      <c r="N199" s="82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26"/>
      <c r="AE199" s="118"/>
      <c r="AF199" s="2"/>
    </row>
    <row r="200" spans="1:32" s="11" customFormat="1" ht="21" customHeight="1">
      <c r="A200" s="46"/>
      <c r="B200" s="46"/>
      <c r="C200" s="46" t="s">
        <v>83</v>
      </c>
      <c r="D200" s="151">
        <v>7773</v>
      </c>
      <c r="E200" s="103">
        <f>ROUND(AD200/1000,0)</f>
        <v>7773</v>
      </c>
      <c r="F200" s="108">
        <f>SUMIF($AB$201:$AB$203,"보조",$AD$201:$AD$203)/1000</f>
        <v>4796</v>
      </c>
      <c r="G200" s="108">
        <f>SUMIF($AB$201:$AB$203,"7종",$AD$201:$AD$203)/1000</f>
        <v>0</v>
      </c>
      <c r="H200" s="108">
        <f>SUMIF($AB$201:$AB$203,"4종",$AD$201:$AD$203)/1000</f>
        <v>0</v>
      </c>
      <c r="I200" s="108">
        <f>SUMIF($AB$201:$AB$203,"후원",$AD$201:$AD$203)/1000</f>
        <v>2977</v>
      </c>
      <c r="J200" s="108">
        <f>SUMIF($AB$201:$AB$203,"입소",$AD$201:$AD$203)/1000</f>
        <v>0</v>
      </c>
      <c r="K200" s="108">
        <f>SUMIF($AB$201:$AB$203,"법인",$AD$201:$AD$203)/1000</f>
        <v>0</v>
      </c>
      <c r="L200" s="108">
        <f>SUMIF($AB$201:$AB$203,"잡수",$AD$201:$AD$203)/1000</f>
        <v>0</v>
      </c>
      <c r="M200" s="103">
        <f>E200-D200</f>
        <v>0</v>
      </c>
      <c r="N200" s="68">
        <f>IF(D200=0,0,M200/D200)</f>
        <v>0</v>
      </c>
      <c r="O200" s="95" t="s">
        <v>84</v>
      </c>
      <c r="P200" s="91"/>
      <c r="Q200" s="91"/>
      <c r="R200" s="91"/>
      <c r="S200" s="91"/>
      <c r="T200" s="87"/>
      <c r="U200" s="87"/>
      <c r="V200" s="87"/>
      <c r="W200" s="87"/>
      <c r="X200" s="87"/>
      <c r="Y200" s="169" t="s">
        <v>136</v>
      </c>
      <c r="Z200" s="169"/>
      <c r="AA200" s="169"/>
      <c r="AB200" s="169"/>
      <c r="AC200" s="171"/>
      <c r="AD200" s="171">
        <f>SUM(AD201:AD203)</f>
        <v>7773000</v>
      </c>
      <c r="AE200" s="170" t="s">
        <v>25</v>
      </c>
      <c r="AF200" s="1"/>
    </row>
    <row r="201" spans="1:32" s="11" customFormat="1" ht="21" customHeight="1">
      <c r="A201" s="46"/>
      <c r="B201" s="46"/>
      <c r="C201" s="46" t="s">
        <v>145</v>
      </c>
      <c r="D201" s="151"/>
      <c r="E201" s="103"/>
      <c r="F201" s="103"/>
      <c r="G201" s="103"/>
      <c r="H201" s="103"/>
      <c r="I201" s="103"/>
      <c r="J201" s="103"/>
      <c r="K201" s="103"/>
      <c r="L201" s="103"/>
      <c r="M201" s="103"/>
      <c r="N201" s="68"/>
      <c r="O201" s="375" t="s">
        <v>275</v>
      </c>
      <c r="P201" s="375"/>
      <c r="Q201" s="375"/>
      <c r="R201" s="375"/>
      <c r="S201" s="374"/>
      <c r="T201" s="295"/>
      <c r="U201" s="295"/>
      <c r="V201" s="374"/>
      <c r="W201" s="374"/>
      <c r="X201" s="374"/>
      <c r="Y201" s="374"/>
      <c r="Z201" s="374"/>
      <c r="AA201" s="374"/>
      <c r="AB201" s="374" t="s">
        <v>251</v>
      </c>
      <c r="AC201" s="374"/>
      <c r="AD201" s="374">
        <v>4796000</v>
      </c>
      <c r="AE201" s="131" t="s">
        <v>244</v>
      </c>
      <c r="AF201" s="2"/>
    </row>
    <row r="202" spans="1:32" s="11" customFormat="1" ht="21" customHeight="1">
      <c r="A202" s="46"/>
      <c r="B202" s="46"/>
      <c r="C202" s="46"/>
      <c r="D202" s="151"/>
      <c r="E202" s="103"/>
      <c r="F202" s="103"/>
      <c r="G202" s="103"/>
      <c r="H202" s="103"/>
      <c r="I202" s="103"/>
      <c r="J202" s="103"/>
      <c r="K202" s="103"/>
      <c r="L202" s="103"/>
      <c r="M202" s="103"/>
      <c r="N202" s="68"/>
      <c r="O202" s="682" t="s">
        <v>878</v>
      </c>
      <c r="P202" s="375"/>
      <c r="Q202" s="375"/>
      <c r="R202" s="375"/>
      <c r="S202" s="374"/>
      <c r="T202" s="295"/>
      <c r="U202" s="295"/>
      <c r="V202" s="374"/>
      <c r="W202" s="374"/>
      <c r="X202" s="374"/>
      <c r="Y202" s="374"/>
      <c r="Z202" s="374"/>
      <c r="AA202" s="374"/>
      <c r="AB202" s="667" t="s">
        <v>772</v>
      </c>
      <c r="AC202" s="667"/>
      <c r="AD202" s="667">
        <v>2977000</v>
      </c>
      <c r="AE202" s="131" t="s">
        <v>766</v>
      </c>
      <c r="AF202" s="2"/>
    </row>
    <row r="203" spans="1:32" s="11" customFormat="1" ht="21" customHeight="1">
      <c r="A203" s="46"/>
      <c r="B203" s="46"/>
      <c r="C203" s="46"/>
      <c r="D203" s="151"/>
      <c r="E203" s="103"/>
      <c r="F203" s="103"/>
      <c r="G203" s="103"/>
      <c r="H203" s="103"/>
      <c r="I203" s="103"/>
      <c r="J203" s="103"/>
      <c r="K203" s="103"/>
      <c r="L203" s="103"/>
      <c r="M203" s="103"/>
      <c r="N203" s="68"/>
      <c r="O203" s="279"/>
      <c r="P203" s="279"/>
      <c r="Q203" s="279"/>
      <c r="R203" s="279"/>
      <c r="S203" s="297"/>
      <c r="T203" s="298"/>
      <c r="U203" s="282"/>
      <c r="V203" s="299"/>
      <c r="W203" s="297"/>
      <c r="X203" s="297"/>
      <c r="Y203" s="297"/>
      <c r="Z203" s="297"/>
      <c r="AA203" s="297"/>
      <c r="AB203" s="297"/>
      <c r="AC203" s="297"/>
      <c r="AD203" s="297"/>
      <c r="AE203" s="300"/>
      <c r="AF203" s="1"/>
    </row>
    <row r="204" spans="1:32" s="11" customFormat="1" ht="21" customHeight="1">
      <c r="A204" s="46"/>
      <c r="B204" s="46"/>
      <c r="C204" s="36" t="s">
        <v>78</v>
      </c>
      <c r="D204" s="153">
        <v>16640</v>
      </c>
      <c r="E204" s="107">
        <f>ROUND(AD204/1000,0)</f>
        <v>16640</v>
      </c>
      <c r="F204" s="108">
        <f>SUMIF($AB$205:$AB$208,"보조",$AD$205:$AD$208)/1000</f>
        <v>5760</v>
      </c>
      <c r="G204" s="108">
        <f>SUMIF($AB$205:$AB$208,"7종",$AD$205:$AD$208)/1000</f>
        <v>0</v>
      </c>
      <c r="H204" s="108">
        <f>SUMIF($AB$205:$AB$208,"4종",$AD$205:$AD$208)/1000</f>
        <v>4160</v>
      </c>
      <c r="I204" s="108">
        <f>SUMIF($AB$205:$AB$208,"후원",$AD$205:$AD$208)/1000</f>
        <v>0</v>
      </c>
      <c r="J204" s="108">
        <f>SUMIF($AB$205:$AB$208,"입소",$AD$205:$AD$208)/1000</f>
        <v>6720</v>
      </c>
      <c r="K204" s="108">
        <f>SUMIF($AB$205:$AB$208,"법인",$AD$205:$AD$208)/1000</f>
        <v>0</v>
      </c>
      <c r="L204" s="108">
        <f>SUMIF($AB$205:$AB$208,"잡수",$AD$205:$AD$208)/1000</f>
        <v>0</v>
      </c>
      <c r="M204" s="107">
        <f>E204-D204</f>
        <v>0</v>
      </c>
      <c r="N204" s="115">
        <f>IF(D204=0,0,M204/D204)</f>
        <v>0</v>
      </c>
      <c r="O204" s="95" t="s">
        <v>130</v>
      </c>
      <c r="P204" s="168"/>
      <c r="Q204" s="91"/>
      <c r="R204" s="91"/>
      <c r="S204" s="91"/>
      <c r="T204" s="87"/>
      <c r="U204" s="87"/>
      <c r="V204" s="87"/>
      <c r="W204" s="177"/>
      <c r="X204" s="177"/>
      <c r="Y204" s="169" t="s">
        <v>136</v>
      </c>
      <c r="Z204" s="169"/>
      <c r="AA204" s="169"/>
      <c r="AB204" s="169"/>
      <c r="AC204" s="171"/>
      <c r="AD204" s="171">
        <f>SUM(AD205:AD208)</f>
        <v>16640000</v>
      </c>
      <c r="AE204" s="170" t="s">
        <v>25</v>
      </c>
      <c r="AF204" s="1"/>
    </row>
    <row r="205" spans="1:32" s="11" customFormat="1" ht="21" customHeight="1">
      <c r="A205" s="46"/>
      <c r="B205" s="46"/>
      <c r="C205" s="46"/>
      <c r="D205" s="104"/>
      <c r="E205" s="103"/>
      <c r="F205" s="103"/>
      <c r="G205" s="103"/>
      <c r="H205" s="103"/>
      <c r="I205" s="103"/>
      <c r="J205" s="103"/>
      <c r="K205" s="103"/>
      <c r="L205" s="103"/>
      <c r="M205" s="103"/>
      <c r="N205" s="68"/>
      <c r="O205" s="562" t="s">
        <v>585</v>
      </c>
      <c r="P205" s="562"/>
      <c r="Q205" s="561"/>
      <c r="R205" s="561"/>
      <c r="S205" s="561">
        <v>240000</v>
      </c>
      <c r="T205" s="561" t="s">
        <v>582</v>
      </c>
      <c r="U205" s="562" t="s">
        <v>586</v>
      </c>
      <c r="V205" s="561">
        <v>24</v>
      </c>
      <c r="W205" s="561" t="s">
        <v>587</v>
      </c>
      <c r="X205" s="562"/>
      <c r="Y205" s="561" t="s">
        <v>588</v>
      </c>
      <c r="Z205" s="561"/>
      <c r="AA205" s="561" t="s">
        <v>589</v>
      </c>
      <c r="AB205" s="561" t="s">
        <v>590</v>
      </c>
      <c r="AC205" s="130"/>
      <c r="AD205" s="130">
        <f>S205*V205</f>
        <v>5760000</v>
      </c>
      <c r="AE205" s="131" t="s">
        <v>25</v>
      </c>
      <c r="AF205" s="1"/>
    </row>
    <row r="206" spans="1:32" s="11" customFormat="1" ht="21" customHeight="1">
      <c r="A206" s="46"/>
      <c r="B206" s="46"/>
      <c r="C206" s="46"/>
      <c r="D206" s="104"/>
      <c r="E206" s="103"/>
      <c r="F206" s="103"/>
      <c r="G206" s="103"/>
      <c r="H206" s="103"/>
      <c r="I206" s="103"/>
      <c r="J206" s="103"/>
      <c r="K206" s="103"/>
      <c r="L206" s="103"/>
      <c r="M206" s="103"/>
      <c r="N206" s="68"/>
      <c r="O206" s="562"/>
      <c r="P206" s="562"/>
      <c r="Q206" s="561"/>
      <c r="R206" s="561"/>
      <c r="S206" s="561">
        <v>240000</v>
      </c>
      <c r="T206" s="561" t="s">
        <v>582</v>
      </c>
      <c r="U206" s="562" t="s">
        <v>586</v>
      </c>
      <c r="V206" s="561">
        <v>28</v>
      </c>
      <c r="W206" s="561" t="s">
        <v>587</v>
      </c>
      <c r="X206" s="562"/>
      <c r="Y206" s="561"/>
      <c r="Z206" s="561"/>
      <c r="AA206" s="561" t="s">
        <v>589</v>
      </c>
      <c r="AB206" s="561" t="s">
        <v>591</v>
      </c>
      <c r="AC206" s="130"/>
      <c r="AD206" s="130">
        <f>S206*V206</f>
        <v>6720000</v>
      </c>
      <c r="AE206" s="131" t="s">
        <v>25</v>
      </c>
      <c r="AF206" s="1"/>
    </row>
    <row r="207" spans="1:32" s="11" customFormat="1" ht="21" customHeight="1">
      <c r="A207" s="46"/>
      <c r="B207" s="46"/>
      <c r="C207" s="46"/>
      <c r="D207" s="104"/>
      <c r="E207" s="103"/>
      <c r="F207" s="103"/>
      <c r="G207" s="103"/>
      <c r="H207" s="103"/>
      <c r="I207" s="103"/>
      <c r="J207" s="103"/>
      <c r="K207" s="103"/>
      <c r="L207" s="103"/>
      <c r="M207" s="103"/>
      <c r="N207" s="68"/>
      <c r="O207" s="375" t="s">
        <v>276</v>
      </c>
      <c r="P207" s="375"/>
      <c r="Q207" s="374"/>
      <c r="R207" s="374"/>
      <c r="S207" s="374">
        <v>20000</v>
      </c>
      <c r="T207" s="374" t="s">
        <v>254</v>
      </c>
      <c r="U207" s="375" t="s">
        <v>256</v>
      </c>
      <c r="V207" s="374">
        <v>4</v>
      </c>
      <c r="W207" s="374" t="s">
        <v>260</v>
      </c>
      <c r="X207" s="375" t="s">
        <v>256</v>
      </c>
      <c r="Y207" s="374">
        <v>52</v>
      </c>
      <c r="Z207" s="374" t="s">
        <v>257</v>
      </c>
      <c r="AA207" s="374" t="s">
        <v>259</v>
      </c>
      <c r="AB207" s="536" t="s">
        <v>542</v>
      </c>
      <c r="AC207" s="130"/>
      <c r="AD207" s="130">
        <f>ROUND(S207*V207*Y207,-1)</f>
        <v>4160000</v>
      </c>
      <c r="AE207" s="131" t="s">
        <v>25</v>
      </c>
      <c r="AF207" s="1"/>
    </row>
    <row r="208" spans="1:32" s="11" customFormat="1" ht="21" customHeight="1">
      <c r="A208" s="46"/>
      <c r="B208" s="46"/>
      <c r="C208" s="46"/>
      <c r="D208" s="151"/>
      <c r="E208" s="103"/>
      <c r="F208" s="103"/>
      <c r="G208" s="103"/>
      <c r="H208" s="103"/>
      <c r="I208" s="103"/>
      <c r="J208" s="103"/>
      <c r="K208" s="103"/>
      <c r="L208" s="103"/>
      <c r="M208" s="103"/>
      <c r="N208" s="68"/>
      <c r="O208" s="375"/>
      <c r="P208" s="375"/>
      <c r="Q208" s="374"/>
      <c r="R208" s="374"/>
      <c r="S208" s="374"/>
      <c r="T208" s="374"/>
      <c r="U208" s="375"/>
      <c r="V208" s="374"/>
      <c r="W208" s="374"/>
      <c r="X208" s="375"/>
      <c r="Y208" s="374"/>
      <c r="Z208" s="374"/>
      <c r="AA208" s="374"/>
      <c r="AB208" s="374"/>
      <c r="AC208" s="130"/>
      <c r="AD208" s="130"/>
      <c r="AE208" s="131"/>
      <c r="AF208" s="1"/>
    </row>
    <row r="209" spans="1:32" s="11" customFormat="1" ht="21" customHeight="1">
      <c r="A209" s="46"/>
      <c r="B209" s="46"/>
      <c r="C209" s="36" t="s">
        <v>79</v>
      </c>
      <c r="D209" s="153">
        <v>3786</v>
      </c>
      <c r="E209" s="107">
        <f>ROUND(AD209/1000,0)</f>
        <v>18480</v>
      </c>
      <c r="F209" s="108">
        <f>SUMIF($AB$210:$AB$216,"보조",$AD$210:$AD$216)/1000</f>
        <v>480</v>
      </c>
      <c r="G209" s="108">
        <f>SUMIF($AB$210:$AB$216,"7종",$AD$210:$AD$216)/1000</f>
        <v>12600</v>
      </c>
      <c r="H209" s="108">
        <f>SUMIF($AB$210:$AB$216,"4종",$AD$210:$AD$216)/1000</f>
        <v>2080</v>
      </c>
      <c r="I209" s="108">
        <f>SUMIF($AB$210:$AB$216,"후원",$AD$210:$AD$216)/1000</f>
        <v>3320</v>
      </c>
      <c r="J209" s="108">
        <f>SUMIF($AB$210:$AB$216,"입소",$AD$210:$AD$216)/1000</f>
        <v>0</v>
      </c>
      <c r="K209" s="108">
        <f>SUMIF($AB$210:$AB$216,"법인",$AD$210:$AD$216)/1000</f>
        <v>0</v>
      </c>
      <c r="L209" s="108">
        <f>SUMIF($AB$210:$AB$216,"잡수",$AD$210:$AD$216)/1000</f>
        <v>0</v>
      </c>
      <c r="M209" s="107">
        <f>E209-D209</f>
        <v>14694</v>
      </c>
      <c r="N209" s="115">
        <f>IF(D209=0,0,M209/D209)</f>
        <v>3.8811410459587954</v>
      </c>
      <c r="O209" s="95" t="s">
        <v>131</v>
      </c>
      <c r="P209" s="168"/>
      <c r="Q209" s="173"/>
      <c r="R209" s="173"/>
      <c r="S209" s="173"/>
      <c r="T209" s="172"/>
      <c r="U209" s="172"/>
      <c r="V209" s="172"/>
      <c r="W209" s="177"/>
      <c r="X209" s="177"/>
      <c r="Y209" s="169" t="s">
        <v>136</v>
      </c>
      <c r="Z209" s="169"/>
      <c r="AA209" s="169"/>
      <c r="AB209" s="169"/>
      <c r="AC209" s="171"/>
      <c r="AD209" s="171">
        <f>SUM(AD210:AD215)</f>
        <v>18480000</v>
      </c>
      <c r="AE209" s="170" t="s">
        <v>25</v>
      </c>
      <c r="AF209" s="1"/>
    </row>
    <row r="210" spans="1:32" s="14" customFormat="1" ht="21" customHeight="1">
      <c r="A210" s="46"/>
      <c r="B210" s="46"/>
      <c r="C210" s="46"/>
      <c r="D210" s="151"/>
      <c r="E210" s="103"/>
      <c r="F210" s="103"/>
      <c r="G210" s="103"/>
      <c r="H210" s="103"/>
      <c r="I210" s="103"/>
      <c r="J210" s="103"/>
      <c r="K210" s="103"/>
      <c r="L210" s="103"/>
      <c r="M210" s="103"/>
      <c r="N210" s="68"/>
      <c r="O210" s="375" t="s">
        <v>277</v>
      </c>
      <c r="P210" s="375"/>
      <c r="Q210" s="374"/>
      <c r="R210" s="374"/>
      <c r="S210" s="374">
        <v>40000</v>
      </c>
      <c r="T210" s="374" t="s">
        <v>254</v>
      </c>
      <c r="U210" s="375" t="s">
        <v>256</v>
      </c>
      <c r="V210" s="374">
        <v>1</v>
      </c>
      <c r="W210" s="374" t="s">
        <v>260</v>
      </c>
      <c r="X210" s="375" t="s">
        <v>256</v>
      </c>
      <c r="Y210" s="374">
        <v>52</v>
      </c>
      <c r="Z210" s="374" t="s">
        <v>257</v>
      </c>
      <c r="AA210" s="374" t="s">
        <v>259</v>
      </c>
      <c r="AB210" s="536" t="s">
        <v>542</v>
      </c>
      <c r="AC210" s="130"/>
      <c r="AD210" s="685">
        <f>S210*V210*Y210</f>
        <v>2080000</v>
      </c>
      <c r="AE210" s="131" t="s">
        <v>25</v>
      </c>
      <c r="AF210" s="5"/>
    </row>
    <row r="211" spans="1:32" s="14" customFormat="1" ht="21" customHeight="1">
      <c r="A211" s="46"/>
      <c r="B211" s="46"/>
      <c r="C211" s="46"/>
      <c r="D211" s="151"/>
      <c r="E211" s="103"/>
      <c r="F211" s="103"/>
      <c r="G211" s="103"/>
      <c r="H211" s="103"/>
      <c r="I211" s="103"/>
      <c r="J211" s="103"/>
      <c r="K211" s="103"/>
      <c r="L211" s="103"/>
      <c r="M211" s="103"/>
      <c r="N211" s="276"/>
      <c r="O211" s="283" t="s">
        <v>278</v>
      </c>
      <c r="P211" s="375"/>
      <c r="Q211" s="375"/>
      <c r="R211" s="375"/>
      <c r="S211" s="374">
        <v>70000</v>
      </c>
      <c r="T211" s="374" t="s">
        <v>254</v>
      </c>
      <c r="U211" s="375" t="s">
        <v>256</v>
      </c>
      <c r="V211" s="374">
        <v>1</v>
      </c>
      <c r="W211" s="374" t="s">
        <v>257</v>
      </c>
      <c r="X211" s="375" t="s">
        <v>256</v>
      </c>
      <c r="Y211" s="296">
        <v>180</v>
      </c>
      <c r="Z211" s="289" t="s">
        <v>279</v>
      </c>
      <c r="AA211" s="289" t="s">
        <v>259</v>
      </c>
      <c r="AB211" s="667" t="s">
        <v>779</v>
      </c>
      <c r="AC211" s="666"/>
      <c r="AD211" s="686">
        <f>S211*V211*Y211</f>
        <v>12600000</v>
      </c>
      <c r="AE211" s="131" t="s">
        <v>766</v>
      </c>
      <c r="AF211" s="5"/>
    </row>
    <row r="212" spans="1:32" s="14" customFormat="1" ht="21" customHeight="1">
      <c r="A212" s="46"/>
      <c r="B212" s="46"/>
      <c r="C212" s="46"/>
      <c r="D212" s="151"/>
      <c r="E212" s="103"/>
      <c r="F212" s="103"/>
      <c r="G212" s="103"/>
      <c r="H212" s="103"/>
      <c r="I212" s="103"/>
      <c r="J212" s="103"/>
      <c r="K212" s="103"/>
      <c r="L212" s="103"/>
      <c r="M212" s="103"/>
      <c r="N212" s="68"/>
      <c r="O212" s="375" t="s">
        <v>280</v>
      </c>
      <c r="P212" s="375"/>
      <c r="Q212" s="375"/>
      <c r="R212" s="375"/>
      <c r="S212" s="374">
        <v>100000</v>
      </c>
      <c r="T212" s="295" t="s">
        <v>254</v>
      </c>
      <c r="U212" s="295" t="s">
        <v>26</v>
      </c>
      <c r="V212" s="374">
        <v>12</v>
      </c>
      <c r="W212" s="374" t="s">
        <v>258</v>
      </c>
      <c r="X212" s="289"/>
      <c r="Y212" s="403"/>
      <c r="Z212" s="388"/>
      <c r="AA212" s="404" t="s">
        <v>259</v>
      </c>
      <c r="AB212" s="667" t="s">
        <v>772</v>
      </c>
      <c r="AC212" s="667"/>
      <c r="AD212" s="686">
        <f>S212*V212</f>
        <v>1200000</v>
      </c>
      <c r="AE212" s="131" t="s">
        <v>25</v>
      </c>
      <c r="AF212" s="5"/>
    </row>
    <row r="213" spans="1:32" s="14" customFormat="1" ht="21" customHeight="1">
      <c r="A213" s="46"/>
      <c r="B213" s="46"/>
      <c r="C213" s="46"/>
      <c r="D213" s="151"/>
      <c r="E213" s="103"/>
      <c r="F213" s="103"/>
      <c r="G213" s="103"/>
      <c r="H213" s="103"/>
      <c r="I213" s="103"/>
      <c r="J213" s="103"/>
      <c r="K213" s="103"/>
      <c r="L213" s="103"/>
      <c r="M213" s="103"/>
      <c r="N213" s="68"/>
      <c r="O213" s="375" t="s">
        <v>281</v>
      </c>
      <c r="P213" s="375"/>
      <c r="Q213" s="375"/>
      <c r="R213" s="375"/>
      <c r="S213" s="374">
        <v>40000</v>
      </c>
      <c r="T213" s="295" t="s">
        <v>244</v>
      </c>
      <c r="U213" s="295" t="s">
        <v>26</v>
      </c>
      <c r="V213" s="374">
        <v>12</v>
      </c>
      <c r="W213" s="374" t="s">
        <v>265</v>
      </c>
      <c r="X213" s="289"/>
      <c r="Y213" s="403"/>
      <c r="Z213" s="388"/>
      <c r="AA213" s="404" t="s">
        <v>247</v>
      </c>
      <c r="AB213" s="667" t="s">
        <v>787</v>
      </c>
      <c r="AC213" s="667"/>
      <c r="AD213" s="686">
        <f>S213*V213</f>
        <v>480000</v>
      </c>
      <c r="AE213" s="131" t="s">
        <v>25</v>
      </c>
      <c r="AF213" s="5"/>
    </row>
    <row r="214" spans="1:32" s="14" customFormat="1" ht="21" customHeight="1">
      <c r="A214" s="46"/>
      <c r="B214" s="46"/>
      <c r="C214" s="46"/>
      <c r="D214" s="151"/>
      <c r="E214" s="103"/>
      <c r="F214" s="103"/>
      <c r="G214" s="103"/>
      <c r="H214" s="103"/>
      <c r="I214" s="103"/>
      <c r="J214" s="103"/>
      <c r="K214" s="103"/>
      <c r="L214" s="103"/>
      <c r="M214" s="103"/>
      <c r="N214" s="68"/>
      <c r="O214" s="571"/>
      <c r="P214" s="571"/>
      <c r="Q214" s="571"/>
      <c r="R214" s="571"/>
      <c r="S214" s="570">
        <v>160000</v>
      </c>
      <c r="T214" s="295" t="s">
        <v>609</v>
      </c>
      <c r="U214" s="295" t="s">
        <v>26</v>
      </c>
      <c r="V214" s="570">
        <v>12</v>
      </c>
      <c r="W214" s="570" t="s">
        <v>618</v>
      </c>
      <c r="X214" s="549"/>
      <c r="Y214" s="403"/>
      <c r="Z214" s="388"/>
      <c r="AA214" s="404" t="s">
        <v>613</v>
      </c>
      <c r="AB214" s="667" t="s">
        <v>772</v>
      </c>
      <c r="AC214" s="667"/>
      <c r="AD214" s="686">
        <f>S214*V214</f>
        <v>1920000</v>
      </c>
      <c r="AE214" s="131" t="s">
        <v>25</v>
      </c>
      <c r="AF214" s="628"/>
    </row>
    <row r="215" spans="1:32" s="14" customFormat="1" ht="21" customHeight="1">
      <c r="A215" s="46"/>
      <c r="B215" s="46"/>
      <c r="C215" s="46"/>
      <c r="D215" s="151"/>
      <c r="E215" s="103"/>
      <c r="F215" s="103"/>
      <c r="G215" s="103"/>
      <c r="H215" s="103"/>
      <c r="I215" s="103"/>
      <c r="J215" s="103"/>
      <c r="K215" s="103"/>
      <c r="L215" s="103"/>
      <c r="M215" s="103"/>
      <c r="N215" s="68"/>
      <c r="O215" s="687" t="s">
        <v>882</v>
      </c>
      <c r="P215" s="375"/>
      <c r="Q215" s="375"/>
      <c r="R215" s="375"/>
      <c r="S215" s="374">
        <v>1000</v>
      </c>
      <c r="T215" s="374" t="s">
        <v>244</v>
      </c>
      <c r="U215" s="375" t="s">
        <v>245</v>
      </c>
      <c r="V215" s="374">
        <v>100</v>
      </c>
      <c r="W215" s="374" t="s">
        <v>246</v>
      </c>
      <c r="X215" s="375" t="s">
        <v>245</v>
      </c>
      <c r="Y215" s="296">
        <v>2</v>
      </c>
      <c r="Z215" s="289" t="s">
        <v>249</v>
      </c>
      <c r="AA215" s="289" t="s">
        <v>247</v>
      </c>
      <c r="AB215" s="427" t="s">
        <v>151</v>
      </c>
      <c r="AC215" s="130"/>
      <c r="AD215" s="686">
        <f>S215*V215*Y215</f>
        <v>200000</v>
      </c>
      <c r="AE215" s="131" t="s">
        <v>690</v>
      </c>
      <c r="AF215" s="5"/>
    </row>
    <row r="216" spans="1:32" s="11" customFormat="1" ht="21" customHeight="1">
      <c r="A216" s="46"/>
      <c r="B216" s="46"/>
      <c r="C216" s="59"/>
      <c r="D216" s="152"/>
      <c r="E216" s="158"/>
      <c r="F216" s="158"/>
      <c r="G216" s="158"/>
      <c r="H216" s="158"/>
      <c r="I216" s="158"/>
      <c r="J216" s="158"/>
      <c r="K216" s="158"/>
      <c r="L216" s="158"/>
      <c r="M216" s="127"/>
      <c r="N216" s="82"/>
      <c r="O216" s="405"/>
      <c r="P216" s="405"/>
      <c r="Q216" s="405"/>
      <c r="R216" s="405"/>
      <c r="S216" s="405"/>
      <c r="T216" s="128"/>
      <c r="U216" s="374"/>
      <c r="V216" s="289"/>
      <c r="W216" s="374"/>
      <c r="X216" s="374"/>
      <c r="Y216" s="374"/>
      <c r="Z216" s="374"/>
      <c r="AA216" s="374"/>
      <c r="AB216" s="374"/>
      <c r="AC216" s="374"/>
      <c r="AD216" s="374"/>
      <c r="AE216" s="131"/>
      <c r="AF216" s="1"/>
    </row>
    <row r="217" spans="1:32" s="11" customFormat="1" ht="21" customHeight="1">
      <c r="A217" s="46"/>
      <c r="B217" s="46"/>
      <c r="C217" s="46" t="s">
        <v>80</v>
      </c>
      <c r="D217" s="124">
        <v>22617</v>
      </c>
      <c r="E217" s="103">
        <f>ROUND(AD217/1000,0)</f>
        <v>22715</v>
      </c>
      <c r="F217" s="108">
        <f>SUMIF($AB$218:$AB$224,"보조",$AD$218:$AD$224)/1000</f>
        <v>15210</v>
      </c>
      <c r="G217" s="108">
        <f>SUMIF($AB$218:$AB$224,"7종",$AD$218:$AD$224)/1000</f>
        <v>0</v>
      </c>
      <c r="H217" s="108">
        <f>SUMIF($AB$218:$AB$224,"4종",$AD$218:$AD$224)/1000</f>
        <v>0</v>
      </c>
      <c r="I217" s="108">
        <f>SUMIF($AB$218:$AB$224,"후원",$AD$218:$AD$224)/1000</f>
        <v>100</v>
      </c>
      <c r="J217" s="108">
        <f>SUMIF($AB$218:$AB$224,"입소",$AD$218:$AD$224)/1000</f>
        <v>7405</v>
      </c>
      <c r="K217" s="108">
        <f>SUMIF($AB$218:$AB$224,"법인",$AD$218:$AD$224)/1000</f>
        <v>0</v>
      </c>
      <c r="L217" s="108">
        <f>SUMIF($AB$218:$AB$224,"잡수",$AD$218:$AD$224)/1000</f>
        <v>0</v>
      </c>
      <c r="M217" s="103">
        <f>E217-D217</f>
        <v>98</v>
      </c>
      <c r="N217" s="68">
        <f>IF(D217=0,0,M217/D217)</f>
        <v>4.333023831631074E-3</v>
      </c>
      <c r="O217" s="95" t="s">
        <v>85</v>
      </c>
      <c r="P217" s="91"/>
      <c r="Q217" s="91"/>
      <c r="R217" s="91"/>
      <c r="S217" s="91"/>
      <c r="T217" s="87"/>
      <c r="U217" s="87"/>
      <c r="V217" s="87"/>
      <c r="W217" s="87"/>
      <c r="X217" s="87"/>
      <c r="Y217" s="169" t="s">
        <v>136</v>
      </c>
      <c r="Z217" s="169"/>
      <c r="AA217" s="169"/>
      <c r="AB217" s="169"/>
      <c r="AC217" s="171"/>
      <c r="AD217" s="171">
        <f>SUM(AD218:AD224)</f>
        <v>22715000</v>
      </c>
      <c r="AE217" s="170" t="s">
        <v>25</v>
      </c>
      <c r="AF217" s="1"/>
    </row>
    <row r="218" spans="1:32" s="11" customFormat="1" ht="21" customHeight="1">
      <c r="A218" s="46"/>
      <c r="B218" s="46"/>
      <c r="C218" s="46"/>
      <c r="D218" s="151"/>
      <c r="E218" s="103"/>
      <c r="F218" s="103"/>
      <c r="G218" s="103"/>
      <c r="H218" s="103"/>
      <c r="I218" s="103"/>
      <c r="J218" s="103"/>
      <c r="K218" s="103"/>
      <c r="L218" s="103"/>
      <c r="M218" s="103"/>
      <c r="N218" s="68"/>
      <c r="O218" s="375" t="s">
        <v>282</v>
      </c>
      <c r="P218" s="375"/>
      <c r="Q218" s="375"/>
      <c r="R218" s="375"/>
      <c r="S218" s="374">
        <v>600000</v>
      </c>
      <c r="T218" s="295" t="s">
        <v>254</v>
      </c>
      <c r="U218" s="295" t="s">
        <v>26</v>
      </c>
      <c r="V218" s="374">
        <v>12</v>
      </c>
      <c r="W218" s="374" t="s">
        <v>258</v>
      </c>
      <c r="X218" s="289"/>
      <c r="Y218" s="403"/>
      <c r="Z218" s="388"/>
      <c r="AA218" s="404" t="s">
        <v>259</v>
      </c>
      <c r="AB218" s="374" t="s">
        <v>262</v>
      </c>
      <c r="AC218" s="374"/>
      <c r="AD218" s="374">
        <f>S218*V218</f>
        <v>7200000</v>
      </c>
      <c r="AE218" s="131" t="s">
        <v>25</v>
      </c>
      <c r="AF218" s="1"/>
    </row>
    <row r="219" spans="1:32" s="11" customFormat="1" ht="21" customHeight="1">
      <c r="A219" s="46"/>
      <c r="B219" s="46"/>
      <c r="C219" s="46"/>
      <c r="D219" s="151"/>
      <c r="E219" s="103"/>
      <c r="F219" s="103"/>
      <c r="G219" s="103"/>
      <c r="H219" s="103"/>
      <c r="I219" s="103"/>
      <c r="J219" s="103"/>
      <c r="K219" s="103"/>
      <c r="L219" s="103"/>
      <c r="M219" s="103"/>
      <c r="N219" s="68"/>
      <c r="O219" s="571"/>
      <c r="P219" s="571"/>
      <c r="Q219" s="571"/>
      <c r="R219" s="571"/>
      <c r="S219" s="667">
        <v>500000</v>
      </c>
      <c r="T219" s="295" t="s">
        <v>766</v>
      </c>
      <c r="U219" s="295" t="s">
        <v>26</v>
      </c>
      <c r="V219" s="667">
        <v>12</v>
      </c>
      <c r="W219" s="667" t="s">
        <v>794</v>
      </c>
      <c r="X219" s="403"/>
      <c r="Y219" s="403"/>
      <c r="Z219" s="388"/>
      <c r="AA219" s="404" t="s">
        <v>770</v>
      </c>
      <c r="AB219" s="667" t="s">
        <v>793</v>
      </c>
      <c r="AC219" s="667"/>
      <c r="AD219" s="667">
        <f>S219*V219</f>
        <v>6000000</v>
      </c>
      <c r="AE219" s="131" t="s">
        <v>25</v>
      </c>
      <c r="AF219" s="1"/>
    </row>
    <row r="220" spans="1:32" s="11" customFormat="1" ht="21" customHeight="1">
      <c r="A220" s="46"/>
      <c r="B220" s="46"/>
      <c r="C220" s="46"/>
      <c r="D220" s="151"/>
      <c r="E220" s="103"/>
      <c r="F220" s="103"/>
      <c r="G220" s="103"/>
      <c r="H220" s="103"/>
      <c r="I220" s="103"/>
      <c r="J220" s="103"/>
      <c r="K220" s="103"/>
      <c r="L220" s="103"/>
      <c r="M220" s="103"/>
      <c r="N220" s="68"/>
      <c r="O220" s="682" t="s">
        <v>879</v>
      </c>
      <c r="P220" s="375"/>
      <c r="Q220" s="375"/>
      <c r="R220" s="375"/>
      <c r="S220" s="667">
        <v>600000</v>
      </c>
      <c r="T220" s="295" t="s">
        <v>25</v>
      </c>
      <c r="U220" s="668" t="s">
        <v>26</v>
      </c>
      <c r="V220" s="667">
        <v>12</v>
      </c>
      <c r="W220" s="668" t="s">
        <v>29</v>
      </c>
      <c r="X220" s="668"/>
      <c r="Y220" s="667"/>
      <c r="Z220" s="667"/>
      <c r="AA220" s="667" t="s">
        <v>770</v>
      </c>
      <c r="AB220" s="667" t="s">
        <v>787</v>
      </c>
      <c r="AC220" s="667"/>
      <c r="AD220" s="667">
        <f>S220*V220</f>
        <v>7200000</v>
      </c>
      <c r="AE220" s="131" t="s">
        <v>766</v>
      </c>
      <c r="AF220" s="1"/>
    </row>
    <row r="221" spans="1:32" s="11" customFormat="1" ht="21" customHeight="1">
      <c r="A221" s="46"/>
      <c r="B221" s="46"/>
      <c r="C221" s="46"/>
      <c r="D221" s="151"/>
      <c r="E221" s="103"/>
      <c r="F221" s="103"/>
      <c r="G221" s="103"/>
      <c r="H221" s="103"/>
      <c r="I221" s="103"/>
      <c r="J221" s="103"/>
      <c r="K221" s="103"/>
      <c r="L221" s="103"/>
      <c r="M221" s="103"/>
      <c r="N221" s="68"/>
      <c r="O221" s="560"/>
      <c r="P221" s="560"/>
      <c r="Q221" s="560"/>
      <c r="R221" s="560"/>
      <c r="S221" s="667"/>
      <c r="T221" s="295"/>
      <c r="U221" s="668"/>
      <c r="V221" s="667"/>
      <c r="W221" s="668"/>
      <c r="X221" s="668"/>
      <c r="Y221" s="667" t="s">
        <v>795</v>
      </c>
      <c r="Z221" s="667"/>
      <c r="AA221" s="667"/>
      <c r="AB221" s="667" t="s">
        <v>787</v>
      </c>
      <c r="AC221" s="667"/>
      <c r="AD221" s="667">
        <v>810000</v>
      </c>
      <c r="AE221" s="131" t="s">
        <v>766</v>
      </c>
      <c r="AF221" s="1"/>
    </row>
    <row r="222" spans="1:32" s="11" customFormat="1" ht="21" customHeight="1">
      <c r="A222" s="46"/>
      <c r="B222" s="46"/>
      <c r="C222" s="46"/>
      <c r="D222" s="151"/>
      <c r="E222" s="103"/>
      <c r="F222" s="103"/>
      <c r="G222" s="103"/>
      <c r="H222" s="103"/>
      <c r="I222" s="103"/>
      <c r="J222" s="103"/>
      <c r="K222" s="103"/>
      <c r="L222" s="103"/>
      <c r="M222" s="103"/>
      <c r="N222" s="68"/>
      <c r="O222" s="375"/>
      <c r="P222" s="375"/>
      <c r="Q222" s="375"/>
      <c r="R222" s="375"/>
      <c r="S222" s="667"/>
      <c r="T222" s="295"/>
      <c r="U222" s="668"/>
      <c r="V222" s="667"/>
      <c r="W222" s="668"/>
      <c r="X222" s="667"/>
      <c r="Y222" s="667"/>
      <c r="Z222" s="667"/>
      <c r="AA222" s="667"/>
      <c r="AB222" s="667" t="s">
        <v>793</v>
      </c>
      <c r="AC222" s="667"/>
      <c r="AD222" s="667">
        <v>1405000</v>
      </c>
      <c r="AE222" s="131" t="s">
        <v>766</v>
      </c>
      <c r="AF222" s="1"/>
    </row>
    <row r="223" spans="1:32" s="11" customFormat="1" ht="21" customHeight="1">
      <c r="A223" s="46"/>
      <c r="B223" s="46"/>
      <c r="C223" s="46"/>
      <c r="D223" s="151"/>
      <c r="E223" s="103"/>
      <c r="F223" s="103"/>
      <c r="G223" s="103"/>
      <c r="H223" s="103"/>
      <c r="I223" s="103"/>
      <c r="J223" s="103"/>
      <c r="K223" s="103"/>
      <c r="L223" s="103"/>
      <c r="M223" s="103"/>
      <c r="N223" s="68"/>
      <c r="O223" s="426" t="s">
        <v>295</v>
      </c>
      <c r="P223" s="375"/>
      <c r="Q223" s="375"/>
      <c r="R223" s="375"/>
      <c r="S223" s="667"/>
      <c r="T223" s="295"/>
      <c r="U223" s="668"/>
      <c r="V223" s="667"/>
      <c r="W223" s="668"/>
      <c r="X223" s="667"/>
      <c r="Y223" s="667"/>
      <c r="Z223" s="667"/>
      <c r="AA223" s="667"/>
      <c r="AB223" s="686" t="s">
        <v>151</v>
      </c>
      <c r="AC223" s="686"/>
      <c r="AD223" s="686">
        <v>100000</v>
      </c>
      <c r="AE223" s="131" t="s">
        <v>56</v>
      </c>
      <c r="AF223" s="1"/>
    </row>
    <row r="224" spans="1:32" s="11" customFormat="1" ht="21" customHeight="1">
      <c r="A224" s="46"/>
      <c r="B224" s="46"/>
      <c r="C224" s="46"/>
      <c r="D224" s="151"/>
      <c r="E224" s="103"/>
      <c r="F224" s="103"/>
      <c r="G224" s="103"/>
      <c r="H224" s="103"/>
      <c r="I224" s="103"/>
      <c r="J224" s="103"/>
      <c r="K224" s="103"/>
      <c r="L224" s="103"/>
      <c r="M224" s="103"/>
      <c r="N224" s="68"/>
      <c r="O224" s="375"/>
      <c r="P224" s="375"/>
      <c r="Q224" s="375"/>
      <c r="R224" s="375"/>
      <c r="S224" s="667"/>
      <c r="T224" s="295"/>
      <c r="U224" s="668"/>
      <c r="V224" s="667"/>
      <c r="W224" s="668"/>
      <c r="X224" s="667"/>
      <c r="Y224" s="667"/>
      <c r="Z224" s="667"/>
      <c r="AA224" s="667"/>
      <c r="AB224" s="667"/>
      <c r="AC224" s="667"/>
      <c r="AD224" s="667"/>
      <c r="AE224" s="131"/>
      <c r="AF224" s="1"/>
    </row>
    <row r="225" spans="1:33" s="11" customFormat="1" ht="21" customHeight="1">
      <c r="A225" s="46"/>
      <c r="B225" s="36" t="s">
        <v>86</v>
      </c>
      <c r="C225" s="165" t="s">
        <v>140</v>
      </c>
      <c r="D225" s="166">
        <f t="shared" ref="D225:L225" si="10">SUM(D226,D231,D244,D251,D259,D270,D279,D285,D289,D293,D304,D307,D315,D321)</f>
        <v>102641</v>
      </c>
      <c r="E225" s="166">
        <f t="shared" si="10"/>
        <v>121007</v>
      </c>
      <c r="F225" s="166">
        <f t="shared" si="10"/>
        <v>800</v>
      </c>
      <c r="G225" s="166">
        <f t="shared" si="10"/>
        <v>3024</v>
      </c>
      <c r="H225" s="166">
        <f t="shared" si="10"/>
        <v>0</v>
      </c>
      <c r="I225" s="166">
        <f t="shared" si="10"/>
        <v>75743</v>
      </c>
      <c r="J225" s="166">
        <f t="shared" si="10"/>
        <v>31272</v>
      </c>
      <c r="K225" s="166">
        <f t="shared" si="10"/>
        <v>9000</v>
      </c>
      <c r="L225" s="166">
        <f t="shared" si="10"/>
        <v>1168</v>
      </c>
      <c r="M225" s="166">
        <f>E225-D225</f>
        <v>18366</v>
      </c>
      <c r="N225" s="167">
        <f>IF(D225=0,0,M225/D225)</f>
        <v>0.17893434397560429</v>
      </c>
      <c r="O225" s="168"/>
      <c r="P225" s="168"/>
      <c r="Q225" s="168"/>
      <c r="R225" s="168"/>
      <c r="S225" s="168"/>
      <c r="T225" s="169"/>
      <c r="U225" s="169"/>
      <c r="V225" s="169"/>
      <c r="W225" s="169"/>
      <c r="X225" s="169"/>
      <c r="Y225" s="169" t="s">
        <v>28</v>
      </c>
      <c r="Z225" s="169"/>
      <c r="AA225" s="169"/>
      <c r="AB225" s="169"/>
      <c r="AC225" s="171"/>
      <c r="AD225" s="171">
        <f>SUM(AD226,AD231,AD244,AD251,AD259,AD270,AD279,AD285,AD289,AD293,AD304,AD307,AD315,AD321)</f>
        <v>121007000</v>
      </c>
      <c r="AE225" s="170" t="s">
        <v>25</v>
      </c>
      <c r="AF225" s="1"/>
    </row>
    <row r="226" spans="1:33" s="15" customFormat="1" ht="24" customHeight="1">
      <c r="A226" s="46"/>
      <c r="B226" s="46" t="s">
        <v>298</v>
      </c>
      <c r="C226" s="36" t="s">
        <v>297</v>
      </c>
      <c r="D226" s="448">
        <v>4890</v>
      </c>
      <c r="E226" s="103">
        <f>ROUND(AD226/1000,0)</f>
        <v>17013</v>
      </c>
      <c r="F226" s="108">
        <f>SUMIF($AB$227:$AB$230,"보조",$AD$227:$AD$230)/1000</f>
        <v>0</v>
      </c>
      <c r="G226" s="108">
        <f>SUMIF($AB$227:$AB$230,"7종",$AD$227:$AD$230)/1000</f>
        <v>0</v>
      </c>
      <c r="H226" s="108">
        <f>SUMIF($AB$227:$AB$230,"4종",$AD$227:$AD$230)/1000</f>
        <v>0</v>
      </c>
      <c r="I226" s="108">
        <f>SUMIF($AB$227:$AB$230,"후원",$AD$227:$AD$230)/1000</f>
        <v>16546</v>
      </c>
      <c r="J226" s="108">
        <f>SUMIF($AB$227:$AB$230,"입소",$AD$227:$AD$230)/1000</f>
        <v>467</v>
      </c>
      <c r="K226" s="108">
        <f>SUMIF($AB$227:$AB$230,"법인",$AD$227:$AD$230)/1000</f>
        <v>0</v>
      </c>
      <c r="L226" s="108">
        <f>SUMIF($AB$227:$AB$230,"잡수",$AD$227:$AD$230)/1000</f>
        <v>0</v>
      </c>
      <c r="M226" s="103">
        <f>E226-D226</f>
        <v>12123</v>
      </c>
      <c r="N226" s="68">
        <f>IF(D226=0,0,M226/D226)</f>
        <v>2.4791411042944786</v>
      </c>
      <c r="O226" s="436"/>
      <c r="P226" s="157"/>
      <c r="Q226" s="157"/>
      <c r="R226" s="157"/>
      <c r="S226" s="157"/>
      <c r="T226" s="86"/>
      <c r="U226" s="86"/>
      <c r="V226" s="86"/>
      <c r="W226" s="139" t="s">
        <v>129</v>
      </c>
      <c r="X226" s="139"/>
      <c r="Y226" s="139"/>
      <c r="Z226" s="139"/>
      <c r="AA226" s="139"/>
      <c r="AB226" s="139"/>
      <c r="AC226" s="140"/>
      <c r="AD226" s="140">
        <f>SUM(AD227:AD230)</f>
        <v>17013000</v>
      </c>
      <c r="AE226" s="141" t="s">
        <v>25</v>
      </c>
      <c r="AF226" s="16"/>
    </row>
    <row r="227" spans="1:33" s="15" customFormat="1" ht="24" customHeight="1">
      <c r="A227" s="46"/>
      <c r="B227" s="46"/>
      <c r="C227" s="46" t="s">
        <v>298</v>
      </c>
      <c r="D227" s="154"/>
      <c r="E227" s="103"/>
      <c r="F227" s="103"/>
      <c r="G227" s="103"/>
      <c r="H227" s="103"/>
      <c r="I227" s="103"/>
      <c r="J227" s="103"/>
      <c r="K227" s="103"/>
      <c r="L227" s="103"/>
      <c r="M227" s="103"/>
      <c r="N227" s="68"/>
      <c r="O227" s="668" t="s">
        <v>814</v>
      </c>
      <c r="P227" s="668"/>
      <c r="Q227" s="668"/>
      <c r="R227" s="668"/>
      <c r="S227" s="668"/>
      <c r="T227" s="667"/>
      <c r="U227" s="667"/>
      <c r="V227" s="667"/>
      <c r="W227" s="667"/>
      <c r="X227" s="667"/>
      <c r="Y227" s="667"/>
      <c r="Z227" s="667"/>
      <c r="AA227" s="667"/>
      <c r="AB227" s="667" t="s">
        <v>772</v>
      </c>
      <c r="AC227" s="666"/>
      <c r="AD227" s="685">
        <v>10800000</v>
      </c>
      <c r="AE227" s="131" t="s">
        <v>766</v>
      </c>
      <c r="AF227" s="16"/>
    </row>
    <row r="228" spans="1:33" s="15" customFormat="1" ht="24" customHeight="1">
      <c r="A228" s="46"/>
      <c r="B228" s="46"/>
      <c r="C228" s="46"/>
      <c r="D228" s="154"/>
      <c r="E228" s="103"/>
      <c r="F228" s="103"/>
      <c r="G228" s="103"/>
      <c r="H228" s="103"/>
      <c r="I228" s="103"/>
      <c r="J228" s="103"/>
      <c r="K228" s="103"/>
      <c r="L228" s="103"/>
      <c r="M228" s="103"/>
      <c r="N228" s="68"/>
      <c r="O228" s="668" t="s">
        <v>822</v>
      </c>
      <c r="P228" s="668"/>
      <c r="Q228" s="668"/>
      <c r="R228" s="668"/>
      <c r="S228" s="667"/>
      <c r="T228" s="667"/>
      <c r="U228" s="668"/>
      <c r="V228" s="667"/>
      <c r="W228" s="667"/>
      <c r="X228" s="667"/>
      <c r="Y228" s="667"/>
      <c r="Z228" s="667"/>
      <c r="AA228" s="667"/>
      <c r="AB228" s="667" t="s">
        <v>793</v>
      </c>
      <c r="AC228" s="667"/>
      <c r="AD228" s="686">
        <v>467000</v>
      </c>
      <c r="AE228" s="131" t="s">
        <v>25</v>
      </c>
      <c r="AF228" s="16"/>
    </row>
    <row r="229" spans="1:33" s="15" customFormat="1" ht="24" customHeight="1">
      <c r="A229" s="46"/>
      <c r="B229" s="46"/>
      <c r="C229" s="46"/>
      <c r="D229" s="151"/>
      <c r="E229" s="103"/>
      <c r="F229" s="103"/>
      <c r="G229" s="103"/>
      <c r="H229" s="103"/>
      <c r="I229" s="103"/>
      <c r="J229" s="103"/>
      <c r="K229" s="103"/>
      <c r="L229" s="103"/>
      <c r="M229" s="103"/>
      <c r="N229" s="68"/>
      <c r="O229" s="676" t="s">
        <v>826</v>
      </c>
      <c r="P229" s="668"/>
      <c r="Q229" s="668"/>
      <c r="R229" s="668"/>
      <c r="S229" s="667"/>
      <c r="T229" s="295"/>
      <c r="U229" s="295"/>
      <c r="V229" s="667"/>
      <c r="W229" s="668"/>
      <c r="X229" s="667"/>
      <c r="Y229" s="405"/>
      <c r="Z229" s="405"/>
      <c r="AA229" s="405"/>
      <c r="AB229" s="667" t="s">
        <v>772</v>
      </c>
      <c r="AC229" s="405"/>
      <c r="AD229" s="437">
        <v>5746000</v>
      </c>
      <c r="AE229" s="407" t="s">
        <v>766</v>
      </c>
      <c r="AF229" s="16"/>
    </row>
    <row r="230" spans="1:33" s="15" customFormat="1" ht="24" customHeight="1">
      <c r="A230" s="46"/>
      <c r="B230" s="46"/>
      <c r="C230" s="59"/>
      <c r="D230" s="152"/>
      <c r="E230" s="105"/>
      <c r="F230" s="105"/>
      <c r="G230" s="105"/>
      <c r="H230" s="105"/>
      <c r="I230" s="105"/>
      <c r="J230" s="105"/>
      <c r="K230" s="105"/>
      <c r="L230" s="105"/>
      <c r="M230" s="105"/>
      <c r="N230" s="82"/>
      <c r="O230" s="670"/>
      <c r="P230" s="670"/>
      <c r="Q230" s="670"/>
      <c r="R230" s="670"/>
      <c r="S230" s="669"/>
      <c r="T230" s="669"/>
      <c r="U230" s="670"/>
      <c r="V230" s="669"/>
      <c r="W230" s="669"/>
      <c r="X230" s="669"/>
      <c r="Y230" s="669"/>
      <c r="Z230" s="669"/>
      <c r="AA230" s="669"/>
      <c r="AB230" s="669"/>
      <c r="AC230" s="669"/>
      <c r="AD230" s="669"/>
      <c r="AE230" s="399"/>
      <c r="AF230" s="16"/>
    </row>
    <row r="231" spans="1:33" s="15" customFormat="1" ht="24" customHeight="1">
      <c r="A231" s="46"/>
      <c r="B231" s="46"/>
      <c r="C231" s="36" t="s">
        <v>299</v>
      </c>
      <c r="D231" s="153">
        <v>5695</v>
      </c>
      <c r="E231" s="103">
        <f>ROUND(AD231/1000,0)</f>
        <v>11260</v>
      </c>
      <c r="F231" s="108">
        <f>SUMIF($AB$232:$AB$243,"보조",$AD$232:$AD$243)/1000</f>
        <v>800</v>
      </c>
      <c r="G231" s="108">
        <f>SUMIF($AB$232:$AB$243,"7종",$AD$232:$AD$243)/1000</f>
        <v>0</v>
      </c>
      <c r="H231" s="108">
        <f>SUMIF($AB$232:$AB$243,"4종",$AD$232:$AD$243)/1000</f>
        <v>0</v>
      </c>
      <c r="I231" s="108">
        <f>SUMIF($AB$232:$AB$243,"후원",$AD$232:$AD$243)/1000</f>
        <v>6550</v>
      </c>
      <c r="J231" s="108">
        <f>SUMIF($AB$232:$AB$243,"입소",$AD$232:$AD$243)/1000</f>
        <v>3910</v>
      </c>
      <c r="K231" s="108">
        <f>SUMIF($AB$232:$AB$243,"법인",$AD$232:$AD$243)/1000</f>
        <v>0</v>
      </c>
      <c r="L231" s="108">
        <f>SUMIF($AB$232:$AB$243,"잡수",$AD$232:$AD$243)/1000</f>
        <v>0</v>
      </c>
      <c r="M231" s="103">
        <f>E231-D231</f>
        <v>5565</v>
      </c>
      <c r="N231" s="68">
        <f>IF(D231=0,0,M231/D231)</f>
        <v>0.97717295873573307</v>
      </c>
      <c r="O231" s="286"/>
      <c r="P231" s="303"/>
      <c r="Q231" s="303"/>
      <c r="R231" s="441"/>
      <c r="S231" s="441"/>
      <c r="T231" s="441"/>
      <c r="U231" s="441"/>
      <c r="V231" s="441"/>
      <c r="W231" s="442" t="s">
        <v>129</v>
      </c>
      <c r="X231" s="442"/>
      <c r="Y231" s="442"/>
      <c r="Z231" s="442"/>
      <c r="AA231" s="442"/>
      <c r="AB231" s="442"/>
      <c r="AC231" s="443"/>
      <c r="AD231" s="443">
        <f>SUM(AD232:AD243)</f>
        <v>11260000</v>
      </c>
      <c r="AE231" s="444" t="s">
        <v>25</v>
      </c>
      <c r="AF231" s="16"/>
    </row>
    <row r="232" spans="1:33" s="15" customFormat="1" ht="24" customHeight="1">
      <c r="A232" s="46"/>
      <c r="B232" s="46"/>
      <c r="C232" s="46" t="s">
        <v>298</v>
      </c>
      <c r="D232" s="154"/>
      <c r="E232" s="103"/>
      <c r="F232" s="103"/>
      <c r="G232" s="103"/>
      <c r="H232" s="103"/>
      <c r="I232" s="103"/>
      <c r="J232" s="103"/>
      <c r="K232" s="103"/>
      <c r="L232" s="103"/>
      <c r="M232" s="103"/>
      <c r="N232" s="68"/>
      <c r="O232" s="682" t="s">
        <v>881</v>
      </c>
      <c r="P232" s="433"/>
      <c r="Q232" s="433"/>
      <c r="R232" s="433"/>
      <c r="S232" s="433"/>
      <c r="T232" s="432"/>
      <c r="U232" s="432"/>
      <c r="V232" s="432"/>
      <c r="W232" s="432"/>
      <c r="X232" s="432"/>
      <c r="Y232" s="432"/>
      <c r="Z232" s="432"/>
      <c r="AA232" s="432"/>
      <c r="AB232" s="432"/>
      <c r="AC232" s="130"/>
      <c r="AD232" s="130"/>
      <c r="AE232" s="131"/>
      <c r="AF232" s="16"/>
    </row>
    <row r="233" spans="1:33" s="15" customFormat="1" ht="24" customHeight="1">
      <c r="A233" s="46"/>
      <c r="B233" s="46"/>
      <c r="C233" s="46"/>
      <c r="D233" s="154"/>
      <c r="E233" s="103"/>
      <c r="F233" s="103"/>
      <c r="G233" s="103"/>
      <c r="H233" s="103"/>
      <c r="I233" s="103"/>
      <c r="J233" s="103"/>
      <c r="K233" s="103"/>
      <c r="L233" s="103"/>
      <c r="M233" s="103"/>
      <c r="N233" s="68"/>
      <c r="O233" s="435" t="s">
        <v>321</v>
      </c>
      <c r="P233" s="400"/>
      <c r="Q233" s="400"/>
      <c r="R233" s="396"/>
      <c r="S233" s="434">
        <v>30000</v>
      </c>
      <c r="T233" s="295" t="s">
        <v>56</v>
      </c>
      <c r="U233" s="295" t="s">
        <v>26</v>
      </c>
      <c r="V233" s="434">
        <v>4</v>
      </c>
      <c r="W233" s="435" t="s">
        <v>322</v>
      </c>
      <c r="X233" s="434"/>
      <c r="Y233" s="406"/>
      <c r="Z233" s="406" t="s">
        <v>53</v>
      </c>
      <c r="AA233" s="406"/>
      <c r="AB233" s="564" t="s">
        <v>584</v>
      </c>
      <c r="AC233" s="564"/>
      <c r="AD233" s="688">
        <v>120000</v>
      </c>
      <c r="AE233" s="407" t="s">
        <v>653</v>
      </c>
      <c r="AF233" s="16"/>
    </row>
    <row r="234" spans="1:33" s="15" customFormat="1" ht="24" customHeight="1">
      <c r="A234" s="46"/>
      <c r="B234" s="46"/>
      <c r="C234" s="46"/>
      <c r="D234" s="154"/>
      <c r="E234" s="103"/>
      <c r="F234" s="103"/>
      <c r="G234" s="103"/>
      <c r="H234" s="103"/>
      <c r="I234" s="103"/>
      <c r="J234" s="103"/>
      <c r="K234" s="103"/>
      <c r="L234" s="103"/>
      <c r="M234" s="103"/>
      <c r="N234" s="68"/>
      <c r="O234" s="435" t="s">
        <v>323</v>
      </c>
      <c r="P234" s="400"/>
      <c r="Q234" s="400"/>
      <c r="R234" s="396"/>
      <c r="S234" s="434">
        <v>100000</v>
      </c>
      <c r="T234" s="295" t="s">
        <v>56</v>
      </c>
      <c r="U234" s="295" t="s">
        <v>26</v>
      </c>
      <c r="V234" s="409">
        <v>4</v>
      </c>
      <c r="W234" s="295" t="s">
        <v>26</v>
      </c>
      <c r="X234" s="295">
        <v>2</v>
      </c>
      <c r="Y234" s="406" t="s">
        <v>324</v>
      </c>
      <c r="Z234" s="406" t="s">
        <v>53</v>
      </c>
      <c r="AA234" s="406"/>
      <c r="AB234" s="275" t="s">
        <v>584</v>
      </c>
      <c r="AC234" s="564"/>
      <c r="AD234" s="688">
        <v>800000</v>
      </c>
      <c r="AE234" s="407" t="s">
        <v>653</v>
      </c>
      <c r="AF234" s="16"/>
    </row>
    <row r="235" spans="1:33" s="15" customFormat="1" ht="24" customHeight="1">
      <c r="A235" s="46"/>
      <c r="B235" s="46"/>
      <c r="C235" s="46"/>
      <c r="D235" s="154"/>
      <c r="E235" s="103"/>
      <c r="F235" s="103"/>
      <c r="G235" s="103"/>
      <c r="H235" s="103"/>
      <c r="I235" s="103"/>
      <c r="J235" s="103"/>
      <c r="K235" s="103"/>
      <c r="L235" s="103"/>
      <c r="M235" s="103"/>
      <c r="N235" s="68"/>
      <c r="O235" s="516" t="s">
        <v>513</v>
      </c>
      <c r="P235" s="400"/>
      <c r="Q235" s="400"/>
      <c r="R235" s="396"/>
      <c r="S235" s="396"/>
      <c r="T235" s="396"/>
      <c r="U235" s="396"/>
      <c r="V235" s="396"/>
      <c r="W235" s="401"/>
      <c r="X235" s="401"/>
      <c r="Y235" s="401"/>
      <c r="Z235" s="401"/>
      <c r="AA235" s="401"/>
      <c r="AB235" s="564" t="s">
        <v>584</v>
      </c>
      <c r="AC235" s="565"/>
      <c r="AD235" s="685">
        <v>300000</v>
      </c>
      <c r="AE235" s="131" t="s">
        <v>653</v>
      </c>
      <c r="AF235" s="16"/>
    </row>
    <row r="236" spans="1:33" s="15" customFormat="1" ht="24" customHeight="1">
      <c r="A236" s="46"/>
      <c r="B236" s="46"/>
      <c r="C236" s="46"/>
      <c r="D236" s="154"/>
      <c r="E236" s="103"/>
      <c r="F236" s="103"/>
      <c r="G236" s="103"/>
      <c r="H236" s="103"/>
      <c r="I236" s="103"/>
      <c r="J236" s="103"/>
      <c r="K236" s="103"/>
      <c r="L236" s="103"/>
      <c r="M236" s="103"/>
      <c r="N236" s="68"/>
      <c r="O236" s="520" t="s">
        <v>516</v>
      </c>
      <c r="P236" s="258"/>
      <c r="Q236" s="258"/>
      <c r="R236" s="254"/>
      <c r="S236" s="254"/>
      <c r="T236" s="254"/>
      <c r="U236" s="254"/>
      <c r="V236" s="254"/>
      <c r="W236" s="259"/>
      <c r="X236" s="259"/>
      <c r="Y236" s="259"/>
      <c r="Z236" s="259"/>
      <c r="AA236" s="259"/>
      <c r="AB236" s="564" t="s">
        <v>584</v>
      </c>
      <c r="AC236" s="565"/>
      <c r="AD236" s="685">
        <v>30000</v>
      </c>
      <c r="AE236" s="131" t="s">
        <v>653</v>
      </c>
      <c r="AF236" s="16"/>
    </row>
    <row r="237" spans="1:33" s="15" customFormat="1" ht="24" customHeight="1">
      <c r="A237" s="46"/>
      <c r="B237" s="46"/>
      <c r="C237" s="46"/>
      <c r="D237" s="154"/>
      <c r="E237" s="103"/>
      <c r="F237" s="103"/>
      <c r="G237" s="103"/>
      <c r="H237" s="103"/>
      <c r="I237" s="103"/>
      <c r="J237" s="103"/>
      <c r="K237" s="103"/>
      <c r="L237" s="103"/>
      <c r="M237" s="103"/>
      <c r="N237" s="68"/>
      <c r="O237" s="540" t="s">
        <v>553</v>
      </c>
      <c r="P237" s="400"/>
      <c r="Q237" s="400"/>
      <c r="R237" s="396"/>
      <c r="S237" s="434">
        <v>100000</v>
      </c>
      <c r="T237" s="295" t="s">
        <v>56</v>
      </c>
      <c r="U237" s="295" t="s">
        <v>26</v>
      </c>
      <c r="V237" s="410">
        <v>3</v>
      </c>
      <c r="W237" s="295" t="s">
        <v>26</v>
      </c>
      <c r="X237" s="295">
        <v>4</v>
      </c>
      <c r="Y237" s="406" t="s">
        <v>65</v>
      </c>
      <c r="Z237" s="406" t="s">
        <v>53</v>
      </c>
      <c r="AA237" s="406"/>
      <c r="AB237" s="275" t="s">
        <v>584</v>
      </c>
      <c r="AC237" s="564"/>
      <c r="AD237" s="688">
        <v>1600000</v>
      </c>
      <c r="AE237" s="407" t="s">
        <v>653</v>
      </c>
      <c r="AF237" s="16"/>
    </row>
    <row r="238" spans="1:33" s="15" customFormat="1" ht="24" customHeight="1">
      <c r="A238" s="46"/>
      <c r="B238" s="46"/>
      <c r="C238" s="46"/>
      <c r="D238" s="154"/>
      <c r="E238" s="103"/>
      <c r="F238" s="103"/>
      <c r="G238" s="103"/>
      <c r="H238" s="103"/>
      <c r="I238" s="103"/>
      <c r="J238" s="103"/>
      <c r="K238" s="103"/>
      <c r="L238" s="103"/>
      <c r="M238" s="103"/>
      <c r="N238" s="68"/>
      <c r="O238" s="435"/>
      <c r="P238" s="737" t="s">
        <v>517</v>
      </c>
      <c r="Q238" s="737"/>
      <c r="R238" s="737"/>
      <c r="S238" s="519">
        <v>100000</v>
      </c>
      <c r="T238" s="295" t="s">
        <v>518</v>
      </c>
      <c r="U238" s="295" t="s">
        <v>26</v>
      </c>
      <c r="V238" s="410">
        <v>1</v>
      </c>
      <c r="W238" s="295" t="s">
        <v>26</v>
      </c>
      <c r="X238" s="295">
        <v>8</v>
      </c>
      <c r="Y238" s="406" t="s">
        <v>519</v>
      </c>
      <c r="Z238" s="406" t="s">
        <v>520</v>
      </c>
      <c r="AA238" s="406"/>
      <c r="AB238" s="519" t="s">
        <v>521</v>
      </c>
      <c r="AC238" s="406"/>
      <c r="AD238" s="688">
        <v>800000</v>
      </c>
      <c r="AE238" s="407" t="s">
        <v>653</v>
      </c>
      <c r="AF238" s="16"/>
    </row>
    <row r="239" spans="1:33" s="15" customFormat="1" ht="24" customHeight="1">
      <c r="A239" s="46"/>
      <c r="B239" s="46"/>
      <c r="C239" s="46"/>
      <c r="D239" s="154"/>
      <c r="E239" s="103"/>
      <c r="F239" s="103"/>
      <c r="G239" s="103"/>
      <c r="H239" s="103"/>
      <c r="I239" s="103"/>
      <c r="J239" s="103"/>
      <c r="K239" s="103"/>
      <c r="L239" s="103"/>
      <c r="M239" s="103"/>
      <c r="N239" s="68"/>
      <c r="O239" s="668" t="s">
        <v>796</v>
      </c>
      <c r="P239" s="668"/>
      <c r="Q239" s="668"/>
      <c r="R239" s="668"/>
      <c r="S239" s="668"/>
      <c r="T239" s="667"/>
      <c r="U239" s="667"/>
      <c r="V239" s="667"/>
      <c r="W239" s="667"/>
      <c r="X239" s="667"/>
      <c r="Y239" s="667"/>
      <c r="Z239" s="667"/>
      <c r="AA239" s="667"/>
      <c r="AB239" s="667" t="s">
        <v>793</v>
      </c>
      <c r="AC239" s="666"/>
      <c r="AD239" s="685">
        <v>1450000</v>
      </c>
      <c r="AE239" s="131" t="s">
        <v>766</v>
      </c>
      <c r="AF239" s="16"/>
      <c r="AG239" s="16"/>
    </row>
    <row r="240" spans="1:33" s="15" customFormat="1" ht="24" customHeight="1">
      <c r="A240" s="46"/>
      <c r="B240" s="46"/>
      <c r="C240" s="46"/>
      <c r="D240" s="154"/>
      <c r="E240" s="103"/>
      <c r="F240" s="103"/>
      <c r="G240" s="103"/>
      <c r="H240" s="103"/>
      <c r="I240" s="103"/>
      <c r="J240" s="103"/>
      <c r="K240" s="103"/>
      <c r="L240" s="103"/>
      <c r="M240" s="103"/>
      <c r="N240" s="68"/>
      <c r="O240" s="668" t="s">
        <v>797</v>
      </c>
      <c r="P240" s="668"/>
      <c r="Q240" s="668"/>
      <c r="R240" s="668"/>
      <c r="S240" s="668"/>
      <c r="T240" s="667"/>
      <c r="U240" s="667"/>
      <c r="V240" s="667"/>
      <c r="W240" s="667"/>
      <c r="X240" s="667"/>
      <c r="Y240" s="667"/>
      <c r="Z240" s="667"/>
      <c r="AA240" s="667"/>
      <c r="AB240" s="667" t="s">
        <v>793</v>
      </c>
      <c r="AC240" s="666"/>
      <c r="AD240" s="685">
        <v>1380000</v>
      </c>
      <c r="AE240" s="131" t="s">
        <v>766</v>
      </c>
      <c r="AF240" s="16"/>
      <c r="AG240" s="16"/>
    </row>
    <row r="241" spans="1:33" s="15" customFormat="1" ht="24" customHeight="1">
      <c r="A241" s="46"/>
      <c r="B241" s="46"/>
      <c r="C241" s="46"/>
      <c r="D241" s="154"/>
      <c r="E241" s="103"/>
      <c r="F241" s="103"/>
      <c r="G241" s="103"/>
      <c r="H241" s="103"/>
      <c r="I241" s="103"/>
      <c r="J241" s="103"/>
      <c r="K241" s="103"/>
      <c r="L241" s="103"/>
      <c r="M241" s="103"/>
      <c r="N241" s="68"/>
      <c r="O241" s="573" t="s">
        <v>649</v>
      </c>
      <c r="P241" s="551"/>
      <c r="Q241" s="551"/>
      <c r="R241" s="551"/>
      <c r="S241" s="551"/>
      <c r="T241" s="550"/>
      <c r="U241" s="550"/>
      <c r="V241" s="550"/>
      <c r="W241" s="550"/>
      <c r="X241" s="550"/>
      <c r="Y241" s="550"/>
      <c r="Z241" s="550"/>
      <c r="AA241" s="550"/>
      <c r="AB241" s="550" t="s">
        <v>581</v>
      </c>
      <c r="AC241" s="130"/>
      <c r="AD241" s="685">
        <v>240000</v>
      </c>
      <c r="AE241" s="131" t="s">
        <v>653</v>
      </c>
      <c r="AF241" s="16"/>
      <c r="AG241" s="16"/>
    </row>
    <row r="242" spans="1:33" s="15" customFormat="1" ht="24" customHeight="1">
      <c r="A242" s="46"/>
      <c r="B242" s="46"/>
      <c r="C242" s="46"/>
      <c r="D242" s="154"/>
      <c r="E242" s="103"/>
      <c r="F242" s="103"/>
      <c r="G242" s="103"/>
      <c r="H242" s="103"/>
      <c r="I242" s="103"/>
      <c r="J242" s="103"/>
      <c r="K242" s="103"/>
      <c r="L242" s="103"/>
      <c r="M242" s="103"/>
      <c r="N242" s="68"/>
      <c r="O242" s="676" t="s">
        <v>823</v>
      </c>
      <c r="P242" s="676"/>
      <c r="Q242" s="676"/>
      <c r="R242" s="676"/>
      <c r="S242" s="676"/>
      <c r="T242" s="675"/>
      <c r="U242" s="675"/>
      <c r="V242" s="675"/>
      <c r="W242" s="675"/>
      <c r="X242" s="675"/>
      <c r="Y242" s="675"/>
      <c r="Z242" s="675"/>
      <c r="AA242" s="675"/>
      <c r="AB242" s="681" t="s">
        <v>874</v>
      </c>
      <c r="AC242" s="674"/>
      <c r="AD242" s="685">
        <v>3700000</v>
      </c>
      <c r="AE242" s="131" t="s">
        <v>824</v>
      </c>
      <c r="AF242" s="16"/>
      <c r="AG242" s="16"/>
    </row>
    <row r="243" spans="1:33" s="15" customFormat="1" ht="24" customHeight="1">
      <c r="A243" s="46"/>
      <c r="B243" s="46"/>
      <c r="C243" s="59"/>
      <c r="D243" s="155"/>
      <c r="E243" s="105"/>
      <c r="F243" s="105"/>
      <c r="G243" s="105"/>
      <c r="H243" s="105"/>
      <c r="I243" s="105"/>
      <c r="J243" s="105"/>
      <c r="K243" s="105"/>
      <c r="L243" s="105"/>
      <c r="M243" s="105"/>
      <c r="N243" s="82"/>
      <c r="O243" s="677" t="s">
        <v>825</v>
      </c>
      <c r="P243" s="431"/>
      <c r="Q243" s="431"/>
      <c r="R243" s="431"/>
      <c r="S243" s="431"/>
      <c r="T243" s="430"/>
      <c r="U243" s="430"/>
      <c r="V243" s="430"/>
      <c r="W243" s="430"/>
      <c r="X243" s="430"/>
      <c r="Y243" s="430"/>
      <c r="Z243" s="430"/>
      <c r="AA243" s="430"/>
      <c r="AB243" s="683" t="s">
        <v>875</v>
      </c>
      <c r="AC243" s="408"/>
      <c r="AD243" s="408">
        <v>840000</v>
      </c>
      <c r="AE243" s="131" t="s">
        <v>824</v>
      </c>
      <c r="AF243" s="16"/>
      <c r="AG243" s="16"/>
    </row>
    <row r="244" spans="1:33" s="15" customFormat="1" ht="24" customHeight="1">
      <c r="A244" s="46"/>
      <c r="B244" s="46"/>
      <c r="C244" s="36" t="s">
        <v>300</v>
      </c>
      <c r="D244" s="448">
        <v>890</v>
      </c>
      <c r="E244" s="107">
        <f>ROUND(AD244/1000,0)</f>
        <v>1321</v>
      </c>
      <c r="F244" s="108">
        <f>SUMIF($AB$245:$AB$250,"보조",$AD$245:$AD$250)/1000</f>
        <v>0</v>
      </c>
      <c r="G244" s="108">
        <f>SUMIF($AB$245:$AB$250,"7종",$AD$245:$AD$250)/1000</f>
        <v>0</v>
      </c>
      <c r="H244" s="108">
        <f>SUMIF($AB$245:$AB$250,"4종",$AD$245:$AD$250)/1000</f>
        <v>0</v>
      </c>
      <c r="I244" s="108">
        <f>SUMIF($AB$245:$AB$250,"후원",$AD$245:$AD$250)/1000</f>
        <v>1011</v>
      </c>
      <c r="J244" s="108">
        <f>SUMIF($AB$245:$AB$250,"입소",$AD$245:$AD$250)/1000</f>
        <v>310</v>
      </c>
      <c r="K244" s="108">
        <f>SUMIF($AB$245:$AB$250,"법인",$AD$245:$AD$250)/1000</f>
        <v>0</v>
      </c>
      <c r="L244" s="108">
        <f>SUMIF($AB$245:$AB$250,"잡수",$AD$245:$AD$250)/1000</f>
        <v>0</v>
      </c>
      <c r="M244" s="107">
        <f>E244-D244</f>
        <v>431</v>
      </c>
      <c r="N244" s="115">
        <f>IF(D244=0,0,M244/D244)</f>
        <v>0.48426966292134832</v>
      </c>
      <c r="O244" s="286"/>
      <c r="P244" s="303"/>
      <c r="Q244" s="303"/>
      <c r="R244" s="441"/>
      <c r="S244" s="441"/>
      <c r="T244" s="441"/>
      <c r="U244" s="441"/>
      <c r="V244" s="441"/>
      <c r="W244" s="442" t="s">
        <v>129</v>
      </c>
      <c r="X244" s="442"/>
      <c r="Y244" s="442"/>
      <c r="Z244" s="442"/>
      <c r="AA244" s="442"/>
      <c r="AB244" s="442"/>
      <c r="AC244" s="443"/>
      <c r="AD244" s="443">
        <f>SUM(AD245:AD249)</f>
        <v>1321000</v>
      </c>
      <c r="AE244" s="444" t="s">
        <v>25</v>
      </c>
      <c r="AF244" s="16"/>
      <c r="AG244" s="16"/>
    </row>
    <row r="245" spans="1:33" s="15" customFormat="1" ht="24" customHeight="1">
      <c r="A245" s="46"/>
      <c r="B245" s="46"/>
      <c r="C245" s="46" t="s">
        <v>298</v>
      </c>
      <c r="D245" s="154"/>
      <c r="E245" s="103"/>
      <c r="F245" s="103"/>
      <c r="G245" s="103"/>
      <c r="H245" s="103"/>
      <c r="I245" s="103"/>
      <c r="J245" s="103"/>
      <c r="K245" s="103"/>
      <c r="L245" s="103"/>
      <c r="M245" s="103"/>
      <c r="N245" s="68"/>
      <c r="O245" s="433" t="s">
        <v>301</v>
      </c>
      <c r="P245" s="400"/>
      <c r="Q245" s="400"/>
      <c r="R245" s="396"/>
      <c r="S245" s="396"/>
      <c r="T245" s="396"/>
      <c r="U245" s="396"/>
      <c r="V245" s="396"/>
      <c r="W245" s="432"/>
      <c r="X245" s="432"/>
      <c r="Y245" s="432"/>
      <c r="Z245" s="432"/>
      <c r="AA245" s="432"/>
      <c r="AB245" s="275" t="s">
        <v>584</v>
      </c>
      <c r="AC245" s="278"/>
      <c r="AD245" s="685">
        <v>200000</v>
      </c>
      <c r="AE245" s="131" t="s">
        <v>653</v>
      </c>
      <c r="AF245" s="16"/>
      <c r="AG245" s="16"/>
    </row>
    <row r="246" spans="1:33" s="15" customFormat="1" ht="24" customHeight="1">
      <c r="A246" s="46"/>
      <c r="B246" s="46"/>
      <c r="C246" s="46"/>
      <c r="D246" s="154"/>
      <c r="E246" s="103"/>
      <c r="F246" s="103"/>
      <c r="G246" s="103"/>
      <c r="H246" s="103"/>
      <c r="I246" s="103"/>
      <c r="J246" s="103"/>
      <c r="K246" s="103"/>
      <c r="L246" s="103"/>
      <c r="M246" s="103"/>
      <c r="N246" s="68"/>
      <c r="O246" s="668" t="s">
        <v>798</v>
      </c>
      <c r="P246" s="400"/>
      <c r="Q246" s="400"/>
      <c r="R246" s="396"/>
      <c r="S246" s="396"/>
      <c r="T246" s="396"/>
      <c r="U246" s="396"/>
      <c r="V246" s="396"/>
      <c r="W246" s="667"/>
      <c r="X246" s="667"/>
      <c r="Y246" s="667"/>
      <c r="Z246" s="667"/>
      <c r="AA246" s="667"/>
      <c r="AB246" s="667" t="s">
        <v>772</v>
      </c>
      <c r="AC246" s="666"/>
      <c r="AD246" s="685">
        <v>525000</v>
      </c>
      <c r="AE246" s="131" t="s">
        <v>766</v>
      </c>
      <c r="AF246" s="16"/>
      <c r="AG246" s="16"/>
    </row>
    <row r="247" spans="1:33" s="15" customFormat="1" ht="24" customHeight="1">
      <c r="A247" s="46"/>
      <c r="B247" s="46"/>
      <c r="C247" s="46"/>
      <c r="D247" s="151"/>
      <c r="E247" s="103"/>
      <c r="F247" s="103"/>
      <c r="G247" s="103"/>
      <c r="H247" s="103"/>
      <c r="I247" s="103"/>
      <c r="J247" s="103"/>
      <c r="K247" s="103"/>
      <c r="L247" s="103"/>
      <c r="M247" s="103"/>
      <c r="N247" s="68"/>
      <c r="O247" s="668" t="s">
        <v>799</v>
      </c>
      <c r="P247" s="668"/>
      <c r="Q247" s="668"/>
      <c r="R247" s="668"/>
      <c r="S247" s="667"/>
      <c r="T247" s="667"/>
      <c r="U247" s="668"/>
      <c r="V247" s="667"/>
      <c r="W247" s="667"/>
      <c r="X247" s="667"/>
      <c r="Y247" s="667"/>
      <c r="Z247" s="667"/>
      <c r="AA247" s="667"/>
      <c r="AB247" s="667" t="s">
        <v>793</v>
      </c>
      <c r="AC247" s="667"/>
      <c r="AD247" s="686">
        <v>70000</v>
      </c>
      <c r="AE247" s="131" t="s">
        <v>25</v>
      </c>
      <c r="AF247" s="16"/>
      <c r="AG247" s="16"/>
    </row>
    <row r="248" spans="1:33" s="15" customFormat="1" ht="24" customHeight="1">
      <c r="A248" s="46"/>
      <c r="B248" s="46"/>
      <c r="C248" s="46"/>
      <c r="D248" s="151"/>
      <c r="E248" s="103"/>
      <c r="F248" s="103"/>
      <c r="G248" s="103"/>
      <c r="H248" s="103"/>
      <c r="I248" s="103"/>
      <c r="J248" s="103"/>
      <c r="K248" s="103"/>
      <c r="L248" s="103"/>
      <c r="M248" s="103"/>
      <c r="N248" s="68"/>
      <c r="O248" s="668" t="s">
        <v>800</v>
      </c>
      <c r="P248" s="668"/>
      <c r="Q248" s="668"/>
      <c r="R248" s="668"/>
      <c r="S248" s="667"/>
      <c r="T248" s="667"/>
      <c r="U248" s="668"/>
      <c r="V248" s="667"/>
      <c r="W248" s="667"/>
      <c r="X248" s="667"/>
      <c r="Y248" s="667"/>
      <c r="Z248" s="667"/>
      <c r="AA248" s="667"/>
      <c r="AB248" s="667" t="s">
        <v>793</v>
      </c>
      <c r="AC248" s="667"/>
      <c r="AD248" s="686">
        <v>240000</v>
      </c>
      <c r="AE248" s="131" t="s">
        <v>766</v>
      </c>
      <c r="AF248" s="16"/>
    </row>
    <row r="249" spans="1:33" s="15" customFormat="1" ht="24" customHeight="1">
      <c r="A249" s="46"/>
      <c r="B249" s="46"/>
      <c r="C249" s="46"/>
      <c r="D249" s="151"/>
      <c r="E249" s="103"/>
      <c r="F249" s="103"/>
      <c r="G249" s="103"/>
      <c r="H249" s="103"/>
      <c r="I249" s="103"/>
      <c r="J249" s="103"/>
      <c r="K249" s="103"/>
      <c r="L249" s="103"/>
      <c r="M249" s="103"/>
      <c r="N249" s="68"/>
      <c r="O249" s="668" t="s">
        <v>801</v>
      </c>
      <c r="P249" s="668"/>
      <c r="Q249" s="668"/>
      <c r="R249" s="668"/>
      <c r="S249" s="668"/>
      <c r="T249" s="667"/>
      <c r="U249" s="667"/>
      <c r="V249" s="667"/>
      <c r="W249" s="667"/>
      <c r="X249" s="667"/>
      <c r="Y249" s="667"/>
      <c r="Z249" s="667"/>
      <c r="AA249" s="667"/>
      <c r="AB249" s="667" t="s">
        <v>772</v>
      </c>
      <c r="AC249" s="666"/>
      <c r="AD249" s="686">
        <v>286000</v>
      </c>
      <c r="AE249" s="131" t="s">
        <v>25</v>
      </c>
      <c r="AF249" s="16"/>
    </row>
    <row r="250" spans="1:33" s="15" customFormat="1" ht="24" customHeight="1">
      <c r="A250" s="46"/>
      <c r="B250" s="46"/>
      <c r="C250" s="59"/>
      <c r="D250" s="152"/>
      <c r="E250" s="105"/>
      <c r="F250" s="105"/>
      <c r="G250" s="105"/>
      <c r="H250" s="105"/>
      <c r="I250" s="105"/>
      <c r="J250" s="105"/>
      <c r="K250" s="105"/>
      <c r="L250" s="105"/>
      <c r="M250" s="105"/>
      <c r="N250" s="82"/>
      <c r="O250" s="431"/>
      <c r="P250" s="431"/>
      <c r="Q250" s="431"/>
      <c r="R250" s="431"/>
      <c r="S250" s="431"/>
      <c r="T250" s="430"/>
      <c r="U250" s="430"/>
      <c r="V250" s="430"/>
      <c r="W250" s="430"/>
      <c r="X250" s="430"/>
      <c r="Y250" s="430"/>
      <c r="Z250" s="430"/>
      <c r="AA250" s="430"/>
      <c r="AB250" s="430"/>
      <c r="AC250" s="408"/>
      <c r="AD250" s="445"/>
      <c r="AE250" s="399"/>
      <c r="AF250" s="16"/>
    </row>
    <row r="251" spans="1:33" s="15" customFormat="1" ht="24" customHeight="1">
      <c r="A251" s="46"/>
      <c r="B251" s="46"/>
      <c r="C251" s="36" t="s">
        <v>302</v>
      </c>
      <c r="D251" s="153">
        <v>3190</v>
      </c>
      <c r="E251" s="107">
        <f>ROUND(AD251/1000,0)</f>
        <v>4278</v>
      </c>
      <c r="F251" s="108">
        <f>SUMIF($AB$252:$AB$258,"보조",$AD$252:$AD$258)/1000</f>
        <v>0</v>
      </c>
      <c r="G251" s="108">
        <f>SUMIF($AB$252:$AB$258,"7종",$AD$252:$AD$258)/1000</f>
        <v>0</v>
      </c>
      <c r="H251" s="108">
        <f>SUMIF($AB$252:$AB$258,"4종",$AD$252:$AD$258)/1000</f>
        <v>0</v>
      </c>
      <c r="I251" s="108">
        <f>SUMIF($AB$252:$AB$258,"후원",$AD$252:$AD$258)/1000</f>
        <v>2110</v>
      </c>
      <c r="J251" s="108">
        <f>SUMIF($AB$252:$AB$258,"입소",$AD$252:$AD$258)/1000</f>
        <v>1000</v>
      </c>
      <c r="K251" s="108">
        <f>SUMIF($AB$252:$AB$258,"법인",$AD$252:$AD$258)/1000</f>
        <v>0</v>
      </c>
      <c r="L251" s="108">
        <f>SUMIF($AB$252:$AB$258,"잡수",$AD$252:$AD$258)/1000</f>
        <v>1168</v>
      </c>
      <c r="M251" s="107">
        <f>E251-D251</f>
        <v>1088</v>
      </c>
      <c r="N251" s="115">
        <f>IF(D251=0,0,M251/D251)</f>
        <v>0.34106583072100316</v>
      </c>
      <c r="O251" s="286"/>
      <c r="P251" s="303"/>
      <c r="Q251" s="303"/>
      <c r="R251" s="441"/>
      <c r="S251" s="441"/>
      <c r="T251" s="441"/>
      <c r="U251" s="441"/>
      <c r="V251" s="441"/>
      <c r="W251" s="442" t="s">
        <v>129</v>
      </c>
      <c r="X251" s="442"/>
      <c r="Y251" s="442"/>
      <c r="Z251" s="442"/>
      <c r="AA251" s="442"/>
      <c r="AB251" s="442"/>
      <c r="AC251" s="443"/>
      <c r="AD251" s="443">
        <f>SUM(AD252:AD258)</f>
        <v>4278000</v>
      </c>
      <c r="AE251" s="444" t="s">
        <v>25</v>
      </c>
      <c r="AF251" s="16"/>
    </row>
    <row r="252" spans="1:33" s="15" customFormat="1" ht="24" customHeight="1">
      <c r="A252" s="46"/>
      <c r="B252" s="46"/>
      <c r="C252" s="46" t="s">
        <v>303</v>
      </c>
      <c r="D252" s="151"/>
      <c r="E252" s="103"/>
      <c r="F252" s="103"/>
      <c r="G252" s="103"/>
      <c r="H252" s="103"/>
      <c r="I252" s="103"/>
      <c r="J252" s="103"/>
      <c r="K252" s="103"/>
      <c r="L252" s="103"/>
      <c r="M252" s="103"/>
      <c r="N252" s="68"/>
      <c r="O252" s="405" t="s">
        <v>722</v>
      </c>
      <c r="P252" s="405"/>
      <c r="Q252" s="405"/>
      <c r="R252" s="405"/>
      <c r="S252" s="637"/>
      <c r="T252" s="295"/>
      <c r="U252" s="295"/>
      <c r="V252" s="637"/>
      <c r="W252" s="638"/>
      <c r="X252" s="637"/>
      <c r="Y252" s="405"/>
      <c r="Z252" s="405"/>
      <c r="AA252" s="405"/>
      <c r="AB252" s="405" t="s">
        <v>721</v>
      </c>
      <c r="AC252" s="405"/>
      <c r="AD252" s="437">
        <v>1000000</v>
      </c>
      <c r="AE252" s="407" t="s">
        <v>699</v>
      </c>
      <c r="AF252" s="16"/>
    </row>
    <row r="253" spans="1:33" s="15" customFormat="1" ht="24" customHeight="1">
      <c r="A253" s="46"/>
      <c r="B253" s="46"/>
      <c r="C253" s="46"/>
      <c r="D253" s="151"/>
      <c r="E253" s="103"/>
      <c r="F253" s="103"/>
      <c r="G253" s="103"/>
      <c r="H253" s="103"/>
      <c r="I253" s="103"/>
      <c r="J253" s="103"/>
      <c r="K253" s="103"/>
      <c r="L253" s="103"/>
      <c r="M253" s="103"/>
      <c r="N253" s="68"/>
      <c r="O253" s="405" t="s">
        <v>639</v>
      </c>
      <c r="P253" s="405"/>
      <c r="Q253" s="405"/>
      <c r="R253" s="405"/>
      <c r="S253" s="570"/>
      <c r="T253" s="295"/>
      <c r="U253" s="295"/>
      <c r="V253" s="570"/>
      <c r="W253" s="571"/>
      <c r="X253" s="570"/>
      <c r="Y253" s="405"/>
      <c r="Z253" s="405"/>
      <c r="AA253" s="405"/>
      <c r="AB253" s="405" t="s">
        <v>629</v>
      </c>
      <c r="AC253" s="405"/>
      <c r="AD253" s="437">
        <v>260000</v>
      </c>
      <c r="AE253" s="407" t="s">
        <v>653</v>
      </c>
      <c r="AF253" s="16"/>
    </row>
    <row r="254" spans="1:33" s="15" customFormat="1" ht="24" customHeight="1">
      <c r="A254" s="46"/>
      <c r="B254" s="46"/>
      <c r="C254" s="46"/>
      <c r="D254" s="151"/>
      <c r="E254" s="103"/>
      <c r="F254" s="103"/>
      <c r="G254" s="103"/>
      <c r="H254" s="103"/>
      <c r="I254" s="103"/>
      <c r="J254" s="103"/>
      <c r="K254" s="103"/>
      <c r="L254" s="103"/>
      <c r="M254" s="103"/>
      <c r="N254" s="68"/>
      <c r="O254" s="405" t="s">
        <v>637</v>
      </c>
      <c r="P254" s="405"/>
      <c r="Q254" s="405"/>
      <c r="R254" s="405"/>
      <c r="S254" s="570"/>
      <c r="T254" s="295"/>
      <c r="U254" s="295"/>
      <c r="V254" s="570"/>
      <c r="W254" s="571"/>
      <c r="X254" s="570"/>
      <c r="Y254" s="405"/>
      <c r="Z254" s="405"/>
      <c r="AA254" s="405"/>
      <c r="AB254" s="405" t="s">
        <v>629</v>
      </c>
      <c r="AC254" s="405"/>
      <c r="AD254" s="437">
        <v>1700000</v>
      </c>
      <c r="AE254" s="407" t="s">
        <v>653</v>
      </c>
      <c r="AF254" s="16"/>
    </row>
    <row r="255" spans="1:33" s="15" customFormat="1" ht="24" customHeight="1">
      <c r="A255" s="46"/>
      <c r="B255" s="46"/>
      <c r="C255" s="46"/>
      <c r="D255" s="151"/>
      <c r="E255" s="103"/>
      <c r="F255" s="103"/>
      <c r="G255" s="103"/>
      <c r="H255" s="103"/>
      <c r="I255" s="103"/>
      <c r="J255" s="103"/>
      <c r="K255" s="103"/>
      <c r="L255" s="103"/>
      <c r="M255" s="103"/>
      <c r="N255" s="68"/>
      <c r="O255" s="405" t="s">
        <v>802</v>
      </c>
      <c r="P255" s="405"/>
      <c r="Q255" s="405"/>
      <c r="R255" s="405"/>
      <c r="S255" s="667"/>
      <c r="T255" s="295"/>
      <c r="U255" s="295"/>
      <c r="V255" s="667"/>
      <c r="W255" s="668"/>
      <c r="X255" s="667"/>
      <c r="Y255" s="405"/>
      <c r="Z255" s="405"/>
      <c r="AA255" s="405"/>
      <c r="AB255" s="405" t="s">
        <v>772</v>
      </c>
      <c r="AC255" s="405"/>
      <c r="AD255" s="437">
        <v>150000</v>
      </c>
      <c r="AE255" s="407" t="s">
        <v>766</v>
      </c>
      <c r="AF255" s="16"/>
    </row>
    <row r="256" spans="1:33" s="15" customFormat="1" ht="24" customHeight="1">
      <c r="A256" s="46"/>
      <c r="B256" s="46"/>
      <c r="C256" s="46"/>
      <c r="D256" s="151"/>
      <c r="E256" s="103"/>
      <c r="F256" s="103"/>
      <c r="G256" s="103"/>
      <c r="H256" s="103"/>
      <c r="I256" s="103"/>
      <c r="J256" s="103"/>
      <c r="K256" s="103"/>
      <c r="L256" s="103"/>
      <c r="M256" s="103"/>
      <c r="N256" s="68"/>
      <c r="O256" s="405" t="s">
        <v>803</v>
      </c>
      <c r="P256" s="405"/>
      <c r="Q256" s="405"/>
      <c r="R256" s="405"/>
      <c r="S256" s="667"/>
      <c r="T256" s="295"/>
      <c r="U256" s="295"/>
      <c r="V256" s="667"/>
      <c r="W256" s="668"/>
      <c r="X256" s="667"/>
      <c r="Y256" s="405"/>
      <c r="Z256" s="405"/>
      <c r="AA256" s="405"/>
      <c r="AB256" s="405" t="s">
        <v>774</v>
      </c>
      <c r="AC256" s="405"/>
      <c r="AD256" s="437">
        <v>130000</v>
      </c>
      <c r="AE256" s="407" t="s">
        <v>766</v>
      </c>
      <c r="AF256" s="16"/>
    </row>
    <row r="257" spans="1:32" s="15" customFormat="1" ht="24" customHeight="1">
      <c r="A257" s="46"/>
      <c r="B257" s="46"/>
      <c r="C257" s="46"/>
      <c r="D257" s="151"/>
      <c r="E257" s="103"/>
      <c r="F257" s="103"/>
      <c r="G257" s="103"/>
      <c r="H257" s="103"/>
      <c r="I257" s="103"/>
      <c r="J257" s="103"/>
      <c r="K257" s="103"/>
      <c r="L257" s="103"/>
      <c r="M257" s="103"/>
      <c r="N257" s="68"/>
      <c r="O257" s="405" t="s">
        <v>827</v>
      </c>
      <c r="P257" s="405"/>
      <c r="Q257" s="405"/>
      <c r="R257" s="405"/>
      <c r="S257" s="675"/>
      <c r="T257" s="295"/>
      <c r="U257" s="295"/>
      <c r="V257" s="675"/>
      <c r="W257" s="676"/>
      <c r="X257" s="675"/>
      <c r="Y257" s="405"/>
      <c r="Z257" s="405"/>
      <c r="AA257" s="405"/>
      <c r="AB257" s="405" t="s">
        <v>90</v>
      </c>
      <c r="AC257" s="405"/>
      <c r="AD257" s="437">
        <v>78000</v>
      </c>
      <c r="AE257" s="407" t="s">
        <v>824</v>
      </c>
      <c r="AF257" s="16"/>
    </row>
    <row r="258" spans="1:32" s="15" customFormat="1" ht="24" customHeight="1">
      <c r="A258" s="46"/>
      <c r="B258" s="46"/>
      <c r="C258" s="59"/>
      <c r="D258" s="152"/>
      <c r="E258" s="105"/>
      <c r="F258" s="105"/>
      <c r="G258" s="105"/>
      <c r="H258" s="105"/>
      <c r="I258" s="105"/>
      <c r="J258" s="105"/>
      <c r="K258" s="105"/>
      <c r="L258" s="105"/>
      <c r="M258" s="105"/>
      <c r="N258" s="82"/>
      <c r="O258" s="438" t="s">
        <v>828</v>
      </c>
      <c r="P258" s="438"/>
      <c r="Q258" s="438"/>
      <c r="R258" s="438"/>
      <c r="S258" s="669"/>
      <c r="T258" s="398"/>
      <c r="U258" s="398"/>
      <c r="V258" s="669"/>
      <c r="W258" s="670"/>
      <c r="X258" s="669"/>
      <c r="Y258" s="438"/>
      <c r="Z258" s="438"/>
      <c r="AA258" s="438"/>
      <c r="AB258" s="438" t="s">
        <v>774</v>
      </c>
      <c r="AC258" s="438"/>
      <c r="AD258" s="439">
        <v>960000</v>
      </c>
      <c r="AE258" s="440" t="s">
        <v>766</v>
      </c>
      <c r="AF258" s="16"/>
    </row>
    <row r="259" spans="1:32" s="15" customFormat="1" ht="24" customHeight="1">
      <c r="A259" s="46"/>
      <c r="B259" s="46"/>
      <c r="C259" s="36" t="s">
        <v>304</v>
      </c>
      <c r="D259" s="153">
        <v>15474</v>
      </c>
      <c r="E259" s="107">
        <f>ROUND(AD259/1000,0)</f>
        <v>13830</v>
      </c>
      <c r="F259" s="108">
        <f>SUMIF($AB$260:$AB$266,"보조",$AD$260:$AD$266)/1000</f>
        <v>0</v>
      </c>
      <c r="G259" s="108">
        <f>SUMIF($AB$260:$AB$266,"7종",$AD$260:$AD$266)/1000</f>
        <v>0</v>
      </c>
      <c r="H259" s="108">
        <f>SUMIF($AB$260:$AB$266,"4종",$AD$260:$AD$266)/1000</f>
        <v>0</v>
      </c>
      <c r="I259" s="108">
        <f>SUMIF($AB$260:$AB$269,"후원",$AD$260:$AD$269)/1000</f>
        <v>13830</v>
      </c>
      <c r="J259" s="108">
        <f>SUMIF($AB$260:$AB$266,"입소",$AD$260:$AD$266)/1000</f>
        <v>0</v>
      </c>
      <c r="K259" s="108">
        <f>SUMIF($AB$260:$AB$266,"법인",$AD$260:$AD$266)/1000</f>
        <v>0</v>
      </c>
      <c r="L259" s="108">
        <f>SUMIF($AB$260:$AB$266,"잡수",$AD$260:$AD$266)/1000</f>
        <v>0</v>
      </c>
      <c r="M259" s="659">
        <f>E259-D259</f>
        <v>-1644</v>
      </c>
      <c r="N259" s="115">
        <f>IF(D259=0,0,M259/D259)</f>
        <v>-0.10624272974020939</v>
      </c>
      <c r="O259" s="286"/>
      <c r="P259" s="303"/>
      <c r="Q259" s="303"/>
      <c r="R259" s="441"/>
      <c r="S259" s="441"/>
      <c r="T259" s="441"/>
      <c r="U259" s="441"/>
      <c r="V259" s="441"/>
      <c r="W259" s="442" t="s">
        <v>129</v>
      </c>
      <c r="X259" s="442"/>
      <c r="Y259" s="442"/>
      <c r="Z259" s="442"/>
      <c r="AA259" s="442"/>
      <c r="AB259" s="442"/>
      <c r="AC259" s="443"/>
      <c r="AD259" s="443">
        <f>SUM(AD260:AD269)</f>
        <v>13830000</v>
      </c>
      <c r="AE259" s="444" t="s">
        <v>25</v>
      </c>
      <c r="AF259" s="16"/>
    </row>
    <row r="260" spans="1:32" s="15" customFormat="1" ht="24" customHeight="1">
      <c r="A260" s="46"/>
      <c r="B260" s="46"/>
      <c r="C260" s="46" t="s">
        <v>298</v>
      </c>
      <c r="D260" s="151"/>
      <c r="E260" s="103"/>
      <c r="F260" s="103"/>
      <c r="G260" s="103"/>
      <c r="H260" s="103"/>
      <c r="I260" s="103"/>
      <c r="J260" s="103"/>
      <c r="K260" s="103"/>
      <c r="L260" s="103"/>
      <c r="M260" s="103"/>
      <c r="N260" s="68"/>
      <c r="O260" s="573" t="s">
        <v>640</v>
      </c>
      <c r="P260" s="405"/>
      <c r="Q260" s="405"/>
      <c r="R260" s="405"/>
      <c r="S260" s="405"/>
      <c r="T260" s="405"/>
      <c r="U260" s="405"/>
      <c r="V260" s="405"/>
      <c r="W260" s="405"/>
      <c r="X260" s="405"/>
      <c r="Y260" s="405"/>
      <c r="Z260" s="405"/>
      <c r="AA260" s="405"/>
      <c r="AB260" s="405" t="s">
        <v>629</v>
      </c>
      <c r="AC260" s="405"/>
      <c r="AD260" s="437">
        <v>1900000</v>
      </c>
      <c r="AE260" s="407" t="s">
        <v>653</v>
      </c>
      <c r="AF260" s="16"/>
    </row>
    <row r="261" spans="1:32" s="15" customFormat="1" ht="24" customHeight="1">
      <c r="A261" s="46"/>
      <c r="B261" s="46"/>
      <c r="C261" s="46"/>
      <c r="D261" s="151"/>
      <c r="E261" s="103"/>
      <c r="F261" s="103"/>
      <c r="G261" s="103"/>
      <c r="H261" s="103"/>
      <c r="I261" s="103"/>
      <c r="J261" s="103"/>
      <c r="K261" s="103"/>
      <c r="L261" s="103"/>
      <c r="M261" s="103"/>
      <c r="N261" s="68"/>
      <c r="O261" s="668" t="s">
        <v>732</v>
      </c>
      <c r="P261" s="405"/>
      <c r="Q261" s="405"/>
      <c r="R261" s="405"/>
      <c r="S261" s="405"/>
      <c r="T261" s="405"/>
      <c r="U261" s="405"/>
      <c r="V261" s="405"/>
      <c r="W261" s="405"/>
      <c r="X261" s="405"/>
      <c r="Y261" s="405"/>
      <c r="Z261" s="405"/>
      <c r="AA261" s="405"/>
      <c r="AB261" s="405" t="s">
        <v>151</v>
      </c>
      <c r="AC261" s="405"/>
      <c r="AD261" s="437">
        <v>2500000</v>
      </c>
      <c r="AE261" s="407" t="s">
        <v>56</v>
      </c>
      <c r="AF261" s="563"/>
    </row>
    <row r="262" spans="1:32" s="15" customFormat="1" ht="24" customHeight="1">
      <c r="A262" s="46"/>
      <c r="B262" s="46"/>
      <c r="C262" s="46"/>
      <c r="D262" s="151"/>
      <c r="E262" s="103"/>
      <c r="F262" s="103"/>
      <c r="G262" s="103"/>
      <c r="H262" s="103"/>
      <c r="I262" s="103"/>
      <c r="J262" s="103"/>
      <c r="K262" s="103"/>
      <c r="L262" s="103"/>
      <c r="M262" s="103"/>
      <c r="N262" s="68"/>
      <c r="O262" s="682" t="s">
        <v>854</v>
      </c>
      <c r="P262" s="405"/>
      <c r="Q262" s="405"/>
      <c r="R262" s="405"/>
      <c r="S262" s="405"/>
      <c r="T262" s="405"/>
      <c r="U262" s="405"/>
      <c r="V262" s="405"/>
      <c r="W262" s="405"/>
      <c r="X262" s="405"/>
      <c r="Y262" s="405"/>
      <c r="Z262" s="405"/>
      <c r="AA262" s="405"/>
      <c r="AB262" s="405" t="s">
        <v>151</v>
      </c>
      <c r="AC262" s="405"/>
      <c r="AD262" s="437">
        <v>2100000</v>
      </c>
      <c r="AE262" s="407" t="s">
        <v>56</v>
      </c>
      <c r="AF262" s="563"/>
    </row>
    <row r="263" spans="1:32" s="15" customFormat="1" ht="24" customHeight="1">
      <c r="A263" s="46"/>
      <c r="B263" s="46"/>
      <c r="C263" s="46"/>
      <c r="D263" s="151"/>
      <c r="E263" s="103"/>
      <c r="F263" s="103"/>
      <c r="G263" s="103"/>
      <c r="H263" s="103"/>
      <c r="I263" s="103"/>
      <c r="J263" s="103"/>
      <c r="K263" s="103"/>
      <c r="L263" s="103"/>
      <c r="M263" s="103"/>
      <c r="N263" s="68"/>
      <c r="O263" s="668" t="s">
        <v>305</v>
      </c>
      <c r="P263" s="405"/>
      <c r="Q263" s="405"/>
      <c r="R263" s="405"/>
      <c r="S263" s="405"/>
      <c r="T263" s="405"/>
      <c r="U263" s="405"/>
      <c r="V263" s="405"/>
      <c r="W263" s="405"/>
      <c r="X263" s="405"/>
      <c r="Y263" s="405" t="s">
        <v>536</v>
      </c>
      <c r="Z263" s="405"/>
      <c r="AA263" s="405"/>
      <c r="AB263" s="405" t="s">
        <v>151</v>
      </c>
      <c r="AC263" s="405"/>
      <c r="AD263" s="437">
        <v>1800000</v>
      </c>
      <c r="AE263" s="407" t="s">
        <v>56</v>
      </c>
      <c r="AF263" s="563"/>
    </row>
    <row r="264" spans="1:32" s="15" customFormat="1" ht="24" customHeight="1">
      <c r="A264" s="46"/>
      <c r="B264" s="46"/>
      <c r="C264" s="46"/>
      <c r="D264" s="151"/>
      <c r="E264" s="103"/>
      <c r="F264" s="103"/>
      <c r="G264" s="103"/>
      <c r="H264" s="103"/>
      <c r="I264" s="103"/>
      <c r="J264" s="103"/>
      <c r="K264" s="103"/>
      <c r="L264" s="103"/>
      <c r="M264" s="103"/>
      <c r="N264" s="68"/>
      <c r="O264" s="682" t="s">
        <v>855</v>
      </c>
      <c r="P264" s="405"/>
      <c r="Q264" s="405"/>
      <c r="R264" s="405"/>
      <c r="S264" s="405"/>
      <c r="T264" s="405"/>
      <c r="U264" s="405"/>
      <c r="V264" s="405"/>
      <c r="W264" s="405"/>
      <c r="X264" s="405"/>
      <c r="Y264" s="405" t="s">
        <v>536</v>
      </c>
      <c r="Z264" s="405"/>
      <c r="AA264" s="405"/>
      <c r="AB264" s="405" t="s">
        <v>151</v>
      </c>
      <c r="AC264" s="405"/>
      <c r="AD264" s="437">
        <v>1000000</v>
      </c>
      <c r="AE264" s="407" t="s">
        <v>56</v>
      </c>
      <c r="AF264" s="563"/>
    </row>
    <row r="265" spans="1:32" s="15" customFormat="1" ht="24" customHeight="1">
      <c r="A265" s="46"/>
      <c r="B265" s="46"/>
      <c r="C265" s="46"/>
      <c r="D265" s="151"/>
      <c r="E265" s="103"/>
      <c r="F265" s="103"/>
      <c r="G265" s="103"/>
      <c r="H265" s="103"/>
      <c r="I265" s="103"/>
      <c r="J265" s="103"/>
      <c r="K265" s="103"/>
      <c r="L265" s="103"/>
      <c r="M265" s="103"/>
      <c r="N265" s="68"/>
      <c r="O265" s="668" t="s">
        <v>693</v>
      </c>
      <c r="P265" s="668"/>
      <c r="Q265" s="668"/>
      <c r="R265" s="668"/>
      <c r="S265" s="668"/>
      <c r="T265" s="667"/>
      <c r="U265" s="667"/>
      <c r="V265" s="667"/>
      <c r="W265" s="667"/>
      <c r="X265" s="667"/>
      <c r="Y265" s="667"/>
      <c r="Z265" s="667"/>
      <c r="AA265" s="667"/>
      <c r="AB265" s="667" t="s">
        <v>151</v>
      </c>
      <c r="AC265" s="666"/>
      <c r="AD265" s="689">
        <v>2000000</v>
      </c>
      <c r="AE265" s="131" t="s">
        <v>56</v>
      </c>
      <c r="AF265" s="563"/>
    </row>
    <row r="266" spans="1:32" s="15" customFormat="1" ht="24" customHeight="1">
      <c r="A266" s="46"/>
      <c r="B266" s="46"/>
      <c r="C266" s="46"/>
      <c r="D266" s="151"/>
      <c r="E266" s="103"/>
      <c r="F266" s="103"/>
      <c r="G266" s="103"/>
      <c r="H266" s="103"/>
      <c r="I266" s="103"/>
      <c r="J266" s="103"/>
      <c r="K266" s="103"/>
      <c r="L266" s="103"/>
      <c r="M266" s="103"/>
      <c r="N266" s="68"/>
      <c r="O266" s="283" t="s">
        <v>730</v>
      </c>
      <c r="P266" s="668"/>
      <c r="Q266" s="668"/>
      <c r="R266" s="668"/>
      <c r="S266" s="668"/>
      <c r="T266" s="667"/>
      <c r="U266" s="667"/>
      <c r="V266" s="667"/>
      <c r="W266" s="667"/>
      <c r="X266" s="667"/>
      <c r="Y266" s="667"/>
      <c r="Z266" s="667"/>
      <c r="AA266" s="667"/>
      <c r="AB266" s="667" t="s">
        <v>151</v>
      </c>
      <c r="AC266" s="666"/>
      <c r="AD266" s="689">
        <v>300000</v>
      </c>
      <c r="AE266" s="131" t="s">
        <v>56</v>
      </c>
      <c r="AF266" s="563"/>
    </row>
    <row r="267" spans="1:32" s="15" customFormat="1" ht="24" customHeight="1">
      <c r="A267" s="46"/>
      <c r="B267" s="46"/>
      <c r="C267" s="46"/>
      <c r="D267" s="151"/>
      <c r="E267" s="103"/>
      <c r="F267" s="103"/>
      <c r="G267" s="103"/>
      <c r="H267" s="103"/>
      <c r="I267" s="103"/>
      <c r="J267" s="103"/>
      <c r="K267" s="103"/>
      <c r="L267" s="103"/>
      <c r="M267" s="103"/>
      <c r="N267" s="68"/>
      <c r="O267" s="283" t="s">
        <v>856</v>
      </c>
      <c r="P267" s="682"/>
      <c r="Q267" s="682"/>
      <c r="R267" s="682"/>
      <c r="S267" s="682"/>
      <c r="T267" s="681"/>
      <c r="U267" s="681"/>
      <c r="V267" s="681"/>
      <c r="W267" s="681"/>
      <c r="X267" s="681"/>
      <c r="Y267" s="681"/>
      <c r="Z267" s="681"/>
      <c r="AA267" s="681"/>
      <c r="AB267" s="681" t="s">
        <v>151</v>
      </c>
      <c r="AC267" s="680"/>
      <c r="AD267" s="689">
        <v>1500000</v>
      </c>
      <c r="AE267" s="131" t="s">
        <v>858</v>
      </c>
      <c r="AF267" s="563"/>
    </row>
    <row r="268" spans="1:32" s="15" customFormat="1" ht="24" customHeight="1">
      <c r="A268" s="46"/>
      <c r="B268" s="46"/>
      <c r="C268" s="46"/>
      <c r="D268" s="151"/>
      <c r="E268" s="103"/>
      <c r="F268" s="103"/>
      <c r="G268" s="103"/>
      <c r="H268" s="103"/>
      <c r="I268" s="103"/>
      <c r="J268" s="103"/>
      <c r="K268" s="103"/>
      <c r="L268" s="103"/>
      <c r="M268" s="103"/>
      <c r="N268" s="68"/>
      <c r="O268" s="283" t="s">
        <v>857</v>
      </c>
      <c r="P268" s="682"/>
      <c r="Q268" s="682"/>
      <c r="R268" s="682"/>
      <c r="S268" s="682"/>
      <c r="T268" s="681"/>
      <c r="U268" s="681"/>
      <c r="V268" s="681"/>
      <c r="W268" s="681"/>
      <c r="X268" s="681"/>
      <c r="Y268" s="681"/>
      <c r="Z268" s="681"/>
      <c r="AA268" s="681"/>
      <c r="AB268" s="681" t="s">
        <v>874</v>
      </c>
      <c r="AC268" s="680"/>
      <c r="AD268" s="689">
        <v>280000</v>
      </c>
      <c r="AE268" s="131" t="s">
        <v>858</v>
      </c>
      <c r="AF268" s="563"/>
    </row>
    <row r="269" spans="1:32" s="15" customFormat="1" ht="24" customHeight="1">
      <c r="A269" s="46"/>
      <c r="B269" s="46"/>
      <c r="C269" s="59"/>
      <c r="D269" s="152"/>
      <c r="E269" s="105"/>
      <c r="F269" s="105"/>
      <c r="G269" s="105"/>
      <c r="H269" s="105"/>
      <c r="I269" s="105"/>
      <c r="J269" s="105"/>
      <c r="K269" s="105"/>
      <c r="L269" s="105"/>
      <c r="M269" s="105"/>
      <c r="N269" s="82"/>
      <c r="O269" s="284" t="s">
        <v>731</v>
      </c>
      <c r="P269" s="670"/>
      <c r="Q269" s="670"/>
      <c r="R269" s="670"/>
      <c r="S269" s="670"/>
      <c r="T269" s="669"/>
      <c r="U269" s="669"/>
      <c r="V269" s="669"/>
      <c r="W269" s="669"/>
      <c r="X269" s="669"/>
      <c r="Y269" s="669"/>
      <c r="Z269" s="669"/>
      <c r="AA269" s="669"/>
      <c r="AB269" s="669" t="s">
        <v>151</v>
      </c>
      <c r="AC269" s="408"/>
      <c r="AD269" s="445">
        <v>450000</v>
      </c>
      <c r="AE269" s="399" t="s">
        <v>56</v>
      </c>
      <c r="AF269" s="563"/>
    </row>
    <row r="270" spans="1:32" s="15" customFormat="1" ht="24" customHeight="1">
      <c r="A270" s="46"/>
      <c r="B270" s="46"/>
      <c r="C270" s="36" t="s">
        <v>306</v>
      </c>
      <c r="D270" s="153">
        <v>9086</v>
      </c>
      <c r="E270" s="107">
        <f>ROUND(AD270/1000,0)</f>
        <v>18763</v>
      </c>
      <c r="F270" s="108">
        <f>SUMIF($AB$271:$AB$278,"보조",$AD$271:$AD$278)/1000</f>
        <v>0</v>
      </c>
      <c r="G270" s="108">
        <f>SUMIF($AB$271:$AB$278,"7종",$AD$271:$AD$278)/1000</f>
        <v>0</v>
      </c>
      <c r="H270" s="108">
        <f>SUMIF($AB$271:$AB$278,"4종",$AD$271:$AD$278)/1000</f>
        <v>0</v>
      </c>
      <c r="I270" s="108">
        <f>SUMIF($AB$271:$AB$278,"후원",$AD$271:$AD$278)/1000</f>
        <v>4782</v>
      </c>
      <c r="J270" s="108">
        <f>SUMIF($AB$271:$AB$278,"입소",$AD$271:$AD$278)/1000</f>
        <v>4981</v>
      </c>
      <c r="K270" s="108">
        <f>SUMIF($AB$271:$AB$278,"법인",$AD$271:$AD$278)/1000</f>
        <v>9000</v>
      </c>
      <c r="L270" s="108">
        <f>SUMIF($AB$271:$AB$278,"잡수",$AD$271:$AD$278)/1000</f>
        <v>0</v>
      </c>
      <c r="M270" s="180">
        <f>E270-D270</f>
        <v>9677</v>
      </c>
      <c r="N270" s="115">
        <f>IF(D270=0,0,M270/D270)</f>
        <v>1.0650451243671584</v>
      </c>
      <c r="O270" s="307"/>
      <c r="P270" s="307"/>
      <c r="Q270" s="307"/>
      <c r="R270" s="307"/>
      <c r="S270" s="307"/>
      <c r="T270" s="291"/>
      <c r="U270" s="291"/>
      <c r="V270" s="291"/>
      <c r="W270" s="442" t="s">
        <v>129</v>
      </c>
      <c r="X270" s="442"/>
      <c r="Y270" s="442"/>
      <c r="Z270" s="442"/>
      <c r="AA270" s="442"/>
      <c r="AB270" s="442"/>
      <c r="AC270" s="443"/>
      <c r="AD270" s="443">
        <f>SUM(AD271:AD277)</f>
        <v>18763000</v>
      </c>
      <c r="AE270" s="444" t="s">
        <v>25</v>
      </c>
      <c r="AF270" s="16"/>
    </row>
    <row r="271" spans="1:32" s="15" customFormat="1" ht="24" customHeight="1">
      <c r="A271" s="46"/>
      <c r="B271" s="46"/>
      <c r="C271" s="46" t="s">
        <v>298</v>
      </c>
      <c r="D271" s="151"/>
      <c r="E271" s="103"/>
      <c r="F271" s="103"/>
      <c r="G271" s="103"/>
      <c r="H271" s="103"/>
      <c r="I271" s="103"/>
      <c r="J271" s="103"/>
      <c r="K271" s="103"/>
      <c r="L271" s="103"/>
      <c r="M271" s="103"/>
      <c r="N271" s="68"/>
      <c r="O271" s="676" t="s">
        <v>829</v>
      </c>
      <c r="P271" s="668"/>
      <c r="Q271" s="668"/>
      <c r="R271" s="668"/>
      <c r="S271" s="668"/>
      <c r="T271" s="667"/>
      <c r="U271" s="667"/>
      <c r="V271" s="667"/>
      <c r="W271" s="667"/>
      <c r="X271" s="667"/>
      <c r="Y271" s="667"/>
      <c r="Z271" s="667"/>
      <c r="AA271" s="667"/>
      <c r="AB271" s="667" t="s">
        <v>793</v>
      </c>
      <c r="AC271" s="666"/>
      <c r="AD271" s="689">
        <v>1488000</v>
      </c>
      <c r="AE271" s="131" t="s">
        <v>766</v>
      </c>
      <c r="AF271" s="563"/>
    </row>
    <row r="272" spans="1:32" s="15" customFormat="1" ht="24" customHeight="1">
      <c r="A272" s="46"/>
      <c r="B272" s="46"/>
      <c r="C272" s="46"/>
      <c r="D272" s="151"/>
      <c r="E272" s="103"/>
      <c r="F272" s="103"/>
      <c r="G272" s="103"/>
      <c r="H272" s="103"/>
      <c r="I272" s="103"/>
      <c r="J272" s="103"/>
      <c r="K272" s="103"/>
      <c r="L272" s="103"/>
      <c r="M272" s="103"/>
      <c r="N272" s="68"/>
      <c r="O272" s="676" t="s">
        <v>830</v>
      </c>
      <c r="P272" s="668"/>
      <c r="Q272" s="668"/>
      <c r="R272" s="668"/>
      <c r="S272" s="668"/>
      <c r="T272" s="667"/>
      <c r="U272" s="667"/>
      <c r="V272" s="667"/>
      <c r="W272" s="667"/>
      <c r="X272" s="667"/>
      <c r="Y272" s="667"/>
      <c r="Z272" s="667"/>
      <c r="AA272" s="667"/>
      <c r="AB272" s="667" t="s">
        <v>793</v>
      </c>
      <c r="AC272" s="666"/>
      <c r="AD272" s="689">
        <v>1993000</v>
      </c>
      <c r="AE272" s="131" t="s">
        <v>766</v>
      </c>
      <c r="AF272" s="563"/>
    </row>
    <row r="273" spans="1:32" s="15" customFormat="1" ht="24" customHeight="1">
      <c r="A273" s="46"/>
      <c r="B273" s="46"/>
      <c r="C273" s="46"/>
      <c r="D273" s="151"/>
      <c r="E273" s="103"/>
      <c r="F273" s="103"/>
      <c r="G273" s="103"/>
      <c r="H273" s="103"/>
      <c r="I273" s="103"/>
      <c r="J273" s="103"/>
      <c r="K273" s="103"/>
      <c r="L273" s="103"/>
      <c r="M273" s="103"/>
      <c r="N273" s="68"/>
      <c r="O273" s="405" t="s">
        <v>831</v>
      </c>
      <c r="P273" s="400"/>
      <c r="Q273" s="400"/>
      <c r="R273" s="396"/>
      <c r="S273" s="396"/>
      <c r="T273" s="396"/>
      <c r="U273" s="396"/>
      <c r="V273" s="396"/>
      <c r="W273" s="667"/>
      <c r="X273" s="667"/>
      <c r="Y273" s="667"/>
      <c r="Z273" s="667"/>
      <c r="AA273" s="667"/>
      <c r="AB273" s="667" t="s">
        <v>772</v>
      </c>
      <c r="AC273" s="666"/>
      <c r="AD273" s="685">
        <v>1837000</v>
      </c>
      <c r="AE273" s="131" t="s">
        <v>766</v>
      </c>
      <c r="AF273" s="563"/>
    </row>
    <row r="274" spans="1:32" s="15" customFormat="1" ht="24" customHeight="1">
      <c r="A274" s="46"/>
      <c r="B274" s="46"/>
      <c r="C274" s="46"/>
      <c r="D274" s="151"/>
      <c r="E274" s="103"/>
      <c r="F274" s="103"/>
      <c r="G274" s="103"/>
      <c r="H274" s="103"/>
      <c r="I274" s="103"/>
      <c r="J274" s="103"/>
      <c r="K274" s="103"/>
      <c r="L274" s="103"/>
      <c r="M274" s="103"/>
      <c r="N274" s="68"/>
      <c r="O274" s="405" t="s">
        <v>844</v>
      </c>
      <c r="P274" s="400"/>
      <c r="Q274" s="400"/>
      <c r="R274" s="396"/>
      <c r="S274" s="396"/>
      <c r="T274" s="396"/>
      <c r="U274" s="396"/>
      <c r="V274" s="396"/>
      <c r="W274" s="675"/>
      <c r="X274" s="675"/>
      <c r="Y274" s="675"/>
      <c r="Z274" s="675"/>
      <c r="AA274" s="675"/>
      <c r="AB274" s="675" t="s">
        <v>848</v>
      </c>
      <c r="AC274" s="674"/>
      <c r="AD274" s="685">
        <v>9000000</v>
      </c>
      <c r="AE274" s="131" t="s">
        <v>824</v>
      </c>
      <c r="AF274" s="563"/>
    </row>
    <row r="275" spans="1:32" s="15" customFormat="1" ht="24" customHeight="1">
      <c r="A275" s="46"/>
      <c r="B275" s="46"/>
      <c r="C275" s="46"/>
      <c r="D275" s="151"/>
      <c r="E275" s="103"/>
      <c r="F275" s="103"/>
      <c r="G275" s="103"/>
      <c r="H275" s="103"/>
      <c r="I275" s="103"/>
      <c r="J275" s="103"/>
      <c r="K275" s="103"/>
      <c r="L275" s="103"/>
      <c r="M275" s="103"/>
      <c r="N275" s="68"/>
      <c r="O275" s="405" t="s">
        <v>845</v>
      </c>
      <c r="P275" s="400"/>
      <c r="Q275" s="400"/>
      <c r="R275" s="396"/>
      <c r="S275" s="396"/>
      <c r="T275" s="396"/>
      <c r="U275" s="396"/>
      <c r="V275" s="396"/>
      <c r="W275" s="667"/>
      <c r="X275" s="667"/>
      <c r="Y275" s="667"/>
      <c r="Z275" s="667"/>
      <c r="AA275" s="667"/>
      <c r="AB275" s="667" t="s">
        <v>793</v>
      </c>
      <c r="AC275" s="666"/>
      <c r="AD275" s="685">
        <v>1500000</v>
      </c>
      <c r="AE275" s="131" t="s">
        <v>766</v>
      </c>
      <c r="AF275" s="563"/>
    </row>
    <row r="276" spans="1:32" s="15" customFormat="1" ht="24" customHeight="1">
      <c r="A276" s="46"/>
      <c r="B276" s="46"/>
      <c r="C276" s="46"/>
      <c r="D276" s="151"/>
      <c r="E276" s="103"/>
      <c r="F276" s="103"/>
      <c r="G276" s="103"/>
      <c r="H276" s="103"/>
      <c r="I276" s="103"/>
      <c r="J276" s="103"/>
      <c r="K276" s="103"/>
      <c r="L276" s="103"/>
      <c r="M276" s="103"/>
      <c r="N276" s="68"/>
      <c r="O276" s="405" t="s">
        <v>846</v>
      </c>
      <c r="P276" s="400"/>
      <c r="Q276" s="400"/>
      <c r="R276" s="396"/>
      <c r="S276" s="396"/>
      <c r="T276" s="396"/>
      <c r="U276" s="396"/>
      <c r="V276" s="396"/>
      <c r="W276" s="667"/>
      <c r="X276" s="667"/>
      <c r="Y276" s="667"/>
      <c r="Z276" s="667"/>
      <c r="AA276" s="667"/>
      <c r="AB276" s="405" t="s">
        <v>772</v>
      </c>
      <c r="AC276" s="405"/>
      <c r="AD276" s="685">
        <v>2817000</v>
      </c>
      <c r="AE276" s="407" t="s">
        <v>766</v>
      </c>
      <c r="AF276" s="563"/>
    </row>
    <row r="277" spans="1:32" s="15" customFormat="1" ht="24" customHeight="1">
      <c r="A277" s="46"/>
      <c r="B277" s="46"/>
      <c r="C277" s="46"/>
      <c r="D277" s="151"/>
      <c r="E277" s="103"/>
      <c r="F277" s="103"/>
      <c r="G277" s="103"/>
      <c r="H277" s="103"/>
      <c r="I277" s="103"/>
      <c r="J277" s="103"/>
      <c r="K277" s="103"/>
      <c r="L277" s="103"/>
      <c r="M277" s="103"/>
      <c r="N277" s="68"/>
      <c r="O277" s="405" t="s">
        <v>847</v>
      </c>
      <c r="P277" s="405"/>
      <c r="Q277" s="405"/>
      <c r="R277" s="405"/>
      <c r="S277" s="405"/>
      <c r="T277" s="405"/>
      <c r="U277" s="405"/>
      <c r="V277" s="405"/>
      <c r="W277" s="405"/>
      <c r="X277" s="405"/>
      <c r="Y277" s="405"/>
      <c r="Z277" s="405"/>
      <c r="AA277" s="405"/>
      <c r="AB277" s="405" t="s">
        <v>151</v>
      </c>
      <c r="AC277" s="405"/>
      <c r="AD277" s="685">
        <v>128000</v>
      </c>
      <c r="AE277" s="407" t="s">
        <v>56</v>
      </c>
      <c r="AF277" s="563"/>
    </row>
    <row r="278" spans="1:32" s="15" customFormat="1" ht="24" customHeight="1">
      <c r="A278" s="46"/>
      <c r="B278" s="46"/>
      <c r="C278" s="59"/>
      <c r="D278" s="152"/>
      <c r="E278" s="105"/>
      <c r="F278" s="105"/>
      <c r="G278" s="105"/>
      <c r="H278" s="105"/>
      <c r="I278" s="105"/>
      <c r="J278" s="105"/>
      <c r="K278" s="105"/>
      <c r="L278" s="105"/>
      <c r="M278" s="105"/>
      <c r="N278" s="82"/>
      <c r="O278" s="438"/>
      <c r="P278" s="438"/>
      <c r="Q278" s="438"/>
      <c r="R278" s="438"/>
      <c r="S278" s="438"/>
      <c r="T278" s="438"/>
      <c r="U278" s="438"/>
      <c r="V278" s="438"/>
      <c r="W278" s="438"/>
      <c r="X278" s="438"/>
      <c r="Y278" s="438"/>
      <c r="Z278" s="438"/>
      <c r="AA278" s="438"/>
      <c r="AB278" s="438"/>
      <c r="AC278" s="438"/>
      <c r="AD278" s="439"/>
      <c r="AE278" s="440"/>
      <c r="AF278" s="16"/>
    </row>
    <row r="279" spans="1:32" s="15" customFormat="1" ht="24" customHeight="1">
      <c r="A279" s="46"/>
      <c r="B279" s="46"/>
      <c r="C279" s="116" t="s">
        <v>655</v>
      </c>
      <c r="D279" s="153">
        <v>5480</v>
      </c>
      <c r="E279" s="107">
        <f>ROUND(AD279/1000,0)</f>
        <v>7970</v>
      </c>
      <c r="F279" s="108">
        <f>SUMIF($AB$280:$AB$284,"보조",$AD$280:$AD$284)/1000</f>
        <v>0</v>
      </c>
      <c r="G279" s="108">
        <f>SUMIF($AB$280:$AB$284,"7종",$AD$280:$AD$284)/1000</f>
        <v>3024</v>
      </c>
      <c r="H279" s="108">
        <f>SUMIF($AB$280:$AB$284,"4종",$AD$280:$AD$284)/1000</f>
        <v>0</v>
      </c>
      <c r="I279" s="108">
        <f>SUMIF($AB$280:$AB$284,"후원",$AD$280:$AD$284)/1000</f>
        <v>2492</v>
      </c>
      <c r="J279" s="108">
        <f>SUMIF($AB$280:$AB$284,"입소",$AD$280:$AD$284)/1000</f>
        <v>2454</v>
      </c>
      <c r="K279" s="108">
        <f>SUMIF($AB$280:$AB$284,"법인",$AD$280:$AD$284)/1000</f>
        <v>0</v>
      </c>
      <c r="L279" s="108">
        <f>SUMIF($AB$280:$AB$284,"잡수",$AD$280:$AD$284)/1000</f>
        <v>0</v>
      </c>
      <c r="M279" s="180">
        <f>E279-D279</f>
        <v>2490</v>
      </c>
      <c r="N279" s="115">
        <f>IF(D279=0,0,M279/D279)</f>
        <v>0.45437956204379559</v>
      </c>
      <c r="O279" s="446"/>
      <c r="P279" s="446"/>
      <c r="Q279" s="446"/>
      <c r="R279" s="446"/>
      <c r="S279" s="446"/>
      <c r="T279" s="446"/>
      <c r="U279" s="446"/>
      <c r="V279" s="446"/>
      <c r="W279" s="442" t="s">
        <v>129</v>
      </c>
      <c r="X279" s="442"/>
      <c r="Y279" s="442"/>
      <c r="Z279" s="442"/>
      <c r="AA279" s="442"/>
      <c r="AB279" s="442"/>
      <c r="AC279" s="443"/>
      <c r="AD279" s="443">
        <f>SUM(AD280:AD284)</f>
        <v>7970000</v>
      </c>
      <c r="AE279" s="444" t="s">
        <v>25</v>
      </c>
      <c r="AF279" s="16"/>
    </row>
    <row r="280" spans="1:32" s="15" customFormat="1" ht="24" customHeight="1">
      <c r="A280" s="46"/>
      <c r="B280" s="46"/>
      <c r="C280" s="46" t="s">
        <v>832</v>
      </c>
      <c r="D280" s="151"/>
      <c r="E280" s="103"/>
      <c r="F280" s="103"/>
      <c r="G280" s="103"/>
      <c r="H280" s="103"/>
      <c r="I280" s="103"/>
      <c r="J280" s="103"/>
      <c r="K280" s="103"/>
      <c r="L280" s="103"/>
      <c r="M280" s="103"/>
      <c r="N280" s="68"/>
      <c r="O280" s="405" t="s">
        <v>833</v>
      </c>
      <c r="P280" s="405"/>
      <c r="Q280" s="405"/>
      <c r="R280" s="405"/>
      <c r="S280" s="667"/>
      <c r="T280" s="295" t="s">
        <v>766</v>
      </c>
      <c r="U280" s="295" t="s">
        <v>26</v>
      </c>
      <c r="V280" s="667"/>
      <c r="W280" s="668" t="s">
        <v>768</v>
      </c>
      <c r="X280" s="667"/>
      <c r="Y280" s="405" t="s">
        <v>792</v>
      </c>
      <c r="Z280" s="405"/>
      <c r="AA280" s="405"/>
      <c r="AB280" s="405" t="s">
        <v>772</v>
      </c>
      <c r="AC280" s="405"/>
      <c r="AD280" s="437">
        <v>2492000</v>
      </c>
      <c r="AE280" s="407" t="s">
        <v>766</v>
      </c>
      <c r="AF280" s="16"/>
    </row>
    <row r="281" spans="1:32" s="15" customFormat="1" ht="24" customHeight="1">
      <c r="A281" s="46"/>
      <c r="B281" s="46"/>
      <c r="C281" s="46"/>
      <c r="D281" s="151"/>
      <c r="E281" s="103"/>
      <c r="F281" s="103"/>
      <c r="G281" s="103"/>
      <c r="H281" s="103"/>
      <c r="I281" s="103"/>
      <c r="J281" s="103"/>
      <c r="K281" s="103"/>
      <c r="L281" s="103"/>
      <c r="M281" s="103"/>
      <c r="N281" s="68"/>
      <c r="O281" s="405"/>
      <c r="P281" s="405"/>
      <c r="Q281" s="405"/>
      <c r="R281" s="405"/>
      <c r="S281" s="675"/>
      <c r="T281" s="295"/>
      <c r="U281" s="295"/>
      <c r="V281" s="675"/>
      <c r="W281" s="676"/>
      <c r="X281" s="675"/>
      <c r="Y281" s="405"/>
      <c r="Z281" s="405"/>
      <c r="AA281" s="405"/>
      <c r="AB281" s="405" t="s">
        <v>876</v>
      </c>
      <c r="AC281" s="405"/>
      <c r="AD281" s="437">
        <v>1068000</v>
      </c>
      <c r="AE281" s="407" t="s">
        <v>824</v>
      </c>
      <c r="AF281" s="16"/>
    </row>
    <row r="282" spans="1:32" s="15" customFormat="1" ht="24" customHeight="1">
      <c r="A282" s="46"/>
      <c r="B282" s="46"/>
      <c r="C282" s="46"/>
      <c r="D282" s="151"/>
      <c r="E282" s="103"/>
      <c r="F282" s="103"/>
      <c r="G282" s="103"/>
      <c r="H282" s="103"/>
      <c r="I282" s="103"/>
      <c r="J282" s="103"/>
      <c r="K282" s="103"/>
      <c r="L282" s="103"/>
      <c r="M282" s="103"/>
      <c r="N282" s="68"/>
      <c r="O282" s="405" t="s">
        <v>834</v>
      </c>
      <c r="P282" s="405"/>
      <c r="Q282" s="405"/>
      <c r="R282" s="405"/>
      <c r="S282" s="675"/>
      <c r="T282" s="295"/>
      <c r="U282" s="295"/>
      <c r="V282" s="675"/>
      <c r="W282" s="676"/>
      <c r="X282" s="675"/>
      <c r="Y282" s="405"/>
      <c r="Z282" s="405"/>
      <c r="AA282" s="405"/>
      <c r="AB282" s="405" t="s">
        <v>873</v>
      </c>
      <c r="AC282" s="405"/>
      <c r="AD282" s="437">
        <v>3024000</v>
      </c>
      <c r="AE282" s="407" t="s">
        <v>824</v>
      </c>
      <c r="AF282" s="16"/>
    </row>
    <row r="283" spans="1:32" s="15" customFormat="1" ht="24" customHeight="1">
      <c r="A283" s="46"/>
      <c r="B283" s="46"/>
      <c r="C283" s="46"/>
      <c r="D283" s="151"/>
      <c r="E283" s="103"/>
      <c r="F283" s="103"/>
      <c r="G283" s="103"/>
      <c r="H283" s="103"/>
      <c r="I283" s="103"/>
      <c r="J283" s="103"/>
      <c r="K283" s="103"/>
      <c r="L283" s="103"/>
      <c r="M283" s="103"/>
      <c r="N283" s="68"/>
      <c r="O283" s="405"/>
      <c r="P283" s="405"/>
      <c r="Q283" s="405"/>
      <c r="R283" s="405"/>
      <c r="S283" s="675"/>
      <c r="T283" s="295"/>
      <c r="U283" s="295"/>
      <c r="V283" s="675"/>
      <c r="W283" s="676"/>
      <c r="X283" s="675"/>
      <c r="Y283" s="405"/>
      <c r="Z283" s="405"/>
      <c r="AA283" s="405"/>
      <c r="AB283" s="405" t="s">
        <v>876</v>
      </c>
      <c r="AC283" s="405"/>
      <c r="AD283" s="437">
        <v>1296000</v>
      </c>
      <c r="AE283" s="407" t="s">
        <v>824</v>
      </c>
      <c r="AF283" s="16"/>
    </row>
    <row r="284" spans="1:32" s="15" customFormat="1" ht="24" customHeight="1">
      <c r="A284" s="46"/>
      <c r="B284" s="46"/>
      <c r="C284" s="59"/>
      <c r="D284" s="152"/>
      <c r="E284" s="105"/>
      <c r="F284" s="105"/>
      <c r="G284" s="105"/>
      <c r="H284" s="105"/>
      <c r="I284" s="105"/>
      <c r="J284" s="105"/>
      <c r="K284" s="105"/>
      <c r="L284" s="105"/>
      <c r="M284" s="105"/>
      <c r="N284" s="82"/>
      <c r="O284" s="438" t="s">
        <v>835</v>
      </c>
      <c r="P284" s="438"/>
      <c r="Q284" s="438"/>
      <c r="R284" s="438"/>
      <c r="S284" s="667"/>
      <c r="T284" s="295" t="s">
        <v>766</v>
      </c>
      <c r="U284" s="295" t="s">
        <v>26</v>
      </c>
      <c r="V284" s="667"/>
      <c r="W284" s="668" t="s">
        <v>768</v>
      </c>
      <c r="X284" s="667"/>
      <c r="Y284" s="405"/>
      <c r="Z284" s="405" t="s">
        <v>770</v>
      </c>
      <c r="AA284" s="405"/>
      <c r="AB284" s="405" t="s">
        <v>793</v>
      </c>
      <c r="AC284" s="405"/>
      <c r="AD284" s="437">
        <v>90000</v>
      </c>
      <c r="AE284" s="407" t="s">
        <v>766</v>
      </c>
      <c r="AF284" s="16"/>
    </row>
    <row r="285" spans="1:32" s="15" customFormat="1" ht="24" customHeight="1">
      <c r="A285" s="46"/>
      <c r="B285" s="46"/>
      <c r="C285" s="36" t="s">
        <v>307</v>
      </c>
      <c r="D285" s="153">
        <v>22694</v>
      </c>
      <c r="E285" s="107">
        <f>ROUND(AD285/1000,0)</f>
        <v>0</v>
      </c>
      <c r="F285" s="108">
        <f>SUMIF($AB$286:$AB$288,"보조",$AD$286:$AD$288)/1000</f>
        <v>0</v>
      </c>
      <c r="G285" s="108">
        <f>SUMIF($AB$286:$AB$288,"7종",$AD$286:$AD$288)/1000</f>
        <v>0</v>
      </c>
      <c r="H285" s="108">
        <f>SUMIF($AB$286:$AB$288,"4종",$AD$286:$AD$288)/1000</f>
        <v>0</v>
      </c>
      <c r="I285" s="108">
        <f>SUMIF($AB$286:$AB$288,"후원",$AD$286:$AD$288)/1000</f>
        <v>0</v>
      </c>
      <c r="J285" s="108">
        <f>SUMIF($AB$286:$AB$288,"입소",$AD$286:$AD$288)/1000</f>
        <v>0</v>
      </c>
      <c r="K285" s="108">
        <f>SUMIF($AB$286:$AB$288,"법인",$AD$286:$AD$288)/1000</f>
        <v>0</v>
      </c>
      <c r="L285" s="108">
        <f>SUMIF($AB$286:$AB$288,"잡수",$AD$286:$AD$288)/1000</f>
        <v>0</v>
      </c>
      <c r="M285" s="107">
        <f>E285-D285</f>
        <v>-22694</v>
      </c>
      <c r="N285" s="115">
        <f>IF(D285=0,0,M285/D285)</f>
        <v>-1</v>
      </c>
      <c r="O285" s="286"/>
      <c r="P285" s="303"/>
      <c r="Q285" s="303"/>
      <c r="R285" s="441"/>
      <c r="S285" s="441"/>
      <c r="T285" s="441"/>
      <c r="U285" s="441"/>
      <c r="V285" s="441"/>
      <c r="W285" s="442" t="s">
        <v>129</v>
      </c>
      <c r="X285" s="442"/>
      <c r="Y285" s="442"/>
      <c r="Z285" s="442"/>
      <c r="AA285" s="442"/>
      <c r="AB285" s="442"/>
      <c r="AC285" s="443"/>
      <c r="AD285" s="443">
        <f>SUM(AD286:AD288)</f>
        <v>0</v>
      </c>
      <c r="AE285" s="444" t="s">
        <v>25</v>
      </c>
      <c r="AF285" s="16"/>
    </row>
    <row r="286" spans="1:32" s="15" customFormat="1" ht="24" customHeight="1">
      <c r="A286" s="46"/>
      <c r="B286" s="46"/>
      <c r="C286" s="46" t="s">
        <v>308</v>
      </c>
      <c r="D286" s="151"/>
      <c r="E286" s="103"/>
      <c r="F286" s="103"/>
      <c r="G286" s="103"/>
      <c r="H286" s="103"/>
      <c r="I286" s="103"/>
      <c r="J286" s="103"/>
      <c r="K286" s="103"/>
      <c r="L286" s="103"/>
      <c r="M286" s="103"/>
      <c r="N286" s="68"/>
      <c r="O286" s="405"/>
      <c r="P286" s="405"/>
      <c r="Q286" s="405"/>
      <c r="R286" s="405"/>
      <c r="S286" s="405"/>
      <c r="T286" s="405"/>
      <c r="U286" s="405"/>
      <c r="V286" s="405"/>
      <c r="W286" s="405"/>
      <c r="X286" s="405"/>
      <c r="Y286" s="405" t="s">
        <v>641</v>
      </c>
      <c r="Z286" s="405"/>
      <c r="AA286" s="405"/>
      <c r="AB286" s="405" t="s">
        <v>629</v>
      </c>
      <c r="AC286" s="405"/>
      <c r="AD286" s="437"/>
      <c r="AE286" s="407" t="s">
        <v>653</v>
      </c>
      <c r="AF286" s="16"/>
    </row>
    <row r="287" spans="1:32" s="15" customFormat="1" ht="24" customHeight="1">
      <c r="A287" s="46"/>
      <c r="B287" s="46"/>
      <c r="C287" s="46" t="s">
        <v>298</v>
      </c>
      <c r="D287" s="151"/>
      <c r="E287" s="103"/>
      <c r="F287" s="103"/>
      <c r="G287" s="103"/>
      <c r="H287" s="103"/>
      <c r="I287" s="103"/>
      <c r="J287" s="103"/>
      <c r="K287" s="103"/>
      <c r="L287" s="103"/>
      <c r="M287" s="103"/>
      <c r="N287" s="68"/>
      <c r="O287" s="405"/>
      <c r="P287" s="405"/>
      <c r="Q287" s="405"/>
      <c r="R287" s="405"/>
      <c r="S287" s="405"/>
      <c r="T287" s="405"/>
      <c r="U287" s="405"/>
      <c r="V287" s="405"/>
      <c r="W287" s="405"/>
      <c r="X287" s="405"/>
      <c r="Y287" s="405"/>
      <c r="Z287" s="405"/>
      <c r="AA287" s="405"/>
      <c r="AB287" s="405"/>
      <c r="AC287" s="405"/>
      <c r="AD287" s="684"/>
      <c r="AE287" s="407" t="s">
        <v>653</v>
      </c>
      <c r="AF287" s="16"/>
    </row>
    <row r="288" spans="1:32" s="15" customFormat="1" ht="24" customHeight="1">
      <c r="A288" s="46"/>
      <c r="B288" s="46"/>
      <c r="C288" s="46"/>
      <c r="D288" s="151"/>
      <c r="E288" s="103"/>
      <c r="F288" s="103"/>
      <c r="G288" s="103"/>
      <c r="H288" s="103"/>
      <c r="I288" s="103"/>
      <c r="J288" s="103"/>
      <c r="K288" s="103"/>
      <c r="L288" s="103"/>
      <c r="M288" s="103"/>
      <c r="N288" s="68"/>
      <c r="O288" s="405"/>
      <c r="P288" s="405"/>
      <c r="Q288" s="405"/>
      <c r="R288" s="405"/>
      <c r="S288" s="405"/>
      <c r="T288" s="405"/>
      <c r="U288" s="405"/>
      <c r="V288" s="405"/>
      <c r="W288" s="405"/>
      <c r="X288" s="405"/>
      <c r="Y288" s="405"/>
      <c r="Z288" s="405"/>
      <c r="AA288" s="405"/>
      <c r="AB288" s="405"/>
      <c r="AC288" s="405"/>
      <c r="AD288" s="437"/>
      <c r="AE288" s="407"/>
      <c r="AF288" s="16"/>
    </row>
    <row r="289" spans="1:32" s="15" customFormat="1" ht="24" customHeight="1">
      <c r="A289" s="46"/>
      <c r="B289" s="46"/>
      <c r="C289" s="116" t="s">
        <v>657</v>
      </c>
      <c r="D289" s="153">
        <v>4875</v>
      </c>
      <c r="E289" s="107">
        <f>ROUND(AD289/1000,0)</f>
        <v>2080</v>
      </c>
      <c r="F289" s="108">
        <f>SUMIF($AB$290:$AB$292,"보조",$AD$290:$AD$292)/1000</f>
        <v>0</v>
      </c>
      <c r="G289" s="108">
        <f>SUMIF($AB$290:$AB$292,"7종",$AD$290:$AD$292)/1000</f>
        <v>0</v>
      </c>
      <c r="H289" s="108">
        <f>SUMIF($AB$290:$AB$292,"4종",$AD$290:$AD$292)/1000</f>
        <v>0</v>
      </c>
      <c r="I289" s="108">
        <f>SUMIF($AB$290:$AB$292,"후원",$AD$290:$AD$292)/1000</f>
        <v>2080</v>
      </c>
      <c r="J289" s="108">
        <f>SUMIF($AB$290:$AB$292,"입소",$AD$290:$AD$292)/1000</f>
        <v>0</v>
      </c>
      <c r="K289" s="108">
        <f>SUMIF($AB$290:$AB$292,"법인",$AD$290:$AD$292)/1000</f>
        <v>0</v>
      </c>
      <c r="L289" s="108">
        <f>SUMIF($AB$290:$AB$292,"잡수",$AD$290:$AD$292)/1000</f>
        <v>0</v>
      </c>
      <c r="M289" s="107">
        <f>E289-D289</f>
        <v>-2795</v>
      </c>
      <c r="N289" s="115">
        <f>IF(D289=0,0,M289/D289)</f>
        <v>-0.57333333333333336</v>
      </c>
      <c r="O289" s="286"/>
      <c r="P289" s="303"/>
      <c r="Q289" s="303"/>
      <c r="R289" s="441"/>
      <c r="S289" s="441"/>
      <c r="T289" s="441"/>
      <c r="U289" s="441"/>
      <c r="V289" s="441"/>
      <c r="W289" s="442" t="s">
        <v>129</v>
      </c>
      <c r="X289" s="442"/>
      <c r="Y289" s="442"/>
      <c r="Z289" s="442"/>
      <c r="AA289" s="442"/>
      <c r="AB289" s="442"/>
      <c r="AC289" s="443"/>
      <c r="AD289" s="443">
        <f>SUM(AD290:AD291)</f>
        <v>2080000</v>
      </c>
      <c r="AE289" s="444" t="s">
        <v>25</v>
      </c>
      <c r="AF289" s="16"/>
    </row>
    <row r="290" spans="1:32" s="15" customFormat="1" ht="24" customHeight="1">
      <c r="A290" s="46"/>
      <c r="B290" s="46"/>
      <c r="C290" s="585" t="s">
        <v>656</v>
      </c>
      <c r="D290" s="151"/>
      <c r="E290" s="103"/>
      <c r="F290" s="103"/>
      <c r="G290" s="103"/>
      <c r="H290" s="103"/>
      <c r="I290" s="103"/>
      <c r="J290" s="103"/>
      <c r="K290" s="103"/>
      <c r="L290" s="103"/>
      <c r="M290" s="103"/>
      <c r="N290" s="68"/>
      <c r="O290" s="573" t="s">
        <v>642</v>
      </c>
      <c r="P290" s="400"/>
      <c r="Q290" s="400"/>
      <c r="R290" s="396"/>
      <c r="S290" s="396"/>
      <c r="T290" s="396"/>
      <c r="U290" s="396"/>
      <c r="V290" s="396"/>
      <c r="W290" s="432"/>
      <c r="X290" s="432"/>
      <c r="Y290" s="432"/>
      <c r="Z290" s="432"/>
      <c r="AA290" s="432"/>
      <c r="AB290" s="434" t="s">
        <v>330</v>
      </c>
      <c r="AC290" s="130"/>
      <c r="AD290" s="685">
        <v>1080000</v>
      </c>
      <c r="AE290" s="131" t="s">
        <v>653</v>
      </c>
      <c r="AF290" s="16"/>
    </row>
    <row r="291" spans="1:32" s="15" customFormat="1" ht="24" customHeight="1">
      <c r="A291" s="46"/>
      <c r="B291" s="46"/>
      <c r="C291" s="585"/>
      <c r="D291" s="151"/>
      <c r="E291" s="103"/>
      <c r="F291" s="103"/>
      <c r="G291" s="103"/>
      <c r="H291" s="103"/>
      <c r="I291" s="103"/>
      <c r="J291" s="103"/>
      <c r="K291" s="103"/>
      <c r="L291" s="103"/>
      <c r="M291" s="103"/>
      <c r="N291" s="68"/>
      <c r="O291" s="573" t="s">
        <v>643</v>
      </c>
      <c r="P291" s="400"/>
      <c r="Q291" s="400"/>
      <c r="R291" s="396"/>
      <c r="S291" s="396"/>
      <c r="T291" s="396"/>
      <c r="U291" s="396"/>
      <c r="V291" s="396"/>
      <c r="W291" s="550"/>
      <c r="X291" s="550"/>
      <c r="Y291" s="550"/>
      <c r="Z291" s="550"/>
      <c r="AA291" s="550"/>
      <c r="AB291" s="667" t="s">
        <v>772</v>
      </c>
      <c r="AC291" s="666"/>
      <c r="AD291" s="685">
        <v>1000000</v>
      </c>
      <c r="AE291" s="131" t="s">
        <v>766</v>
      </c>
      <c r="AF291" s="16"/>
    </row>
    <row r="292" spans="1:32" s="15" customFormat="1" ht="24" customHeight="1">
      <c r="A292" s="46"/>
      <c r="B292" s="46"/>
      <c r="C292" s="59"/>
      <c r="D292" s="152"/>
      <c r="E292" s="105"/>
      <c r="F292" s="105"/>
      <c r="G292" s="105"/>
      <c r="H292" s="105"/>
      <c r="I292" s="105"/>
      <c r="J292" s="105"/>
      <c r="K292" s="105"/>
      <c r="L292" s="105"/>
      <c r="M292" s="105"/>
      <c r="N292" s="82"/>
      <c r="O292" s="431"/>
      <c r="P292" s="290"/>
      <c r="Q292" s="290"/>
      <c r="R292" s="447"/>
      <c r="S292" s="447"/>
      <c r="T292" s="447"/>
      <c r="U292" s="447"/>
      <c r="V292" s="447"/>
      <c r="W292" s="430"/>
      <c r="X292" s="430"/>
      <c r="Y292" s="430"/>
      <c r="Z292" s="430"/>
      <c r="AA292" s="430"/>
      <c r="AB292" s="430"/>
      <c r="AC292" s="408"/>
      <c r="AD292" s="408"/>
      <c r="AE292" s="399"/>
      <c r="AF292" s="16"/>
    </row>
    <row r="293" spans="1:32" s="15" customFormat="1" ht="24" customHeight="1">
      <c r="A293" s="46"/>
      <c r="B293" s="46"/>
      <c r="C293" s="116" t="s">
        <v>836</v>
      </c>
      <c r="D293" s="153">
        <v>19758</v>
      </c>
      <c r="E293" s="107">
        <f>ROUND(AD293/1000,0)</f>
        <v>37456</v>
      </c>
      <c r="F293" s="108">
        <f>SUMIF($AB$294:$AB$301,"보조",$AD$294:$AD$301)/1000</f>
        <v>0</v>
      </c>
      <c r="G293" s="108">
        <f>SUMIF($AB$294:$AB$301,"7종",$AD$294:$AD$301)/1000</f>
        <v>0</v>
      </c>
      <c r="H293" s="108">
        <f>SUMIF($AB$294:$AB$301,"4종",$AD$294:$AD$301)/1000</f>
        <v>0</v>
      </c>
      <c r="I293" s="108">
        <f>SUMIF($AB$294:$AB$302,"후원",$AD$294:$AD$302)/1000</f>
        <v>21530</v>
      </c>
      <c r="J293" s="108">
        <f>SUMIF($AB$294:$AB$301,"입소",$AD$294:$AD$301)/1000</f>
        <v>15926</v>
      </c>
      <c r="K293" s="108">
        <f>SUMIF($AB$294:$AB$302,"법인",$AD$294:$AD$302)/1000</f>
        <v>0</v>
      </c>
      <c r="L293" s="108">
        <f>SUMIF($AB$294:$AB$301,"잡수",$AD$294:$AD$301)/1000</f>
        <v>0</v>
      </c>
      <c r="M293" s="107">
        <f>E293-D293</f>
        <v>17698</v>
      </c>
      <c r="N293" s="115">
        <f>IF(D293=0,0,M293/D293)</f>
        <v>0.89573843506427775</v>
      </c>
      <c r="O293" s="307"/>
      <c r="P293" s="303"/>
      <c r="Q293" s="303"/>
      <c r="R293" s="441"/>
      <c r="S293" s="441"/>
      <c r="T293" s="441"/>
      <c r="U293" s="441"/>
      <c r="V293" s="441"/>
      <c r="W293" s="442" t="s">
        <v>129</v>
      </c>
      <c r="X293" s="442"/>
      <c r="Y293" s="442"/>
      <c r="Z293" s="442"/>
      <c r="AA293" s="442"/>
      <c r="AB293" s="442"/>
      <c r="AC293" s="443"/>
      <c r="AD293" s="443">
        <f>SUM(AD294:AD302)</f>
        <v>37456000</v>
      </c>
      <c r="AE293" s="444" t="s">
        <v>25</v>
      </c>
      <c r="AF293" s="16"/>
    </row>
    <row r="294" spans="1:32" s="15" customFormat="1" ht="24" customHeight="1">
      <c r="A294" s="46"/>
      <c r="B294" s="46"/>
      <c r="C294" s="585" t="s">
        <v>837</v>
      </c>
      <c r="D294" s="151"/>
      <c r="E294" s="103"/>
      <c r="F294" s="103"/>
      <c r="G294" s="103"/>
      <c r="H294" s="103"/>
      <c r="I294" s="103"/>
      <c r="J294" s="103"/>
      <c r="K294" s="103"/>
      <c r="L294" s="103"/>
      <c r="M294" s="103"/>
      <c r="N294" s="68"/>
      <c r="O294" s="676" t="s">
        <v>839</v>
      </c>
      <c r="P294" s="400"/>
      <c r="Q294" s="400"/>
      <c r="R294" s="396"/>
      <c r="S294" s="396"/>
      <c r="T294" s="396"/>
      <c r="U294" s="396"/>
      <c r="V294" s="396"/>
      <c r="W294" s="432"/>
      <c r="X294" s="432"/>
      <c r="Y294" s="432"/>
      <c r="Z294" s="432"/>
      <c r="AA294" s="432"/>
      <c r="AB294" s="681" t="s">
        <v>875</v>
      </c>
      <c r="AC294" s="130"/>
      <c r="AD294" s="685">
        <v>4772000</v>
      </c>
      <c r="AE294" s="131" t="s">
        <v>653</v>
      </c>
      <c r="AF294" s="16"/>
    </row>
    <row r="295" spans="1:32" s="15" customFormat="1" ht="24" customHeight="1">
      <c r="A295" s="46"/>
      <c r="B295" s="46"/>
      <c r="C295" s="585" t="s">
        <v>838</v>
      </c>
      <c r="D295" s="151"/>
      <c r="E295" s="103"/>
      <c r="F295" s="103"/>
      <c r="G295" s="103"/>
      <c r="H295" s="103"/>
      <c r="I295" s="103"/>
      <c r="J295" s="103"/>
      <c r="K295" s="103"/>
      <c r="L295" s="103"/>
      <c r="M295" s="103"/>
      <c r="N295" s="68"/>
      <c r="O295" s="687" t="s">
        <v>804</v>
      </c>
      <c r="P295" s="400"/>
      <c r="Q295" s="400"/>
      <c r="R295" s="396"/>
      <c r="S295" s="396"/>
      <c r="T295" s="396"/>
      <c r="U295" s="396"/>
      <c r="V295" s="396"/>
      <c r="W295" s="686"/>
      <c r="X295" s="686"/>
      <c r="Y295" s="686"/>
      <c r="Z295" s="686"/>
      <c r="AA295" s="686"/>
      <c r="AB295" s="686" t="s">
        <v>210</v>
      </c>
      <c r="AC295" s="685"/>
      <c r="AD295" s="685">
        <v>4774000</v>
      </c>
      <c r="AE295" s="131" t="s">
        <v>56</v>
      </c>
      <c r="AF295" s="16"/>
    </row>
    <row r="296" spans="1:32" s="15" customFormat="1" ht="24" customHeight="1">
      <c r="A296" s="46"/>
      <c r="B296" s="46"/>
      <c r="C296" s="46" t="s">
        <v>832</v>
      </c>
      <c r="D296" s="151"/>
      <c r="E296" s="103"/>
      <c r="F296" s="103"/>
      <c r="G296" s="103"/>
      <c r="H296" s="103"/>
      <c r="I296" s="103"/>
      <c r="J296" s="103"/>
      <c r="K296" s="103"/>
      <c r="L296" s="103"/>
      <c r="M296" s="103"/>
      <c r="N296" s="68"/>
      <c r="O296" s="687" t="s">
        <v>840</v>
      </c>
      <c r="P296" s="400"/>
      <c r="Q296" s="400"/>
      <c r="R296" s="396"/>
      <c r="S296" s="396"/>
      <c r="T296" s="396"/>
      <c r="U296" s="396"/>
      <c r="V296" s="396"/>
      <c r="W296" s="686"/>
      <c r="X296" s="686"/>
      <c r="Y296" s="686"/>
      <c r="Z296" s="686"/>
      <c r="AA296" s="686"/>
      <c r="AB296" s="686" t="s">
        <v>210</v>
      </c>
      <c r="AC296" s="685"/>
      <c r="AD296" s="685">
        <v>4700000</v>
      </c>
      <c r="AE296" s="131" t="s">
        <v>56</v>
      </c>
      <c r="AF296" s="16"/>
    </row>
    <row r="297" spans="1:32" s="15" customFormat="1" ht="24" customHeight="1">
      <c r="A297" s="46"/>
      <c r="B297" s="46"/>
      <c r="C297" s="46"/>
      <c r="D297" s="151"/>
      <c r="E297" s="103"/>
      <c r="F297" s="103"/>
      <c r="G297" s="103"/>
      <c r="H297" s="103"/>
      <c r="I297" s="103"/>
      <c r="J297" s="103"/>
      <c r="K297" s="103"/>
      <c r="L297" s="103"/>
      <c r="M297" s="103"/>
      <c r="N297" s="68"/>
      <c r="O297" s="687" t="s">
        <v>841</v>
      </c>
      <c r="P297" s="400"/>
      <c r="Q297" s="400"/>
      <c r="R297" s="396"/>
      <c r="S297" s="396"/>
      <c r="T297" s="396"/>
      <c r="U297" s="396"/>
      <c r="V297" s="396"/>
      <c r="W297" s="686"/>
      <c r="X297" s="686"/>
      <c r="Y297" s="686"/>
      <c r="Z297" s="686"/>
      <c r="AA297" s="686"/>
      <c r="AB297" s="686" t="s">
        <v>151</v>
      </c>
      <c r="AC297" s="685"/>
      <c r="AD297" s="685">
        <v>18900000</v>
      </c>
      <c r="AE297" s="131" t="s">
        <v>56</v>
      </c>
      <c r="AF297" s="16"/>
    </row>
    <row r="298" spans="1:32" s="15" customFormat="1" ht="24" customHeight="1">
      <c r="A298" s="46"/>
      <c r="B298" s="46"/>
      <c r="C298" s="46"/>
      <c r="D298" s="151"/>
      <c r="E298" s="103"/>
      <c r="F298" s="103"/>
      <c r="G298" s="103"/>
      <c r="H298" s="103"/>
      <c r="I298" s="103"/>
      <c r="J298" s="103"/>
      <c r="K298" s="103"/>
      <c r="L298" s="103"/>
      <c r="M298" s="103"/>
      <c r="N298" s="68"/>
      <c r="O298" s="687"/>
      <c r="P298" s="400"/>
      <c r="Q298" s="400"/>
      <c r="R298" s="396"/>
      <c r="S298" s="396"/>
      <c r="T298" s="396"/>
      <c r="U298" s="396"/>
      <c r="V298" s="396"/>
      <c r="W298" s="686"/>
      <c r="X298" s="686"/>
      <c r="Y298" s="686"/>
      <c r="Z298" s="686"/>
      <c r="AA298" s="686"/>
      <c r="AB298" s="686" t="s">
        <v>151</v>
      </c>
      <c r="AC298" s="685"/>
      <c r="AD298" s="685">
        <v>330000</v>
      </c>
      <c r="AE298" s="131" t="s">
        <v>56</v>
      </c>
      <c r="AF298" s="563"/>
    </row>
    <row r="299" spans="1:32" s="15" customFormat="1" ht="24" customHeight="1">
      <c r="A299" s="46"/>
      <c r="B299" s="46"/>
      <c r="C299" s="46"/>
      <c r="D299" s="151"/>
      <c r="E299" s="103"/>
      <c r="F299" s="103"/>
      <c r="G299" s="103"/>
      <c r="H299" s="103"/>
      <c r="I299" s="103"/>
      <c r="J299" s="103"/>
      <c r="K299" s="103"/>
      <c r="L299" s="103"/>
      <c r="M299" s="103"/>
      <c r="N299" s="68"/>
      <c r="O299" s="676" t="s">
        <v>842</v>
      </c>
      <c r="P299" s="400"/>
      <c r="Q299" s="400"/>
      <c r="R299" s="396"/>
      <c r="S299" s="396"/>
      <c r="T299" s="396"/>
      <c r="U299" s="396"/>
      <c r="V299" s="396"/>
      <c r="W299" s="667"/>
      <c r="X299" s="667"/>
      <c r="Y299" s="667"/>
      <c r="Z299" s="667"/>
      <c r="AA299" s="667"/>
      <c r="AB299" s="667" t="s">
        <v>772</v>
      </c>
      <c r="AC299" s="666"/>
      <c r="AD299" s="685">
        <v>100000</v>
      </c>
      <c r="AE299" s="131" t="s">
        <v>766</v>
      </c>
      <c r="AF299" s="563"/>
    </row>
    <row r="300" spans="1:32" s="15" customFormat="1" ht="24" customHeight="1">
      <c r="A300" s="46"/>
      <c r="B300" s="46"/>
      <c r="C300" s="46"/>
      <c r="D300" s="151"/>
      <c r="E300" s="103"/>
      <c r="F300" s="103"/>
      <c r="G300" s="103"/>
      <c r="H300" s="103"/>
      <c r="I300" s="103"/>
      <c r="J300" s="103"/>
      <c r="K300" s="103"/>
      <c r="L300" s="103"/>
      <c r="M300" s="103"/>
      <c r="N300" s="68"/>
      <c r="O300" s="676" t="s">
        <v>843</v>
      </c>
      <c r="P300" s="400"/>
      <c r="Q300" s="400"/>
      <c r="R300" s="396"/>
      <c r="S300" s="396"/>
      <c r="T300" s="396"/>
      <c r="U300" s="396"/>
      <c r="V300" s="396"/>
      <c r="W300" s="675"/>
      <c r="X300" s="675"/>
      <c r="Y300" s="675"/>
      <c r="Z300" s="675"/>
      <c r="AA300" s="675"/>
      <c r="AB300" s="681" t="s">
        <v>151</v>
      </c>
      <c r="AC300" s="674"/>
      <c r="AD300" s="685">
        <v>760000</v>
      </c>
      <c r="AE300" s="131" t="s">
        <v>824</v>
      </c>
      <c r="AF300" s="563"/>
    </row>
    <row r="301" spans="1:32" s="15" customFormat="1" ht="24" customHeight="1">
      <c r="A301" s="46"/>
      <c r="B301" s="46"/>
      <c r="C301" s="46"/>
      <c r="D301" s="151"/>
      <c r="E301" s="103"/>
      <c r="F301" s="103"/>
      <c r="G301" s="103"/>
      <c r="H301" s="103"/>
      <c r="I301" s="103"/>
      <c r="J301" s="103"/>
      <c r="K301" s="103"/>
      <c r="L301" s="103"/>
      <c r="M301" s="103"/>
      <c r="N301" s="68"/>
      <c r="O301" s="676" t="s">
        <v>849</v>
      </c>
      <c r="P301" s="668"/>
      <c r="Q301" s="668"/>
      <c r="R301" s="668"/>
      <c r="S301" s="667"/>
      <c r="T301" s="295"/>
      <c r="U301" s="295"/>
      <c r="V301" s="667"/>
      <c r="W301" s="668"/>
      <c r="X301" s="667"/>
      <c r="Y301" s="667"/>
      <c r="Z301" s="667"/>
      <c r="AA301" s="667"/>
      <c r="AB301" s="681" t="s">
        <v>877</v>
      </c>
      <c r="AC301" s="667"/>
      <c r="AD301" s="686">
        <v>1680000</v>
      </c>
      <c r="AE301" s="131" t="s">
        <v>824</v>
      </c>
      <c r="AF301" s="16"/>
    </row>
    <row r="302" spans="1:32" s="15" customFormat="1" ht="24" customHeight="1">
      <c r="A302" s="46"/>
      <c r="B302" s="46"/>
      <c r="C302" s="46"/>
      <c r="D302" s="151"/>
      <c r="E302" s="103"/>
      <c r="F302" s="103"/>
      <c r="G302" s="103"/>
      <c r="H302" s="103"/>
      <c r="I302" s="103"/>
      <c r="J302" s="103"/>
      <c r="K302" s="103"/>
      <c r="L302" s="103"/>
      <c r="M302" s="103"/>
      <c r="N302" s="68"/>
      <c r="O302" s="668"/>
      <c r="P302" s="668"/>
      <c r="Q302" s="668"/>
      <c r="R302" s="668"/>
      <c r="S302" s="667"/>
      <c r="T302" s="295"/>
      <c r="U302" s="295"/>
      <c r="V302" s="667"/>
      <c r="W302" s="668"/>
      <c r="X302" s="667"/>
      <c r="Y302" s="667"/>
      <c r="Z302" s="667"/>
      <c r="AA302" s="667"/>
      <c r="AB302" s="681" t="s">
        <v>874</v>
      </c>
      <c r="AC302" s="667"/>
      <c r="AD302" s="686">
        <v>1440000</v>
      </c>
      <c r="AE302" s="131" t="s">
        <v>56</v>
      </c>
      <c r="AF302" s="16"/>
    </row>
    <row r="303" spans="1:32" s="15" customFormat="1" ht="24" customHeight="1">
      <c r="A303" s="46"/>
      <c r="B303" s="46"/>
      <c r="C303" s="46"/>
      <c r="D303" s="151"/>
      <c r="E303" s="103"/>
      <c r="F303" s="103"/>
      <c r="G303" s="103"/>
      <c r="H303" s="103"/>
      <c r="I303" s="103"/>
      <c r="J303" s="103"/>
      <c r="K303" s="103"/>
      <c r="L303" s="103"/>
      <c r="M303" s="103"/>
      <c r="N303" s="68"/>
      <c r="O303" s="429"/>
      <c r="P303" s="258"/>
      <c r="Q303" s="258"/>
      <c r="R303" s="254"/>
      <c r="S303" s="254"/>
      <c r="T303" s="254"/>
      <c r="U303" s="254"/>
      <c r="V303" s="254"/>
      <c r="W303" s="376"/>
      <c r="X303" s="376"/>
      <c r="Y303" s="376"/>
      <c r="Z303" s="376"/>
      <c r="AA303" s="376"/>
      <c r="AB303" s="577"/>
      <c r="AC303" s="524"/>
      <c r="AD303" s="576"/>
      <c r="AE303" s="131"/>
      <c r="AF303" s="16"/>
    </row>
    <row r="304" spans="1:32" s="15" customFormat="1" ht="24" customHeight="1">
      <c r="A304" s="46"/>
      <c r="B304" s="46"/>
      <c r="C304" s="36" t="s">
        <v>644</v>
      </c>
      <c r="D304" s="153">
        <v>5908</v>
      </c>
      <c r="E304" s="107">
        <f>ROUND(AD304/1000,0)</f>
        <v>0</v>
      </c>
      <c r="F304" s="108">
        <f>SUMIF($AB$305:$AB$306,"보조",$AD$305:$AD$306)/1000</f>
        <v>0</v>
      </c>
      <c r="G304" s="108">
        <f>SUMIF($AB$305:$AB$306,"7종",$AD$305:$AD$306)/1000</f>
        <v>0</v>
      </c>
      <c r="H304" s="108">
        <f>SUMIF($AB$305:$AB$306,"4종",$AD$305:$AD$306)/1000</f>
        <v>0</v>
      </c>
      <c r="I304" s="108">
        <f>SUMIF($AB$305:$AB$306,"후원",$AD$305:$AD$306)/1000</f>
        <v>0</v>
      </c>
      <c r="J304" s="108">
        <f>SUMIF($AB$305:$AB$306,"입소",$AD$305:$AD$306)/1000</f>
        <v>0</v>
      </c>
      <c r="K304" s="108">
        <f>SUMIF($AB$305:$AB$306,"법인",$AD$305:$AD$306)/1000</f>
        <v>0</v>
      </c>
      <c r="L304" s="108">
        <f>SUMIF($AB$305:$AB$306,"잡수",$AD$305:$AD$306)/1000</f>
        <v>0</v>
      </c>
      <c r="M304" s="659">
        <f>E304-D304</f>
        <v>-5908</v>
      </c>
      <c r="N304" s="115">
        <f>IF(D304=0,0,M304/D304)</f>
        <v>-1</v>
      </c>
      <c r="O304" s="307"/>
      <c r="P304" s="303"/>
      <c r="Q304" s="303"/>
      <c r="R304" s="441"/>
      <c r="S304" s="441"/>
      <c r="T304" s="441"/>
      <c r="U304" s="441"/>
      <c r="V304" s="441"/>
      <c r="W304" s="442" t="s">
        <v>129</v>
      </c>
      <c r="X304" s="442"/>
      <c r="Y304" s="442"/>
      <c r="Z304" s="442"/>
      <c r="AA304" s="442"/>
      <c r="AB304" s="442"/>
      <c r="AC304" s="443"/>
      <c r="AD304" s="443">
        <f>SUM(AD305:AD305)</f>
        <v>0</v>
      </c>
      <c r="AE304" s="444" t="s">
        <v>25</v>
      </c>
      <c r="AF304" s="16"/>
    </row>
    <row r="305" spans="1:32" s="15" customFormat="1" ht="24" customHeight="1">
      <c r="A305" s="46"/>
      <c r="B305" s="46"/>
      <c r="C305" s="46" t="s">
        <v>645</v>
      </c>
      <c r="D305" s="151"/>
      <c r="E305" s="103"/>
      <c r="F305" s="103"/>
      <c r="G305" s="103"/>
      <c r="H305" s="103"/>
      <c r="I305" s="103"/>
      <c r="J305" s="103"/>
      <c r="K305" s="103"/>
      <c r="L305" s="103"/>
      <c r="M305" s="103"/>
      <c r="N305" s="68"/>
      <c r="O305" s="573"/>
      <c r="P305" s="400"/>
      <c r="Q305" s="400"/>
      <c r="R305" s="396"/>
      <c r="S305" s="396"/>
      <c r="T305" s="396"/>
      <c r="U305" s="396"/>
      <c r="V305" s="396"/>
      <c r="W305" s="561"/>
      <c r="X305" s="561"/>
      <c r="Y305" s="561"/>
      <c r="Z305" s="561"/>
      <c r="AA305" s="561"/>
      <c r="AB305" s="572"/>
      <c r="AC305" s="130"/>
      <c r="AD305" s="130"/>
      <c r="AE305" s="131"/>
      <c r="AF305" s="16"/>
    </row>
    <row r="306" spans="1:32" s="15" customFormat="1" ht="24" customHeight="1">
      <c r="A306" s="46"/>
      <c r="B306" s="46"/>
      <c r="C306" s="59"/>
      <c r="D306" s="152"/>
      <c r="E306" s="105"/>
      <c r="F306" s="105"/>
      <c r="G306" s="105"/>
      <c r="H306" s="105"/>
      <c r="I306" s="105"/>
      <c r="J306" s="105"/>
      <c r="K306" s="105"/>
      <c r="L306" s="105"/>
      <c r="M306" s="105"/>
      <c r="N306" s="82"/>
      <c r="O306" s="431"/>
      <c r="P306" s="290"/>
      <c r="Q306" s="290"/>
      <c r="R306" s="447"/>
      <c r="S306" s="447"/>
      <c r="T306" s="447"/>
      <c r="U306" s="447"/>
      <c r="V306" s="447"/>
      <c r="W306" s="430"/>
      <c r="X306" s="430"/>
      <c r="Y306" s="430"/>
      <c r="Z306" s="430"/>
      <c r="AA306" s="430"/>
      <c r="AB306" s="430"/>
      <c r="AC306" s="408"/>
      <c r="AD306" s="408"/>
      <c r="AE306" s="399"/>
      <c r="AF306" s="16"/>
    </row>
    <row r="307" spans="1:32" s="15" customFormat="1" ht="24" customHeight="1">
      <c r="A307" s="46"/>
      <c r="B307" s="46"/>
      <c r="C307" s="36" t="s">
        <v>309</v>
      </c>
      <c r="D307" s="153">
        <v>2528</v>
      </c>
      <c r="E307" s="107">
        <f>ROUND(AD307/1000,0)</f>
        <v>2937</v>
      </c>
      <c r="F307" s="108">
        <f>SUMIF($AB$308:$AB$314,"보조",$AD$308:$AD$314)/1000</f>
        <v>0</v>
      </c>
      <c r="G307" s="108">
        <f>SUMIF($AB$308:$AB$314,"7종",$AD$308:$AD$314)/1000</f>
        <v>0</v>
      </c>
      <c r="H307" s="108">
        <f>SUMIF($AB$308:$AB$314,"4종",$AD$308:$AD$314)/1000</f>
        <v>0</v>
      </c>
      <c r="I307" s="108">
        <f>SUMIF($AB$308:$AB$314,"후원",$AD$308:$AD$314)/1000</f>
        <v>2937</v>
      </c>
      <c r="J307" s="108">
        <f>SUMIF($AB$308:$AB$314,"입소",$AD$308:$AD$314)/1000</f>
        <v>0</v>
      </c>
      <c r="K307" s="108">
        <f>SUMIF($AB$308:$AB$314,"법인",$AD$308:$AD$314)/1000</f>
        <v>0</v>
      </c>
      <c r="L307" s="108">
        <f>SUMIF($AB$308:$AB$314,"잡수",$AD$308:$AD$314)/1000</f>
        <v>0</v>
      </c>
      <c r="M307" s="117">
        <f>E307-D307</f>
        <v>409</v>
      </c>
      <c r="N307" s="115">
        <f>IF(D307=0,0,M307/D307)</f>
        <v>0.16178797468354431</v>
      </c>
      <c r="O307" s="307"/>
      <c r="P307" s="303"/>
      <c r="Q307" s="303"/>
      <c r="R307" s="441"/>
      <c r="S307" s="441"/>
      <c r="T307" s="441"/>
      <c r="U307" s="441"/>
      <c r="V307" s="441"/>
      <c r="W307" s="442" t="s">
        <v>129</v>
      </c>
      <c r="X307" s="442"/>
      <c r="Y307" s="442"/>
      <c r="Z307" s="442"/>
      <c r="AA307" s="442"/>
      <c r="AB307" s="442"/>
      <c r="AC307" s="443"/>
      <c r="AD307" s="443">
        <f>SUM(AD308:AD314)</f>
        <v>2937000</v>
      </c>
      <c r="AE307" s="444" t="s">
        <v>25</v>
      </c>
      <c r="AF307" s="16"/>
    </row>
    <row r="308" spans="1:32" s="15" customFormat="1" ht="24" customHeight="1">
      <c r="A308" s="46"/>
      <c r="B308" s="46"/>
      <c r="C308" s="46" t="s">
        <v>298</v>
      </c>
      <c r="D308" s="151"/>
      <c r="E308" s="103"/>
      <c r="F308" s="103"/>
      <c r="G308" s="103"/>
      <c r="H308" s="103"/>
      <c r="I308" s="103"/>
      <c r="J308" s="103"/>
      <c r="K308" s="103"/>
      <c r="L308" s="103"/>
      <c r="M308" s="103"/>
      <c r="N308" s="68"/>
      <c r="O308" s="573" t="s">
        <v>648</v>
      </c>
      <c r="P308" s="400"/>
      <c r="Q308" s="400"/>
      <c r="R308" s="396"/>
      <c r="S308" s="396"/>
      <c r="T308" s="396"/>
      <c r="U308" s="396"/>
      <c r="V308" s="396"/>
      <c r="W308" s="570"/>
      <c r="X308" s="570"/>
      <c r="Y308" s="570"/>
      <c r="Z308" s="570"/>
      <c r="AA308" s="570"/>
      <c r="AB308" s="570" t="s">
        <v>629</v>
      </c>
      <c r="AC308" s="130"/>
      <c r="AD308" s="685">
        <v>80000</v>
      </c>
      <c r="AE308" s="131" t="s">
        <v>653</v>
      </c>
      <c r="AF308" s="16"/>
    </row>
    <row r="309" spans="1:32" s="15" customFormat="1" ht="24" customHeight="1">
      <c r="A309" s="46"/>
      <c r="B309" s="46"/>
      <c r="C309" s="46"/>
      <c r="D309" s="151"/>
      <c r="E309" s="103"/>
      <c r="F309" s="103"/>
      <c r="G309" s="103"/>
      <c r="H309" s="103"/>
      <c r="I309" s="103"/>
      <c r="J309" s="103"/>
      <c r="K309" s="103"/>
      <c r="L309" s="103"/>
      <c r="M309" s="103"/>
      <c r="N309" s="68"/>
      <c r="O309" s="433" t="s">
        <v>310</v>
      </c>
      <c r="P309" s="400"/>
      <c r="Q309" s="400"/>
      <c r="R309" s="396"/>
      <c r="S309" s="396"/>
      <c r="T309" s="396"/>
      <c r="U309" s="396"/>
      <c r="V309" s="396"/>
      <c r="W309" s="432"/>
      <c r="X309" s="432"/>
      <c r="Y309" s="432"/>
      <c r="Z309" s="432"/>
      <c r="AA309" s="432"/>
      <c r="AB309" s="572" t="s">
        <v>151</v>
      </c>
      <c r="AC309" s="130"/>
      <c r="AD309" s="685">
        <v>300000</v>
      </c>
      <c r="AE309" s="131" t="s">
        <v>653</v>
      </c>
      <c r="AF309" s="16"/>
    </row>
    <row r="310" spans="1:32" s="15" customFormat="1" ht="24" customHeight="1">
      <c r="A310" s="46"/>
      <c r="B310" s="46"/>
      <c r="C310" s="46"/>
      <c r="D310" s="151"/>
      <c r="E310" s="103"/>
      <c r="F310" s="103"/>
      <c r="G310" s="103"/>
      <c r="H310" s="103"/>
      <c r="I310" s="103"/>
      <c r="J310" s="103"/>
      <c r="K310" s="103"/>
      <c r="L310" s="103"/>
      <c r="M310" s="103"/>
      <c r="N310" s="68"/>
      <c r="O310" s="573" t="s">
        <v>646</v>
      </c>
      <c r="P310" s="400"/>
      <c r="Q310" s="400"/>
      <c r="R310" s="396"/>
      <c r="S310" s="396"/>
      <c r="T310" s="396"/>
      <c r="U310" s="396"/>
      <c r="V310" s="396"/>
      <c r="W310" s="434"/>
      <c r="X310" s="434"/>
      <c r="Y310" s="434"/>
      <c r="Z310" s="434"/>
      <c r="AA310" s="434"/>
      <c r="AB310" s="572" t="s">
        <v>151</v>
      </c>
      <c r="AC310" s="130"/>
      <c r="AD310" s="685">
        <v>150000</v>
      </c>
      <c r="AE310" s="131" t="s">
        <v>653</v>
      </c>
      <c r="AF310" s="16"/>
    </row>
    <row r="311" spans="1:32" s="15" customFormat="1" ht="24" customHeight="1">
      <c r="A311" s="46"/>
      <c r="B311" s="46"/>
      <c r="C311" s="46"/>
      <c r="D311" s="151"/>
      <c r="E311" s="103"/>
      <c r="F311" s="103"/>
      <c r="G311" s="103"/>
      <c r="H311" s="103"/>
      <c r="I311" s="103"/>
      <c r="J311" s="103"/>
      <c r="K311" s="103"/>
      <c r="L311" s="103"/>
      <c r="M311" s="103"/>
      <c r="N311" s="68"/>
      <c r="O311" s="573" t="s">
        <v>647</v>
      </c>
      <c r="P311" s="400"/>
      <c r="Q311" s="400"/>
      <c r="R311" s="396"/>
      <c r="S311" s="396"/>
      <c r="T311" s="396"/>
      <c r="U311" s="396"/>
      <c r="V311" s="396"/>
      <c r="W311" s="432"/>
      <c r="X311" s="432"/>
      <c r="Y311" s="432"/>
      <c r="Z311" s="432"/>
      <c r="AA311" s="432"/>
      <c r="AB311" s="572" t="s">
        <v>151</v>
      </c>
      <c r="AC311" s="130"/>
      <c r="AD311" s="685">
        <v>757000</v>
      </c>
      <c r="AE311" s="131" t="s">
        <v>690</v>
      </c>
      <c r="AF311" s="16"/>
    </row>
    <row r="312" spans="1:32" s="15" customFormat="1" ht="24" customHeight="1">
      <c r="A312" s="46"/>
      <c r="B312" s="46"/>
      <c r="C312" s="46"/>
      <c r="D312" s="151"/>
      <c r="E312" s="103"/>
      <c r="F312" s="103"/>
      <c r="G312" s="103"/>
      <c r="H312" s="103"/>
      <c r="I312" s="103"/>
      <c r="J312" s="103"/>
      <c r="K312" s="103"/>
      <c r="L312" s="103"/>
      <c r="M312" s="103"/>
      <c r="N312" s="68"/>
      <c r="O312" s="676" t="s">
        <v>850</v>
      </c>
      <c r="P312" s="400"/>
      <c r="Q312" s="400"/>
      <c r="R312" s="396"/>
      <c r="S312" s="396"/>
      <c r="T312" s="396"/>
      <c r="U312" s="396"/>
      <c r="V312" s="396"/>
      <c r="W312" s="675"/>
      <c r="X312" s="675"/>
      <c r="Y312" s="675"/>
      <c r="Z312" s="675"/>
      <c r="AA312" s="675"/>
      <c r="AB312" s="681" t="s">
        <v>151</v>
      </c>
      <c r="AC312" s="674"/>
      <c r="AD312" s="685">
        <v>240000</v>
      </c>
      <c r="AE312" s="131" t="s">
        <v>824</v>
      </c>
      <c r="AF312" s="16"/>
    </row>
    <row r="313" spans="1:32" s="15" customFormat="1" ht="24" customHeight="1">
      <c r="A313" s="46"/>
      <c r="B313" s="46"/>
      <c r="C313" s="46"/>
      <c r="D313" s="151"/>
      <c r="E313" s="103"/>
      <c r="F313" s="103"/>
      <c r="G313" s="103"/>
      <c r="H313" s="103"/>
      <c r="I313" s="103"/>
      <c r="J313" s="103"/>
      <c r="K313" s="103"/>
      <c r="L313" s="103"/>
      <c r="M313" s="103"/>
      <c r="N313" s="68"/>
      <c r="O313" s="676" t="s">
        <v>852</v>
      </c>
      <c r="P313" s="400"/>
      <c r="Q313" s="400"/>
      <c r="R313" s="396"/>
      <c r="S313" s="396"/>
      <c r="T313" s="396"/>
      <c r="U313" s="396"/>
      <c r="V313" s="396"/>
      <c r="W313" s="675"/>
      <c r="X313" s="675"/>
      <c r="Y313" s="675"/>
      <c r="Z313" s="675"/>
      <c r="AA313" s="675"/>
      <c r="AB313" s="681" t="s">
        <v>874</v>
      </c>
      <c r="AC313" s="674"/>
      <c r="AD313" s="685">
        <v>1250000</v>
      </c>
      <c r="AE313" s="131" t="s">
        <v>824</v>
      </c>
      <c r="AF313" s="16"/>
    </row>
    <row r="314" spans="1:32" s="15" customFormat="1" ht="24" customHeight="1">
      <c r="A314" s="46"/>
      <c r="B314" s="46"/>
      <c r="C314" s="59"/>
      <c r="D314" s="152"/>
      <c r="E314" s="105"/>
      <c r="F314" s="105"/>
      <c r="G314" s="105"/>
      <c r="H314" s="105"/>
      <c r="I314" s="105"/>
      <c r="J314" s="105"/>
      <c r="K314" s="105"/>
      <c r="L314" s="105"/>
      <c r="M314" s="105"/>
      <c r="N314" s="82"/>
      <c r="O314" s="677" t="s">
        <v>851</v>
      </c>
      <c r="P314" s="290"/>
      <c r="Q314" s="290"/>
      <c r="R314" s="447"/>
      <c r="S314" s="447"/>
      <c r="T314" s="447"/>
      <c r="U314" s="447"/>
      <c r="V314" s="447"/>
      <c r="W314" s="669"/>
      <c r="X314" s="669"/>
      <c r="Y314" s="669"/>
      <c r="Z314" s="669"/>
      <c r="AA314" s="669"/>
      <c r="AB314" s="683" t="s">
        <v>874</v>
      </c>
      <c r="AC314" s="408"/>
      <c r="AD314" s="408">
        <v>160000</v>
      </c>
      <c r="AE314" s="131" t="s">
        <v>766</v>
      </c>
      <c r="AF314" s="16"/>
    </row>
    <row r="315" spans="1:32" s="15" customFormat="1" ht="24" customHeight="1">
      <c r="A315" s="46"/>
      <c r="B315" s="46"/>
      <c r="C315" s="36" t="s">
        <v>311</v>
      </c>
      <c r="D315" s="153">
        <v>2073</v>
      </c>
      <c r="E315" s="107">
        <f>ROUND(AD315/1000,0)</f>
        <v>3910</v>
      </c>
      <c r="F315" s="108">
        <f>SUMIF($AB$316:$AB$320,"보조",$AD$316:$AD$320)/1000</f>
        <v>0</v>
      </c>
      <c r="G315" s="108">
        <f>SUMIF($AB$316:$AB$320,"7종",$AD$316:$AD$320)/1000</f>
        <v>0</v>
      </c>
      <c r="H315" s="108">
        <f>SUMIF($AB$316:$AB$320,"4종",$AD$316:$AD$320)/1000</f>
        <v>0</v>
      </c>
      <c r="I315" s="108">
        <f>SUMIF($AB$316:$AB$320,"후원",$AD$316:$AD$320)/1000</f>
        <v>1790</v>
      </c>
      <c r="J315" s="108">
        <f>SUMIF($AB$316:$AB$320,"입소",$AD$316:$AD$320)/1000</f>
        <v>2120</v>
      </c>
      <c r="K315" s="108">
        <f>SUMIF($AB$316:$AB$320,"법인",$AD$316:$AD$320)/1000</f>
        <v>0</v>
      </c>
      <c r="L315" s="108">
        <f>SUMIF($AB$316:$AB$320,"잡수",$AD$316:$AD$320)/1000</f>
        <v>0</v>
      </c>
      <c r="M315" s="107">
        <f>E315-D315</f>
        <v>1837</v>
      </c>
      <c r="N315" s="115">
        <f>IF(D315=0,0,M315/D315)</f>
        <v>0.88615533043897732</v>
      </c>
      <c r="O315" s="307"/>
      <c r="P315" s="303"/>
      <c r="Q315" s="303"/>
      <c r="R315" s="441"/>
      <c r="S315" s="441"/>
      <c r="T315" s="441"/>
      <c r="U315" s="441"/>
      <c r="V315" s="441"/>
      <c r="W315" s="442" t="s">
        <v>805</v>
      </c>
      <c r="X315" s="442"/>
      <c r="Y315" s="442"/>
      <c r="Z315" s="442"/>
      <c r="AA315" s="442"/>
      <c r="AB315" s="442"/>
      <c r="AC315" s="443"/>
      <c r="AD315" s="443">
        <f>SUM(AD316:AD320)</f>
        <v>3910000</v>
      </c>
      <c r="AE315" s="444" t="s">
        <v>25</v>
      </c>
      <c r="AF315" s="16"/>
    </row>
    <row r="316" spans="1:32" s="15" customFormat="1" ht="24" customHeight="1">
      <c r="A316" s="46"/>
      <c r="B316" s="46"/>
      <c r="C316" s="46" t="s">
        <v>308</v>
      </c>
      <c r="D316" s="151"/>
      <c r="E316" s="103"/>
      <c r="F316" s="103"/>
      <c r="G316" s="103"/>
      <c r="H316" s="103"/>
      <c r="I316" s="103"/>
      <c r="J316" s="103"/>
      <c r="K316" s="103"/>
      <c r="L316" s="103"/>
      <c r="M316" s="103"/>
      <c r="N316" s="68"/>
      <c r="O316" s="668" t="s">
        <v>806</v>
      </c>
      <c r="P316" s="400"/>
      <c r="Q316" s="400"/>
      <c r="R316" s="396"/>
      <c r="S316" s="396"/>
      <c r="T316" s="396"/>
      <c r="U316" s="396"/>
      <c r="V316" s="396"/>
      <c r="W316" s="667"/>
      <c r="X316" s="667"/>
      <c r="Y316" s="667"/>
      <c r="Z316" s="667"/>
      <c r="AA316" s="667"/>
      <c r="AB316" s="667" t="s">
        <v>793</v>
      </c>
      <c r="AC316" s="666"/>
      <c r="AD316" s="685">
        <v>1110000</v>
      </c>
      <c r="AE316" s="131" t="s">
        <v>766</v>
      </c>
      <c r="AF316" s="16"/>
    </row>
    <row r="317" spans="1:32" s="15" customFormat="1" ht="24" customHeight="1">
      <c r="A317" s="46"/>
      <c r="B317" s="46"/>
      <c r="C317" s="46" t="s">
        <v>298</v>
      </c>
      <c r="D317" s="151"/>
      <c r="E317" s="103"/>
      <c r="F317" s="103"/>
      <c r="G317" s="103"/>
      <c r="H317" s="103"/>
      <c r="I317" s="103"/>
      <c r="J317" s="103"/>
      <c r="K317" s="103"/>
      <c r="L317" s="103"/>
      <c r="M317" s="103"/>
      <c r="N317" s="68"/>
      <c r="O317" s="668" t="s">
        <v>807</v>
      </c>
      <c r="P317" s="400"/>
      <c r="Q317" s="400"/>
      <c r="R317" s="396"/>
      <c r="S317" s="396"/>
      <c r="T317" s="396"/>
      <c r="U317" s="396"/>
      <c r="V317" s="396"/>
      <c r="W317" s="667"/>
      <c r="X317" s="667"/>
      <c r="Y317" s="667"/>
      <c r="Z317" s="667"/>
      <c r="AA317" s="667"/>
      <c r="AB317" s="667" t="s">
        <v>772</v>
      </c>
      <c r="AC317" s="666"/>
      <c r="AD317" s="685">
        <v>570000</v>
      </c>
      <c r="AE317" s="131" t="s">
        <v>766</v>
      </c>
      <c r="AF317" s="16"/>
    </row>
    <row r="318" spans="1:32" s="15" customFormat="1" ht="24" customHeight="1">
      <c r="A318" s="46"/>
      <c r="B318" s="46"/>
      <c r="C318" s="46"/>
      <c r="D318" s="151"/>
      <c r="E318" s="103"/>
      <c r="F318" s="103"/>
      <c r="G318" s="103"/>
      <c r="H318" s="103"/>
      <c r="I318" s="103"/>
      <c r="J318" s="103"/>
      <c r="K318" s="103"/>
      <c r="L318" s="103"/>
      <c r="M318" s="103"/>
      <c r="N318" s="68"/>
      <c r="O318" s="676" t="s">
        <v>853</v>
      </c>
      <c r="P318" s="400"/>
      <c r="Q318" s="400"/>
      <c r="R318" s="396"/>
      <c r="S318" s="396"/>
      <c r="T318" s="396"/>
      <c r="U318" s="396"/>
      <c r="V318" s="396"/>
      <c r="W318" s="667"/>
      <c r="X318" s="667"/>
      <c r="Y318" s="667"/>
      <c r="Z318" s="667"/>
      <c r="AA318" s="667"/>
      <c r="AB318" s="667" t="s">
        <v>772</v>
      </c>
      <c r="AC318" s="666"/>
      <c r="AD318" s="685">
        <v>1220000</v>
      </c>
      <c r="AE318" s="131" t="s">
        <v>766</v>
      </c>
      <c r="AF318" s="16"/>
    </row>
    <row r="319" spans="1:32" s="15" customFormat="1" ht="24" customHeight="1">
      <c r="A319" s="46"/>
      <c r="B319" s="46"/>
      <c r="C319" s="46"/>
      <c r="D319" s="151"/>
      <c r="E319" s="103"/>
      <c r="F319" s="103"/>
      <c r="G319" s="103"/>
      <c r="H319" s="103"/>
      <c r="I319" s="103"/>
      <c r="J319" s="103"/>
      <c r="K319" s="103"/>
      <c r="L319" s="103"/>
      <c r="M319" s="103"/>
      <c r="N319" s="68"/>
      <c r="O319" s="668" t="s">
        <v>808</v>
      </c>
      <c r="P319" s="400"/>
      <c r="Q319" s="400"/>
      <c r="R319" s="396"/>
      <c r="S319" s="396"/>
      <c r="T319" s="396"/>
      <c r="U319" s="396"/>
      <c r="V319" s="396"/>
      <c r="W319" s="667"/>
      <c r="X319" s="667"/>
      <c r="Y319" s="667"/>
      <c r="Z319" s="667"/>
      <c r="AA319" s="667"/>
      <c r="AB319" s="667" t="s">
        <v>793</v>
      </c>
      <c r="AC319" s="666"/>
      <c r="AD319" s="685">
        <v>480000</v>
      </c>
      <c r="AE319" s="131" t="s">
        <v>766</v>
      </c>
      <c r="AF319" s="16"/>
    </row>
    <row r="320" spans="1:32" s="15" customFormat="1" ht="24" customHeight="1">
      <c r="A320" s="46"/>
      <c r="B320" s="46"/>
      <c r="C320" s="46"/>
      <c r="D320" s="151"/>
      <c r="E320" s="103"/>
      <c r="F320" s="103"/>
      <c r="G320" s="103"/>
      <c r="H320" s="103"/>
      <c r="I320" s="103"/>
      <c r="J320" s="103"/>
      <c r="K320" s="103"/>
      <c r="L320" s="103"/>
      <c r="M320" s="103"/>
      <c r="N320" s="68"/>
      <c r="O320" s="571" t="s">
        <v>638</v>
      </c>
      <c r="P320" s="400"/>
      <c r="Q320" s="400"/>
      <c r="R320" s="396"/>
      <c r="S320" s="396"/>
      <c r="T320" s="396"/>
      <c r="U320" s="396"/>
      <c r="V320" s="396"/>
      <c r="W320" s="570"/>
      <c r="X320" s="570"/>
      <c r="Y320" s="570"/>
      <c r="Z320" s="570"/>
      <c r="AA320" s="570"/>
      <c r="AB320" s="593" t="s">
        <v>210</v>
      </c>
      <c r="AC320" s="130"/>
      <c r="AD320" s="685">
        <v>530000</v>
      </c>
      <c r="AE320" s="131" t="s">
        <v>653</v>
      </c>
      <c r="AF320" s="16"/>
    </row>
    <row r="321" spans="1:32" s="15" customFormat="1" ht="24" customHeight="1">
      <c r="A321" s="46"/>
      <c r="B321" s="46"/>
      <c r="C321" s="36" t="s">
        <v>312</v>
      </c>
      <c r="D321" s="153">
        <v>100</v>
      </c>
      <c r="E321" s="107">
        <f>ROUND(AD321/1000,0)</f>
        <v>189</v>
      </c>
      <c r="F321" s="108">
        <f>SUMIF($AB$322:$AB$326,"보조",$AD$322:$AD$326)/1000</f>
        <v>0</v>
      </c>
      <c r="G321" s="108">
        <f>SUMIF($AB$322:$AB$326,"7종",$AD$322:$AD$326)/1000</f>
        <v>0</v>
      </c>
      <c r="H321" s="108">
        <f>SUMIF($AB$322:$AB$326,"4종",$AD$322:$AD$326)/1000</f>
        <v>0</v>
      </c>
      <c r="I321" s="108">
        <f>SUMIF($AB$322:$AB$326,"후원",$AD$322:$AD$326)/1000</f>
        <v>85</v>
      </c>
      <c r="J321" s="108">
        <f>SUMIF($AB$322:$AB$326,"입소",$AD$322:$AD$326)/1000</f>
        <v>104</v>
      </c>
      <c r="K321" s="108">
        <f>SUMIF($AB$322:$AB$326,"법인",$AD$322:$AD$326)/1000</f>
        <v>0</v>
      </c>
      <c r="L321" s="108">
        <f>SUMIF($AB$322:$AB$326,"잡수",$AD$322:$AD$326)/1000</f>
        <v>0</v>
      </c>
      <c r="M321" s="107">
        <f>E321-D321</f>
        <v>89</v>
      </c>
      <c r="N321" s="115">
        <f>IF(D321=0,0,M321/D321)</f>
        <v>0.89</v>
      </c>
      <c r="O321" s="286"/>
      <c r="P321" s="303"/>
      <c r="Q321" s="303"/>
      <c r="R321" s="441"/>
      <c r="S321" s="441"/>
      <c r="T321" s="441"/>
      <c r="U321" s="441"/>
      <c r="V321" s="441"/>
      <c r="W321" s="442" t="s">
        <v>129</v>
      </c>
      <c r="X321" s="442"/>
      <c r="Y321" s="442"/>
      <c r="Z321" s="442"/>
      <c r="AA321" s="442"/>
      <c r="AB321" s="442"/>
      <c r="AC321" s="443"/>
      <c r="AD321" s="443">
        <f>SUM(AD322:AD325)</f>
        <v>189000</v>
      </c>
      <c r="AE321" s="444" t="s">
        <v>25</v>
      </c>
      <c r="AF321" s="16"/>
    </row>
    <row r="322" spans="1:32" s="15" customFormat="1" ht="24" customHeight="1">
      <c r="A322" s="46"/>
      <c r="B322" s="46"/>
      <c r="C322" s="46" t="s">
        <v>308</v>
      </c>
      <c r="D322" s="151"/>
      <c r="E322" s="103"/>
      <c r="F322" s="103"/>
      <c r="G322" s="103"/>
      <c r="H322" s="103"/>
      <c r="I322" s="103"/>
      <c r="J322" s="103"/>
      <c r="K322" s="103"/>
      <c r="L322" s="103"/>
      <c r="M322" s="103"/>
      <c r="N322" s="68"/>
      <c r="O322" s="540" t="s">
        <v>563</v>
      </c>
      <c r="P322" s="400"/>
      <c r="Q322" s="400"/>
      <c r="R322" s="396"/>
      <c r="S322" s="396"/>
      <c r="T322" s="396"/>
      <c r="U322" s="396"/>
      <c r="V322" s="396"/>
      <c r="W322" s="539"/>
      <c r="X322" s="539"/>
      <c r="Y322" s="539"/>
      <c r="Z322" s="539"/>
      <c r="AA322" s="539"/>
      <c r="AB322" s="539" t="s">
        <v>564</v>
      </c>
      <c r="AC322" s="130"/>
      <c r="AD322" s="130">
        <v>0</v>
      </c>
      <c r="AE322" s="131" t="s">
        <v>549</v>
      </c>
      <c r="AF322" s="16"/>
    </row>
    <row r="323" spans="1:32" s="15" customFormat="1" ht="24" customHeight="1">
      <c r="A323" s="46"/>
      <c r="B323" s="46"/>
      <c r="C323" s="46"/>
      <c r="D323" s="151"/>
      <c r="E323" s="103"/>
      <c r="F323" s="103"/>
      <c r="G323" s="103"/>
      <c r="H323" s="103"/>
      <c r="I323" s="103"/>
      <c r="J323" s="103"/>
      <c r="K323" s="103"/>
      <c r="L323" s="103"/>
      <c r="M323" s="103"/>
      <c r="N323" s="68"/>
      <c r="O323" s="540" t="s">
        <v>565</v>
      </c>
      <c r="P323" s="400"/>
      <c r="Q323" s="400"/>
      <c r="R323" s="396"/>
      <c r="S323" s="539">
        <v>15000</v>
      </c>
      <c r="T323" s="295" t="s">
        <v>549</v>
      </c>
      <c r="U323" s="295" t="s">
        <v>26</v>
      </c>
      <c r="V323" s="539">
        <v>4</v>
      </c>
      <c r="W323" s="540" t="s">
        <v>560</v>
      </c>
      <c r="X323" s="539"/>
      <c r="Y323" s="405"/>
      <c r="Z323" s="405" t="s">
        <v>551</v>
      </c>
      <c r="AA323" s="405"/>
      <c r="AB323" s="405" t="s">
        <v>151</v>
      </c>
      <c r="AC323" s="405"/>
      <c r="AD323" s="437">
        <f>S323*V323</f>
        <v>60000</v>
      </c>
      <c r="AE323" s="131" t="s">
        <v>56</v>
      </c>
      <c r="AF323" s="16"/>
    </row>
    <row r="324" spans="1:32" s="15" customFormat="1" ht="24" customHeight="1">
      <c r="A324" s="46"/>
      <c r="B324" s="46"/>
      <c r="C324" s="46"/>
      <c r="D324" s="151"/>
      <c r="E324" s="103"/>
      <c r="F324" s="103"/>
      <c r="G324" s="103"/>
      <c r="H324" s="103"/>
      <c r="I324" s="103"/>
      <c r="J324" s="103"/>
      <c r="K324" s="103"/>
      <c r="L324" s="103"/>
      <c r="M324" s="103"/>
      <c r="N324" s="68"/>
      <c r="O324" s="682" t="s">
        <v>860</v>
      </c>
      <c r="P324" s="400"/>
      <c r="Q324" s="400"/>
      <c r="R324" s="396"/>
      <c r="S324" s="539"/>
      <c r="T324" s="295"/>
      <c r="U324" s="295"/>
      <c r="V324" s="539"/>
      <c r="W324" s="540"/>
      <c r="X324" s="539"/>
      <c r="Y324" s="405"/>
      <c r="Z324" s="405"/>
      <c r="AA324" s="405"/>
      <c r="AB324" s="405" t="s">
        <v>564</v>
      </c>
      <c r="AC324" s="405"/>
      <c r="AD324" s="437">
        <v>104000</v>
      </c>
      <c r="AE324" s="131" t="s">
        <v>56</v>
      </c>
      <c r="AF324" s="16"/>
    </row>
    <row r="325" spans="1:32" s="15" customFormat="1" ht="24" customHeight="1">
      <c r="A325" s="46"/>
      <c r="B325" s="46"/>
      <c r="C325" s="46"/>
      <c r="D325" s="151"/>
      <c r="E325" s="103"/>
      <c r="F325" s="103"/>
      <c r="G325" s="103"/>
      <c r="H325" s="103"/>
      <c r="I325" s="103"/>
      <c r="J325" s="103"/>
      <c r="K325" s="103"/>
      <c r="L325" s="103"/>
      <c r="M325" s="103"/>
      <c r="N325" s="68"/>
      <c r="O325" s="573" t="s">
        <v>650</v>
      </c>
      <c r="P325" s="400"/>
      <c r="Q325" s="400"/>
      <c r="R325" s="396"/>
      <c r="S325" s="432"/>
      <c r="T325" s="295"/>
      <c r="U325" s="295"/>
      <c r="V325" s="432"/>
      <c r="W325" s="433"/>
      <c r="X325" s="432"/>
      <c r="Y325" s="405"/>
      <c r="Z325" s="405"/>
      <c r="AA325" s="405"/>
      <c r="AB325" s="405" t="s">
        <v>151</v>
      </c>
      <c r="AC325" s="405"/>
      <c r="AD325" s="437">
        <v>25000</v>
      </c>
      <c r="AE325" s="131" t="s">
        <v>56</v>
      </c>
      <c r="AF325" s="16"/>
    </row>
    <row r="326" spans="1:32" s="15" customFormat="1" ht="24" customHeight="1">
      <c r="A326" s="46"/>
      <c r="B326" s="46"/>
      <c r="C326" s="59"/>
      <c r="D326" s="152"/>
      <c r="E326" s="105"/>
      <c r="F326" s="105"/>
      <c r="G326" s="105"/>
      <c r="H326" s="105"/>
      <c r="I326" s="105"/>
      <c r="J326" s="105"/>
      <c r="K326" s="105"/>
      <c r="L326" s="105"/>
      <c r="M326" s="105"/>
      <c r="N326" s="82"/>
      <c r="O326" s="431"/>
      <c r="P326" s="290"/>
      <c r="Q326" s="290"/>
      <c r="R326" s="447"/>
      <c r="S326" s="447"/>
      <c r="T326" s="447"/>
      <c r="U326" s="447"/>
      <c r="V326" s="447"/>
      <c r="W326" s="430"/>
      <c r="X326" s="430"/>
      <c r="Y326" s="430"/>
      <c r="Z326" s="430"/>
      <c r="AA326" s="430"/>
      <c r="AB326" s="430"/>
      <c r="AC326" s="408"/>
      <c r="AD326" s="408"/>
      <c r="AE326" s="399"/>
      <c r="AF326" s="16"/>
    </row>
    <row r="327" spans="1:32" s="11" customFormat="1" ht="21" customHeight="1">
      <c r="A327" s="106" t="s">
        <v>147</v>
      </c>
      <c r="B327" s="764" t="s">
        <v>20</v>
      </c>
      <c r="C327" s="765"/>
      <c r="D327" s="166">
        <f>SUM(D328)</f>
        <v>240</v>
      </c>
      <c r="E327" s="166">
        <f>SUM(E328)</f>
        <v>240</v>
      </c>
      <c r="F327" s="166">
        <f t="shared" ref="F327:L327" si="11">SUM(F328)</f>
        <v>205</v>
      </c>
      <c r="G327" s="166">
        <f t="shared" si="11"/>
        <v>30</v>
      </c>
      <c r="H327" s="166">
        <f t="shared" si="11"/>
        <v>5</v>
      </c>
      <c r="I327" s="166">
        <f t="shared" si="11"/>
        <v>0</v>
      </c>
      <c r="J327" s="166">
        <f t="shared" si="11"/>
        <v>0</v>
      </c>
      <c r="K327" s="166">
        <f t="shared" si="11"/>
        <v>0</v>
      </c>
      <c r="L327" s="166">
        <f t="shared" si="11"/>
        <v>0</v>
      </c>
      <c r="M327" s="166">
        <f>E327-D327</f>
        <v>0</v>
      </c>
      <c r="N327" s="167">
        <f>IF(D327=0,0,M327/D327)</f>
        <v>0</v>
      </c>
      <c r="O327" s="95" t="s">
        <v>150</v>
      </c>
      <c r="P327" s="168"/>
      <c r="Q327" s="168"/>
      <c r="R327" s="168"/>
      <c r="S327" s="169"/>
      <c r="T327" s="169"/>
      <c r="U327" s="169"/>
      <c r="V327" s="169"/>
      <c r="W327" s="169"/>
      <c r="X327" s="169"/>
      <c r="Y327" s="169"/>
      <c r="Z327" s="169"/>
      <c r="AA327" s="169"/>
      <c r="AB327" s="169"/>
      <c r="AC327" s="169"/>
      <c r="AD327" s="169">
        <f>SUM(AD328)</f>
        <v>240000</v>
      </c>
      <c r="AE327" s="170" t="s">
        <v>25</v>
      </c>
      <c r="AF327" s="1"/>
    </row>
    <row r="328" spans="1:32" s="11" customFormat="1" ht="21" customHeight="1">
      <c r="A328" s="182" t="s">
        <v>149</v>
      </c>
      <c r="B328" s="46" t="s">
        <v>147</v>
      </c>
      <c r="C328" s="46" t="s">
        <v>147</v>
      </c>
      <c r="D328" s="151">
        <v>240</v>
      </c>
      <c r="E328" s="103">
        <f>AD328/1000</f>
        <v>240</v>
      </c>
      <c r="F328" s="108">
        <f>SUMIF($AB$329:$AB$339,"보조",$AD$329:$AD$339)/1000</f>
        <v>205</v>
      </c>
      <c r="G328" s="108">
        <f>SUMIF($AB$329:$AB$339,"7종",$AD$329:$AD$339)/1000</f>
        <v>30</v>
      </c>
      <c r="H328" s="108">
        <f>SUMIF($AB$329:$AB$339,"4종",$AD$329:$AD$339)/1000</f>
        <v>5</v>
      </c>
      <c r="I328" s="108">
        <f>SUMIF($AB$329:$AB$339,"후원",$AD$329:$AD$339)/1000</f>
        <v>0</v>
      </c>
      <c r="J328" s="108">
        <f>SUMIF($AB$329:$AB$339,"입소",$AD$329:$AD$339)/1000</f>
        <v>0</v>
      </c>
      <c r="K328" s="108">
        <f>SUMIF($AB$329:$AB$339,"법인",$AD$329:$AD$339)/1000</f>
        <v>0</v>
      </c>
      <c r="L328" s="108">
        <f>SUMIF($AB$329:$AB$339,"잡수",$AD$329:$AD$339)/1000</f>
        <v>0</v>
      </c>
      <c r="M328" s="103">
        <f>E328-D328</f>
        <v>0</v>
      </c>
      <c r="N328" s="68">
        <f>IF(D328=0,0,M328/D328)</f>
        <v>0</v>
      </c>
      <c r="O328" s="290" t="s">
        <v>198</v>
      </c>
      <c r="P328" s="32"/>
      <c r="Q328" s="32"/>
      <c r="R328" s="32"/>
      <c r="S328" s="32"/>
      <c r="T328" s="33"/>
      <c r="U328" s="33"/>
      <c r="V328" s="33"/>
      <c r="W328" s="33"/>
      <c r="X328" s="33"/>
      <c r="Y328" s="169" t="s">
        <v>136</v>
      </c>
      <c r="Z328" s="97"/>
      <c r="AA328" s="97"/>
      <c r="AB328" s="97"/>
      <c r="AC328" s="112"/>
      <c r="AD328" s="112">
        <f>ROUNDUP(SUM(AD329:AD338),-3)</f>
        <v>240000</v>
      </c>
      <c r="AE328" s="113" t="s">
        <v>25</v>
      </c>
      <c r="AF328" s="1"/>
    </row>
    <row r="329" spans="1:32" ht="21" customHeight="1">
      <c r="A329" s="45"/>
      <c r="B329" s="46" t="s">
        <v>148</v>
      </c>
      <c r="C329" s="46" t="s">
        <v>148</v>
      </c>
      <c r="D329" s="151"/>
      <c r="E329" s="103"/>
      <c r="F329" s="103"/>
      <c r="G329" s="103"/>
      <c r="H329" s="103"/>
      <c r="I329" s="103"/>
      <c r="J329" s="103"/>
      <c r="K329" s="103"/>
      <c r="L329" s="103"/>
      <c r="M329" s="103"/>
      <c r="N329" s="68"/>
      <c r="O329" s="433" t="s">
        <v>317</v>
      </c>
      <c r="P329" s="375"/>
      <c r="Q329" s="375"/>
      <c r="R329" s="375"/>
      <c r="S329" s="374"/>
      <c r="T329" s="374"/>
      <c r="U329" s="374"/>
      <c r="V329" s="374"/>
      <c r="W329" s="374"/>
      <c r="X329" s="374"/>
      <c r="Y329" s="374"/>
      <c r="Z329" s="374"/>
      <c r="AA329" s="374"/>
      <c r="AB329" s="536" t="s">
        <v>532</v>
      </c>
      <c r="AC329" s="374"/>
      <c r="AD329" s="66">
        <v>0</v>
      </c>
      <c r="AE329" s="131" t="s">
        <v>25</v>
      </c>
    </row>
    <row r="330" spans="1:32" ht="21" customHeight="1">
      <c r="A330" s="45"/>
      <c r="B330" s="46"/>
      <c r="C330" s="46"/>
      <c r="D330" s="151"/>
      <c r="E330" s="103"/>
      <c r="F330" s="103"/>
      <c r="G330" s="103"/>
      <c r="H330" s="103"/>
      <c r="I330" s="103"/>
      <c r="J330" s="103"/>
      <c r="K330" s="103"/>
      <c r="L330" s="103"/>
      <c r="M330" s="103"/>
      <c r="N330" s="68"/>
      <c r="O330" s="375" t="s">
        <v>283</v>
      </c>
      <c r="P330" s="375"/>
      <c r="Q330" s="375"/>
      <c r="R330" s="375"/>
      <c r="S330" s="374"/>
      <c r="T330" s="374"/>
      <c r="U330" s="374"/>
      <c r="V330" s="374"/>
      <c r="W330" s="374"/>
      <c r="X330" s="374"/>
      <c r="Y330" s="374"/>
      <c r="Z330" s="374"/>
      <c r="AA330" s="374"/>
      <c r="AB330" s="536" t="s">
        <v>532</v>
      </c>
      <c r="AC330" s="374"/>
      <c r="AD330" s="66">
        <v>200000</v>
      </c>
      <c r="AE330" s="131" t="s">
        <v>254</v>
      </c>
    </row>
    <row r="331" spans="1:32" ht="21" customHeight="1">
      <c r="A331" s="45"/>
      <c r="B331" s="46"/>
      <c r="C331" s="46"/>
      <c r="D331" s="151"/>
      <c r="E331" s="103"/>
      <c r="F331" s="103"/>
      <c r="G331" s="103"/>
      <c r="H331" s="103"/>
      <c r="I331" s="103"/>
      <c r="J331" s="103"/>
      <c r="K331" s="103"/>
      <c r="L331" s="103"/>
      <c r="M331" s="103"/>
      <c r="N331" s="68"/>
      <c r="O331" s="433" t="s">
        <v>318</v>
      </c>
      <c r="P331" s="375"/>
      <c r="Q331" s="375"/>
      <c r="R331" s="375"/>
      <c r="S331" s="374"/>
      <c r="T331" s="374"/>
      <c r="U331" s="374"/>
      <c r="V331" s="374"/>
      <c r="W331" s="374"/>
      <c r="X331" s="374"/>
      <c r="Y331" s="374"/>
      <c r="Z331" s="374"/>
      <c r="AA331" s="374"/>
      <c r="AB331" s="536" t="s">
        <v>532</v>
      </c>
      <c r="AC331" s="374"/>
      <c r="AD331" s="66">
        <v>0</v>
      </c>
      <c r="AE331" s="131" t="s">
        <v>254</v>
      </c>
    </row>
    <row r="332" spans="1:32" ht="21" customHeight="1">
      <c r="A332" s="45"/>
      <c r="B332" s="46"/>
      <c r="C332" s="46"/>
      <c r="D332" s="151"/>
      <c r="E332" s="103"/>
      <c r="F332" s="103"/>
      <c r="G332" s="103"/>
      <c r="H332" s="103"/>
      <c r="I332" s="103"/>
      <c r="J332" s="103"/>
      <c r="K332" s="103"/>
      <c r="L332" s="103"/>
      <c r="M332" s="103"/>
      <c r="N332" s="68"/>
      <c r="O332" s="375" t="s">
        <v>284</v>
      </c>
      <c r="P332" s="375"/>
      <c r="Q332" s="375"/>
      <c r="R332" s="375"/>
      <c r="S332" s="374"/>
      <c r="T332" s="374"/>
      <c r="U332" s="374"/>
      <c r="V332" s="374"/>
      <c r="W332" s="374"/>
      <c r="X332" s="374"/>
      <c r="Y332" s="374"/>
      <c r="Z332" s="374"/>
      <c r="AA332" s="374"/>
      <c r="AB332" s="536" t="s">
        <v>537</v>
      </c>
      <c r="AC332" s="374"/>
      <c r="AD332" s="66">
        <v>5000</v>
      </c>
      <c r="AE332" s="131" t="s">
        <v>254</v>
      </c>
    </row>
    <row r="333" spans="1:32" ht="21" customHeight="1">
      <c r="A333" s="45"/>
      <c r="B333" s="46"/>
      <c r="C333" s="46"/>
      <c r="D333" s="151"/>
      <c r="E333" s="103"/>
      <c r="F333" s="103"/>
      <c r="G333" s="103"/>
      <c r="H333" s="103"/>
      <c r="I333" s="103"/>
      <c r="J333" s="103"/>
      <c r="K333" s="103"/>
      <c r="L333" s="103"/>
      <c r="M333" s="103"/>
      <c r="N333" s="68"/>
      <c r="O333" s="433" t="s">
        <v>319</v>
      </c>
      <c r="P333" s="375"/>
      <c r="Q333" s="375"/>
      <c r="R333" s="375"/>
      <c r="S333" s="374"/>
      <c r="T333" s="374"/>
      <c r="U333" s="374"/>
      <c r="V333" s="374"/>
      <c r="W333" s="374"/>
      <c r="X333" s="374"/>
      <c r="Y333" s="374"/>
      <c r="Z333" s="374"/>
      <c r="AA333" s="374"/>
      <c r="AB333" s="536" t="s">
        <v>538</v>
      </c>
      <c r="AC333" s="374"/>
      <c r="AD333" s="66">
        <v>0</v>
      </c>
      <c r="AE333" s="131" t="s">
        <v>25</v>
      </c>
    </row>
    <row r="334" spans="1:32" ht="21" customHeight="1">
      <c r="A334" s="45"/>
      <c r="B334" s="46"/>
      <c r="C334" s="46"/>
      <c r="D334" s="151"/>
      <c r="E334" s="103"/>
      <c r="F334" s="103"/>
      <c r="G334" s="103"/>
      <c r="H334" s="103"/>
      <c r="I334" s="103"/>
      <c r="J334" s="103"/>
      <c r="K334" s="103"/>
      <c r="L334" s="103"/>
      <c r="M334" s="103"/>
      <c r="N334" s="68"/>
      <c r="O334" s="375" t="s">
        <v>285</v>
      </c>
      <c r="P334" s="375"/>
      <c r="Q334" s="375"/>
      <c r="R334" s="375"/>
      <c r="S334" s="374"/>
      <c r="T334" s="374"/>
      <c r="U334" s="374"/>
      <c r="V334" s="374"/>
      <c r="W334" s="374"/>
      <c r="X334" s="374"/>
      <c r="Y334" s="374"/>
      <c r="Z334" s="374"/>
      <c r="AA334" s="374"/>
      <c r="AB334" s="536" t="s">
        <v>538</v>
      </c>
      <c r="AC334" s="374"/>
      <c r="AD334" s="66">
        <v>5000</v>
      </c>
      <c r="AE334" s="131" t="s">
        <v>254</v>
      </c>
    </row>
    <row r="335" spans="1:32" ht="21" customHeight="1">
      <c r="A335" s="45"/>
      <c r="B335" s="46"/>
      <c r="C335" s="46"/>
      <c r="D335" s="151"/>
      <c r="E335" s="103"/>
      <c r="F335" s="103"/>
      <c r="G335" s="103"/>
      <c r="H335" s="103"/>
      <c r="I335" s="103"/>
      <c r="J335" s="103"/>
      <c r="K335" s="103"/>
      <c r="L335" s="103"/>
      <c r="M335" s="103"/>
      <c r="N335" s="68"/>
      <c r="O335" s="433" t="s">
        <v>320</v>
      </c>
      <c r="P335" s="375"/>
      <c r="Q335" s="375"/>
      <c r="R335" s="375"/>
      <c r="S335" s="374"/>
      <c r="T335" s="374"/>
      <c r="U335" s="374"/>
      <c r="V335" s="374"/>
      <c r="W335" s="374"/>
      <c r="X335" s="374"/>
      <c r="Y335" s="374"/>
      <c r="Z335" s="374"/>
      <c r="AA335" s="374"/>
      <c r="AB335" s="536" t="s">
        <v>539</v>
      </c>
      <c r="AC335" s="374"/>
      <c r="AD335" s="66">
        <v>0</v>
      </c>
      <c r="AE335" s="131" t="s">
        <v>25</v>
      </c>
    </row>
    <row r="336" spans="1:32" ht="21" customHeight="1">
      <c r="A336" s="45"/>
      <c r="B336" s="46"/>
      <c r="C336" s="46"/>
      <c r="D336" s="151"/>
      <c r="E336" s="103"/>
      <c r="F336" s="103"/>
      <c r="G336" s="103"/>
      <c r="H336" s="103"/>
      <c r="I336" s="103"/>
      <c r="J336" s="103"/>
      <c r="K336" s="103"/>
      <c r="L336" s="103"/>
      <c r="M336" s="103"/>
      <c r="N336" s="68"/>
      <c r="O336" s="375" t="s">
        <v>286</v>
      </c>
      <c r="P336" s="375"/>
      <c r="Q336" s="375"/>
      <c r="R336" s="375"/>
      <c r="S336" s="374"/>
      <c r="T336" s="374"/>
      <c r="U336" s="374"/>
      <c r="V336" s="374"/>
      <c r="W336" s="374"/>
      <c r="X336" s="374"/>
      <c r="Y336" s="374"/>
      <c r="Z336" s="374"/>
      <c r="AA336" s="374"/>
      <c r="AB336" s="536" t="s">
        <v>539</v>
      </c>
      <c r="AC336" s="374"/>
      <c r="AD336" s="66">
        <v>25000</v>
      </c>
      <c r="AE336" s="131" t="s">
        <v>254</v>
      </c>
    </row>
    <row r="337" spans="1:32" ht="21" customHeight="1">
      <c r="A337" s="45"/>
      <c r="B337" s="46"/>
      <c r="C337" s="46"/>
      <c r="D337" s="151"/>
      <c r="E337" s="103"/>
      <c r="F337" s="103"/>
      <c r="G337" s="103"/>
      <c r="H337" s="103"/>
      <c r="I337" s="103"/>
      <c r="J337" s="103"/>
      <c r="K337" s="103"/>
      <c r="L337" s="103"/>
      <c r="M337" s="103"/>
      <c r="N337" s="68"/>
      <c r="O337" s="540" t="s">
        <v>561</v>
      </c>
      <c r="P337" s="375"/>
      <c r="Q337" s="375"/>
      <c r="R337" s="375"/>
      <c r="S337" s="374"/>
      <c r="T337" s="374"/>
      <c r="U337" s="374"/>
      <c r="V337" s="374"/>
      <c r="W337" s="374"/>
      <c r="X337" s="374"/>
      <c r="Y337" s="374"/>
      <c r="Z337" s="374"/>
      <c r="AA337" s="374"/>
      <c r="AB337" s="536" t="s">
        <v>539</v>
      </c>
      <c r="AC337" s="374"/>
      <c r="AD337" s="66">
        <v>0</v>
      </c>
      <c r="AE337" s="131" t="s">
        <v>25</v>
      </c>
    </row>
    <row r="338" spans="1:32" ht="21" customHeight="1">
      <c r="A338" s="45"/>
      <c r="B338" s="46"/>
      <c r="C338" s="46"/>
      <c r="D338" s="151"/>
      <c r="E338" s="103"/>
      <c r="F338" s="103"/>
      <c r="G338" s="103"/>
      <c r="H338" s="103"/>
      <c r="I338" s="103"/>
      <c r="J338" s="103"/>
      <c r="K338" s="103"/>
      <c r="L338" s="103"/>
      <c r="M338" s="103"/>
      <c r="N338" s="68"/>
      <c r="O338" s="540" t="s">
        <v>562</v>
      </c>
      <c r="P338" s="375"/>
      <c r="Q338" s="375"/>
      <c r="R338" s="375"/>
      <c r="S338" s="374"/>
      <c r="T338" s="374"/>
      <c r="U338" s="374"/>
      <c r="V338" s="374"/>
      <c r="W338" s="374"/>
      <c r="X338" s="374"/>
      <c r="Y338" s="374"/>
      <c r="Z338" s="374"/>
      <c r="AA338" s="374"/>
      <c r="AB338" s="536" t="s">
        <v>539</v>
      </c>
      <c r="AC338" s="374"/>
      <c r="AD338" s="66">
        <v>5000</v>
      </c>
      <c r="AE338" s="131" t="s">
        <v>25</v>
      </c>
    </row>
    <row r="339" spans="1:32" s="14" customFormat="1" ht="21" customHeight="1">
      <c r="A339" s="45"/>
      <c r="B339" s="59"/>
      <c r="C339" s="47"/>
      <c r="D339" s="151"/>
      <c r="E339" s="103"/>
      <c r="F339" s="103"/>
      <c r="G339" s="103"/>
      <c r="H339" s="103"/>
      <c r="I339" s="103"/>
      <c r="J339" s="103"/>
      <c r="K339" s="103"/>
      <c r="L339" s="103"/>
      <c r="M339" s="103"/>
      <c r="N339" s="68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1"/>
      <c r="AE339" s="57"/>
      <c r="AF339" s="4"/>
    </row>
    <row r="340" spans="1:32" s="11" customFormat="1" ht="21" customHeight="1">
      <c r="A340" s="35" t="s">
        <v>87</v>
      </c>
      <c r="B340" s="764" t="s">
        <v>20</v>
      </c>
      <c r="C340" s="765"/>
      <c r="D340" s="166">
        <f>D341</f>
        <v>0</v>
      </c>
      <c r="E340" s="166">
        <f>E341</f>
        <v>0</v>
      </c>
      <c r="F340" s="166">
        <f t="shared" ref="F340:L340" si="12">F341</f>
        <v>0</v>
      </c>
      <c r="G340" s="166">
        <f t="shared" si="12"/>
        <v>0</v>
      </c>
      <c r="H340" s="166">
        <f t="shared" si="12"/>
        <v>0</v>
      </c>
      <c r="I340" s="166">
        <f t="shared" si="12"/>
        <v>0</v>
      </c>
      <c r="J340" s="166">
        <f t="shared" si="12"/>
        <v>0</v>
      </c>
      <c r="K340" s="166">
        <f t="shared" si="12"/>
        <v>0</v>
      </c>
      <c r="L340" s="166">
        <f t="shared" si="12"/>
        <v>0</v>
      </c>
      <c r="M340" s="166">
        <f>E340-D340</f>
        <v>0</v>
      </c>
      <c r="N340" s="167">
        <f>IF(D340=0,0,M340/D340)</f>
        <v>0</v>
      </c>
      <c r="O340" s="168" t="s">
        <v>87</v>
      </c>
      <c r="P340" s="168"/>
      <c r="Q340" s="168"/>
      <c r="R340" s="168"/>
      <c r="S340" s="169"/>
      <c r="T340" s="169"/>
      <c r="U340" s="169"/>
      <c r="V340" s="169"/>
      <c r="W340" s="169"/>
      <c r="X340" s="169"/>
      <c r="Y340" s="169"/>
      <c r="Z340" s="169"/>
      <c r="AA340" s="169"/>
      <c r="AB340" s="169"/>
      <c r="AC340" s="169"/>
      <c r="AD340" s="169">
        <f>SUM(AD341)</f>
        <v>0</v>
      </c>
      <c r="AE340" s="170" t="s">
        <v>25</v>
      </c>
      <c r="AF340" s="1"/>
    </row>
    <row r="341" spans="1:32" s="11" customFormat="1" ht="21" customHeight="1">
      <c r="A341" s="45"/>
      <c r="B341" s="46" t="s">
        <v>87</v>
      </c>
      <c r="C341" s="46" t="s">
        <v>87</v>
      </c>
      <c r="D341" s="151">
        <v>0</v>
      </c>
      <c r="E341" s="103">
        <f>AD341/1000</f>
        <v>0</v>
      </c>
      <c r="F341" s="108">
        <f>SUMIF($AB$342:$AB$342,"보조",$AD$342:$AD$342)/1000</f>
        <v>0</v>
      </c>
      <c r="G341" s="108">
        <f>SUMIF($AB$342:$AB$342,"7종",$AD$342:$AD$342)/1000</f>
        <v>0</v>
      </c>
      <c r="H341" s="108">
        <f>SUMIF($AB$342:$AB$342,"4종",$AD$342:$AD$342)/1000</f>
        <v>0</v>
      </c>
      <c r="I341" s="108">
        <f>SUMIF($AB$342:$AB$342,"후원",$AD$342:$AD$342)/1000</f>
        <v>0</v>
      </c>
      <c r="J341" s="108">
        <f>SUMIF($AB$342:$AB$342,"입소",$AD$342:$AD$342)/1000</f>
        <v>0</v>
      </c>
      <c r="K341" s="108">
        <f>SUMIF($AB$342:$AB$342,"법인",$AD$342:$AD$342)/1000</f>
        <v>0</v>
      </c>
      <c r="L341" s="108">
        <f>SUMIF($AB$342:$AB$342,"잡수",$AD$342:$AD$342)/1000</f>
        <v>0</v>
      </c>
      <c r="M341" s="103">
        <f>E341-D341</f>
        <v>0</v>
      </c>
      <c r="N341" s="68">
        <f>IF(D341=0,0,M341/D341)</f>
        <v>0</v>
      </c>
      <c r="O341" s="110" t="s">
        <v>88</v>
      </c>
      <c r="P341" s="32"/>
      <c r="Q341" s="32"/>
      <c r="R341" s="32"/>
      <c r="S341" s="32"/>
      <c r="T341" s="33"/>
      <c r="U341" s="33"/>
      <c r="V341" s="33"/>
      <c r="W341" s="33"/>
      <c r="X341" s="33"/>
      <c r="Y341" s="169" t="s">
        <v>136</v>
      </c>
      <c r="Z341" s="97"/>
      <c r="AA341" s="97"/>
      <c r="AB341" s="97"/>
      <c r="AC341" s="112"/>
      <c r="AD341" s="112">
        <v>0</v>
      </c>
      <c r="AE341" s="113" t="s">
        <v>25</v>
      </c>
      <c r="AF341" s="1"/>
    </row>
    <row r="342" spans="1:32" s="1" customFormat="1" ht="21" customHeight="1" thickBot="1">
      <c r="A342" s="132"/>
      <c r="B342" s="46"/>
      <c r="C342" s="46"/>
      <c r="D342" s="151"/>
      <c r="E342" s="103"/>
      <c r="F342" s="103"/>
      <c r="G342" s="103"/>
      <c r="H342" s="103"/>
      <c r="I342" s="103"/>
      <c r="J342" s="103"/>
      <c r="K342" s="103"/>
      <c r="L342" s="103"/>
      <c r="M342" s="103"/>
      <c r="N342" s="68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135"/>
    </row>
    <row r="343" spans="1:32" s="11" customFormat="1" ht="21" customHeight="1">
      <c r="A343" s="35" t="s">
        <v>21</v>
      </c>
      <c r="B343" s="762" t="s">
        <v>20</v>
      </c>
      <c r="C343" s="763"/>
      <c r="D343" s="187">
        <f>SUM(D344)</f>
        <v>0</v>
      </c>
      <c r="E343" s="187">
        <f>SUM(E344)</f>
        <v>0</v>
      </c>
      <c r="F343" s="187">
        <f t="shared" ref="F343:L343" si="13">SUM(F344)</f>
        <v>0</v>
      </c>
      <c r="G343" s="187">
        <f t="shared" si="13"/>
        <v>0</v>
      </c>
      <c r="H343" s="187">
        <f t="shared" si="13"/>
        <v>0</v>
      </c>
      <c r="I343" s="187">
        <f t="shared" si="13"/>
        <v>0</v>
      </c>
      <c r="J343" s="187">
        <f t="shared" si="13"/>
        <v>0</v>
      </c>
      <c r="K343" s="187">
        <f t="shared" si="13"/>
        <v>0</v>
      </c>
      <c r="L343" s="187">
        <f t="shared" si="13"/>
        <v>0</v>
      </c>
      <c r="M343" s="187">
        <f>E343-D343</f>
        <v>0</v>
      </c>
      <c r="N343" s="188">
        <f>IF(D343=0,0,M343/D343)</f>
        <v>0</v>
      </c>
      <c r="O343" s="159" t="s">
        <v>21</v>
      </c>
      <c r="P343" s="160"/>
      <c r="Q343" s="160"/>
      <c r="R343" s="160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>
        <f>AD344</f>
        <v>0</v>
      </c>
      <c r="AE343" s="162" t="s">
        <v>25</v>
      </c>
      <c r="AF343" s="1"/>
    </row>
    <row r="344" spans="1:32" s="11" customFormat="1" ht="21" customHeight="1">
      <c r="A344" s="45"/>
      <c r="B344" s="46" t="s">
        <v>21</v>
      </c>
      <c r="C344" s="46" t="s">
        <v>21</v>
      </c>
      <c r="D344" s="103">
        <v>0</v>
      </c>
      <c r="E344" s="103">
        <f>SUM(F344:L344)</f>
        <v>0</v>
      </c>
      <c r="F344" s="108">
        <f>SUMIF($AB$344:$AB$349,"보조",$AD$344:$AD$349)/1000</f>
        <v>0</v>
      </c>
      <c r="G344" s="108">
        <f>SUMIF($AB$344:$AB$349,"7종",$AD$344:$AD$349)/1000</f>
        <v>0</v>
      </c>
      <c r="H344" s="108">
        <f>SUMIF($AB$344:$AB$349,"4종",$AD$344:$AD$349)/1000</f>
        <v>0</v>
      </c>
      <c r="I344" s="108">
        <f>SUMIF($AB$344:$AB$349,"후원",$AD$344:$AD$349)/1000</f>
        <v>0</v>
      </c>
      <c r="J344" s="108">
        <f>SUMIF($AB$344:$AB$349,"입소",$AD$344:$AD$349)/1000</f>
        <v>0</v>
      </c>
      <c r="K344" s="108">
        <f>SUMIF($AB$344:$AB$349,"법인",$AD$344:$AD$349)/1000</f>
        <v>0</v>
      </c>
      <c r="L344" s="108">
        <f>SUMIF($AB$344:$AB$349,"잡수",$AD$344:$AD$349)/1000</f>
        <v>0</v>
      </c>
      <c r="M344" s="103">
        <f>E344-D344</f>
        <v>0</v>
      </c>
      <c r="N344" s="68">
        <f>IF(D344=0,0,M344/D344)</f>
        <v>0</v>
      </c>
      <c r="O344" s="110" t="s">
        <v>52</v>
      </c>
      <c r="P344" s="32"/>
      <c r="Q344" s="32"/>
      <c r="R344" s="32"/>
      <c r="S344" s="32"/>
      <c r="T344" s="33"/>
      <c r="U344" s="33"/>
      <c r="V344" s="33"/>
      <c r="W344" s="33"/>
      <c r="X344" s="33"/>
      <c r="Y344" s="169" t="s">
        <v>136</v>
      </c>
      <c r="Z344" s="97"/>
      <c r="AA344" s="97"/>
      <c r="AB344" s="97"/>
      <c r="AC344" s="112"/>
      <c r="AD344" s="112">
        <f>SUM(AD345:AD348)</f>
        <v>0</v>
      </c>
      <c r="AE344" s="113" t="s">
        <v>25</v>
      </c>
      <c r="AF344" s="1"/>
    </row>
    <row r="345" spans="1:32" s="11" customFormat="1" ht="21" customHeight="1">
      <c r="A345" s="45"/>
      <c r="B345" s="46"/>
      <c r="C345" s="46"/>
      <c r="D345" s="151"/>
      <c r="E345" s="103"/>
      <c r="F345" s="103"/>
      <c r="G345" s="103"/>
      <c r="H345" s="103"/>
      <c r="I345" s="103"/>
      <c r="J345" s="103"/>
      <c r="K345" s="103"/>
      <c r="L345" s="103"/>
      <c r="M345" s="103"/>
      <c r="N345" s="68"/>
      <c r="O345" s="433" t="s">
        <v>313</v>
      </c>
      <c r="P345" s="375"/>
      <c r="Q345" s="375"/>
      <c r="R345" s="375"/>
      <c r="S345" s="375"/>
      <c r="T345" s="374"/>
      <c r="U345" s="374"/>
      <c r="V345" s="374"/>
      <c r="W345" s="374"/>
      <c r="X345" s="374"/>
      <c r="Y345" s="374"/>
      <c r="Z345" s="374"/>
      <c r="AA345" s="374"/>
      <c r="AB345" s="536" t="s">
        <v>540</v>
      </c>
      <c r="AC345" s="130"/>
      <c r="AD345" s="685">
        <v>0</v>
      </c>
      <c r="AE345" s="131" t="s">
        <v>884</v>
      </c>
      <c r="AF345" s="2"/>
    </row>
    <row r="346" spans="1:32" s="11" customFormat="1" ht="21" customHeight="1">
      <c r="A346" s="45"/>
      <c r="B346" s="46"/>
      <c r="C346" s="46"/>
      <c r="D346" s="151"/>
      <c r="E346" s="103"/>
      <c r="F346" s="103"/>
      <c r="G346" s="103"/>
      <c r="H346" s="103"/>
      <c r="I346" s="103"/>
      <c r="J346" s="103"/>
      <c r="K346" s="103"/>
      <c r="L346" s="103"/>
      <c r="M346" s="103"/>
      <c r="N346" s="68"/>
      <c r="O346" s="433" t="s">
        <v>314</v>
      </c>
      <c r="P346" s="375"/>
      <c r="Q346" s="375"/>
      <c r="R346" s="375"/>
      <c r="S346" s="375"/>
      <c r="T346" s="374"/>
      <c r="U346" s="374"/>
      <c r="V346" s="374"/>
      <c r="W346" s="374"/>
      <c r="X346" s="374"/>
      <c r="Y346" s="374"/>
      <c r="Z346" s="374"/>
      <c r="AA346" s="374"/>
      <c r="AB346" s="536" t="s">
        <v>535</v>
      </c>
      <c r="AC346" s="130"/>
      <c r="AD346" s="685">
        <v>0</v>
      </c>
      <c r="AE346" s="131" t="s">
        <v>884</v>
      </c>
      <c r="AF346" s="2"/>
    </row>
    <row r="347" spans="1:32" s="11" customFormat="1" ht="21" customHeight="1">
      <c r="A347" s="45"/>
      <c r="B347" s="46"/>
      <c r="C347" s="46"/>
      <c r="D347" s="151"/>
      <c r="E347" s="103"/>
      <c r="F347" s="103"/>
      <c r="G347" s="103"/>
      <c r="H347" s="103"/>
      <c r="I347" s="103"/>
      <c r="J347" s="103"/>
      <c r="K347" s="103"/>
      <c r="L347" s="103"/>
      <c r="M347" s="103"/>
      <c r="N347" s="68"/>
      <c r="O347" s="433" t="s">
        <v>315</v>
      </c>
      <c r="P347" s="375"/>
      <c r="Q347" s="375"/>
      <c r="R347" s="375"/>
      <c r="S347" s="375"/>
      <c r="T347" s="374"/>
      <c r="U347" s="374"/>
      <c r="V347" s="374"/>
      <c r="W347" s="374"/>
      <c r="X347" s="374"/>
      <c r="Y347" s="374"/>
      <c r="Z347" s="374"/>
      <c r="AA347" s="374"/>
      <c r="AB347" s="536" t="s">
        <v>534</v>
      </c>
      <c r="AC347" s="130"/>
      <c r="AD347" s="685">
        <v>0</v>
      </c>
      <c r="AE347" s="131" t="s">
        <v>884</v>
      </c>
      <c r="AF347" s="2"/>
    </row>
    <row r="348" spans="1:32" s="11" customFormat="1" ht="21" customHeight="1">
      <c r="A348" s="45"/>
      <c r="B348" s="46"/>
      <c r="C348" s="46"/>
      <c r="D348" s="151"/>
      <c r="E348" s="103"/>
      <c r="F348" s="103"/>
      <c r="G348" s="103"/>
      <c r="H348" s="103"/>
      <c r="I348" s="103"/>
      <c r="J348" s="103"/>
      <c r="K348" s="103"/>
      <c r="L348" s="103"/>
      <c r="M348" s="103"/>
      <c r="N348" s="68"/>
      <c r="O348" s="433" t="s">
        <v>316</v>
      </c>
      <c r="P348" s="375"/>
      <c r="Q348" s="375"/>
      <c r="R348" s="375"/>
      <c r="S348" s="375"/>
      <c r="T348" s="374"/>
      <c r="U348" s="374"/>
      <c r="V348" s="374"/>
      <c r="W348" s="374"/>
      <c r="X348" s="374"/>
      <c r="Y348" s="374"/>
      <c r="Z348" s="374"/>
      <c r="AA348" s="374"/>
      <c r="AB348" s="536" t="s">
        <v>541</v>
      </c>
      <c r="AC348" s="130"/>
      <c r="AD348" s="685">
        <v>0</v>
      </c>
      <c r="AE348" s="131" t="s">
        <v>884</v>
      </c>
      <c r="AF348" s="2"/>
    </row>
    <row r="349" spans="1:32" s="1" customFormat="1" ht="21" customHeight="1" thickBot="1">
      <c r="A349" s="132"/>
      <c r="B349" s="100"/>
      <c r="C349" s="100"/>
      <c r="D349" s="156"/>
      <c r="E349" s="133"/>
      <c r="F349" s="133"/>
      <c r="G349" s="133"/>
      <c r="H349" s="133"/>
      <c r="I349" s="133"/>
      <c r="J349" s="133"/>
      <c r="K349" s="133"/>
      <c r="L349" s="133"/>
      <c r="M349" s="133"/>
      <c r="N349" s="134"/>
      <c r="O349" s="411"/>
      <c r="P349" s="411"/>
      <c r="Q349" s="411"/>
      <c r="R349" s="411"/>
      <c r="S349" s="412"/>
      <c r="T349" s="412"/>
      <c r="U349" s="412"/>
      <c r="V349" s="412"/>
      <c r="W349" s="412"/>
      <c r="X349" s="412"/>
      <c r="Y349" s="412"/>
      <c r="Z349" s="412"/>
      <c r="AA349" s="412"/>
      <c r="AB349" s="412"/>
      <c r="AC349" s="412"/>
      <c r="AD349" s="412"/>
      <c r="AE349" s="413"/>
    </row>
    <row r="351" spans="1:32" ht="21" customHeight="1">
      <c r="E351" s="292"/>
      <c r="F351" s="292"/>
    </row>
    <row r="352" spans="1:32" ht="21" customHeight="1">
      <c r="E352" s="292"/>
      <c r="F352" s="292"/>
    </row>
    <row r="353" spans="5:6" ht="21" customHeight="1">
      <c r="F353" s="292"/>
    </row>
    <row r="354" spans="5:6" ht="21" customHeight="1">
      <c r="E354" s="292"/>
      <c r="F354" s="292"/>
    </row>
    <row r="355" spans="5:6" ht="21" customHeight="1">
      <c r="E355" s="292"/>
      <c r="F355" s="292"/>
    </row>
    <row r="356" spans="5:6" ht="21" customHeight="1">
      <c r="E356" s="292"/>
      <c r="F356" s="292"/>
    </row>
  </sheetData>
  <mergeCells count="29">
    <mergeCell ref="V103:V104"/>
    <mergeCell ref="W103:W104"/>
    <mergeCell ref="X103:X104"/>
    <mergeCell ref="Y103:Y104"/>
    <mergeCell ref="Z103:Z104"/>
    <mergeCell ref="A1:D1"/>
    <mergeCell ref="O130:S130"/>
    <mergeCell ref="B5:C5"/>
    <mergeCell ref="A4:C4"/>
    <mergeCell ref="B343:C343"/>
    <mergeCell ref="B340:C340"/>
    <mergeCell ref="B327:C327"/>
    <mergeCell ref="B184:C184"/>
    <mergeCell ref="W145:W146"/>
    <mergeCell ref="P238:R238"/>
    <mergeCell ref="S145:S146"/>
    <mergeCell ref="B164:C164"/>
    <mergeCell ref="O2:AE3"/>
    <mergeCell ref="T145:T146"/>
    <mergeCell ref="U145:U146"/>
    <mergeCell ref="V145:V146"/>
    <mergeCell ref="M2:N2"/>
    <mergeCell ref="A2:C2"/>
    <mergeCell ref="D2:D3"/>
    <mergeCell ref="E2:L2"/>
    <mergeCell ref="V106:W106"/>
    <mergeCell ref="V141:W141"/>
    <mergeCell ref="V89:W89"/>
    <mergeCell ref="AA103:AA104"/>
  </mergeCells>
  <phoneticPr fontId="7" type="noConversion"/>
  <printOptions horizontalCentered="1"/>
  <pageMargins left="3.937007874015748E-2" right="3.937007874015748E-2" top="0.44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2019-12-10T05:44:42Z</cp:lastPrinted>
  <dcterms:created xsi:type="dcterms:W3CDTF">2003-12-18T04:11:57Z</dcterms:created>
  <dcterms:modified xsi:type="dcterms:W3CDTF">2020-01-06T02:59:06Z</dcterms:modified>
</cp:coreProperties>
</file>